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ownloads\fleet_dvc\"/>
    </mc:Choice>
  </mc:AlternateContent>
  <xr:revisionPtr revIDLastSave="0" documentId="13_ncr:1_{035F4E62-BC75-47BD-948A-75704D796A29}" xr6:coauthVersionLast="47" xr6:coauthVersionMax="47" xr10:uidLastSave="{00000000-0000-0000-0000-000000000000}"/>
  <bookViews>
    <workbookView xWindow="-120" yWindow="-120" windowWidth="29040" windowHeight="15840" firstSheet="2" activeTab="24" xr2:uid="{5082B97B-A14B-438A-BC7B-4F1D2164D24B}"/>
  </bookViews>
  <sheets>
    <sheet name="Histórico" sheetId="33" r:id="rId1"/>
    <sheet name="Revisão" sheetId="42" state="hidden" r:id="rId2"/>
    <sheet name="Main" sheetId="59" r:id="rId3"/>
    <sheet name="Values" sheetId="52" r:id="rId4"/>
    <sheet name="MCV e Guindaste" sheetId="54" r:id="rId5"/>
    <sheet name="Bending Stiffness" sheetId="19" r:id="rId6"/>
    <sheet name="1st_Script_Table" sheetId="57" state="hidden" r:id="rId7"/>
    <sheet name="1st_Post_Processing" sheetId="60" state="hidden" r:id="rId8"/>
    <sheet name="2nd_Script_Table" sheetId="23" state="hidden" r:id="rId9"/>
    <sheet name="2nd_Post_Processing" sheetId="20" state="hidden" r:id="rId10"/>
    <sheet name="Auxiliar1" sheetId="56" state="hidden" r:id="rId11"/>
    <sheet name="Auxiliar2" sheetId="30" state="hidden" r:id="rId12"/>
    <sheet name="Auxiliar3" sheetId="31" state="hidden" r:id="rId13"/>
    <sheet name="Auxiliar4" sheetId="32" state="hidden" r:id="rId14"/>
    <sheet name="1st_Py1" sheetId="61" state="hidden" r:id="rId15"/>
    <sheet name="1st_Py2" sheetId="62" state="hidden" r:id="rId16"/>
    <sheet name="1st_Py3" sheetId="63" state="hidden" r:id="rId17"/>
    <sheet name="2nd_Py1" sheetId="38" state="hidden" r:id="rId18"/>
    <sheet name="2nd_Py2" sheetId="39" state="hidden" r:id="rId19"/>
    <sheet name="2nd_Py3" sheetId="40" state="hidden" r:id="rId20"/>
    <sheet name="2nd_Py4" sheetId="41" state="hidden" r:id="rId21"/>
    <sheet name="2nd_Py5" sheetId="44" state="hidden" r:id="rId22"/>
    <sheet name="2nd_Py6" sheetId="46" state="hidden" r:id="rId23"/>
    <sheet name="Data" sheetId="58" state="hidden" r:id="rId24"/>
    <sheet name="Results" sheetId="21" r:id="rId25"/>
    <sheet name="Esforços" sheetId="36" r:id="rId26"/>
    <sheet name="TQF" sheetId="43" r:id="rId27"/>
    <sheet name="RelatórioA3" sheetId="51" r:id="rId28"/>
    <sheet name="Relatório" sheetId="50" r:id="rId29"/>
    <sheet name="Relatório_Puxada" sheetId="49" r:id="rId30"/>
    <sheet name="__$Orcina_Hidden_Sheet$__" sheetId="5" state="veryHidden" r:id="rId31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Data!$D$10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Data!$D$11</definedName>
    <definedName name="case2_est_dist_flange">Data!$D$29</definedName>
    <definedName name="case2_est_dist_flange_cabrestante">Data!$D$13</definedName>
    <definedName name="case2_est_dist_tdp_flange">Data!$D$12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">Data!$D$7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Data!$D$9</definedName>
    <definedName name="case2_est_sbed_clear_vert">Data!$D$8</definedName>
    <definedName name="case2_est_sf_vert">Data!$D$36</definedName>
    <definedName name="case2_est_stage_value_ar">Data!$D$39</definedName>
    <definedName name="case3i_din_altura_corc">Data!$J$7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Results!$C$27</definedName>
    <definedName name="dragagem_dist">Results!$C$26</definedName>
    <definedName name="dragagem_prof">Results!$C$28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'1st_Py3'!$A$8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7">'1st_Post_Processing'!$A$3:$I$26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Guindaste'!$N$21:$P$24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Guindaste'!$B$18:$C$28</definedName>
    <definedName name="RangeDesenhoMCV">'MCV e Guindaste'!$A$3:$B$14</definedName>
    <definedName name="RangeDragagem">Results!$B$26:$C$28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Results!$B$46:$C$49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1" l="1"/>
  <c r="C43" i="52"/>
  <c r="C42" i="52"/>
  <c r="C41" i="52"/>
  <c r="C22" i="52"/>
  <c r="C21" i="52"/>
  <c r="C23" i="52" s="1"/>
  <c r="O64" i="58"/>
  <c r="O63" i="58"/>
  <c r="D29" i="58"/>
  <c r="C9" i="60"/>
  <c r="C9" i="20"/>
  <c r="D9" i="60"/>
  <c r="D9" i="20"/>
  <c r="G80" i="50" l="1"/>
  <c r="C8" i="58"/>
  <c r="C9" i="58"/>
  <c r="D14" i="58"/>
  <c r="D13" i="58"/>
  <c r="B80" i="50" s="1"/>
  <c r="D12" i="58"/>
  <c r="B93" i="50" s="1"/>
  <c r="D11" i="58"/>
  <c r="H93" i="50" s="1"/>
  <c r="D10" i="58"/>
  <c r="K93" i="50" s="1"/>
  <c r="D9" i="58"/>
  <c r="D80" i="50" s="1"/>
  <c r="D8" i="58"/>
  <c r="V38" i="58" l="1"/>
  <c r="V36" i="58"/>
  <c r="V34" i="58"/>
  <c r="V32" i="58"/>
  <c r="D17" i="60"/>
  <c r="D18" i="60"/>
  <c r="AA7" i="58" l="1"/>
  <c r="AB7" i="58"/>
  <c r="AA8" i="58"/>
  <c r="AB8" i="58"/>
  <c r="AA9" i="58"/>
  <c r="AB9" i="58"/>
  <c r="AA10" i="58"/>
  <c r="AB10" i="58"/>
  <c r="AA11" i="58"/>
  <c r="AB11" i="58"/>
  <c r="AA12" i="58"/>
  <c r="AB12" i="58"/>
  <c r="AA13" i="58"/>
  <c r="AB13" i="58"/>
  <c r="AA14" i="58"/>
  <c r="AB14" i="58"/>
  <c r="AA15" i="58"/>
  <c r="AB15" i="58"/>
  <c r="AA16" i="58"/>
  <c r="AB16" i="58"/>
  <c r="AA17" i="58"/>
  <c r="AB17" i="58"/>
  <c r="AA18" i="58"/>
  <c r="AB18" i="58"/>
  <c r="AA19" i="58"/>
  <c r="AB19" i="58"/>
  <c r="AA20" i="58"/>
  <c r="AB20" i="58"/>
  <c r="AA21" i="58"/>
  <c r="AB21" i="58"/>
  <c r="AA22" i="58"/>
  <c r="AB22" i="58"/>
  <c r="AA23" i="58"/>
  <c r="AB23" i="58"/>
  <c r="AA24" i="58"/>
  <c r="AB24" i="58"/>
  <c r="AA25" i="58"/>
  <c r="AB25" i="58"/>
  <c r="AA26" i="58"/>
  <c r="AB26" i="58"/>
  <c r="AA27" i="58"/>
  <c r="AB27" i="58"/>
  <c r="AA28" i="58"/>
  <c r="AB28" i="58"/>
  <c r="AA29" i="58"/>
  <c r="AB29" i="58"/>
  <c r="AA30" i="58"/>
  <c r="AB30" i="58"/>
  <c r="AA31" i="58"/>
  <c r="AB31" i="58"/>
  <c r="AA32" i="58"/>
  <c r="AB32" i="58"/>
  <c r="AA33" i="58"/>
  <c r="AB33" i="58"/>
  <c r="AA34" i="58"/>
  <c r="AB34" i="58"/>
  <c r="AA35" i="58"/>
  <c r="AB35" i="58"/>
  <c r="AA36" i="58"/>
  <c r="AB36" i="58"/>
  <c r="AA37" i="58"/>
  <c r="AB37" i="58"/>
  <c r="AA38" i="58"/>
  <c r="AB38" i="58"/>
  <c r="AA39" i="58"/>
  <c r="AB39" i="58"/>
  <c r="AA40" i="58"/>
  <c r="AB40" i="58"/>
  <c r="AA41" i="58"/>
  <c r="AB41" i="58"/>
  <c r="AA42" i="58"/>
  <c r="AB42" i="58"/>
  <c r="AA43" i="58"/>
  <c r="AB43" i="58"/>
  <c r="AA44" i="58"/>
  <c r="AB44" i="58"/>
  <c r="AA45" i="58"/>
  <c r="AB45" i="58"/>
  <c r="AA46" i="58"/>
  <c r="AB46" i="58"/>
  <c r="AA47" i="58"/>
  <c r="AB47" i="58"/>
  <c r="AA48" i="58"/>
  <c r="AB48" i="58"/>
  <c r="AA49" i="58"/>
  <c r="AB49" i="58"/>
  <c r="AA50" i="58"/>
  <c r="AB50" i="58"/>
  <c r="AA51" i="58"/>
  <c r="AB51" i="58"/>
  <c r="AA52" i="58"/>
  <c r="AB52" i="58"/>
  <c r="AA53" i="58"/>
  <c r="AB53" i="58"/>
  <c r="AA54" i="58"/>
  <c r="AB54" i="58"/>
  <c r="AA55" i="58"/>
  <c r="AB55" i="58"/>
  <c r="A8" i="41" l="1"/>
  <c r="A8" i="40"/>
  <c r="A8" i="39"/>
  <c r="A8" i="38"/>
  <c r="A8" i="63"/>
  <c r="A8" i="62"/>
  <c r="A8" i="61"/>
  <c r="A11" i="63"/>
  <c r="A2" i="63"/>
  <c r="A11" i="62"/>
  <c r="A2" i="62"/>
  <c r="A14" i="63"/>
  <c r="A14" i="62"/>
  <c r="A11" i="61"/>
  <c r="A18" i="63"/>
  <c r="A18" i="62"/>
  <c r="A15" i="61"/>
  <c r="A17" i="63"/>
  <c r="A17" i="62"/>
  <c r="A14" i="61"/>
  <c r="C101" i="61"/>
  <c r="C100" i="61"/>
  <c r="C99" i="61"/>
  <c r="C98" i="61"/>
  <c r="A19" i="61"/>
  <c r="A5" i="63" l="1"/>
  <c r="C22" i="63" s="1"/>
  <c r="A5" i="62"/>
  <c r="C22" i="62" s="1"/>
  <c r="A5" i="61"/>
  <c r="C18" i="61" s="1"/>
  <c r="C61" i="63"/>
  <c r="C141" i="63"/>
  <c r="C140" i="63"/>
  <c r="C18" i="63"/>
  <c r="C14" i="63"/>
  <c r="C141" i="62"/>
  <c r="C140" i="62"/>
  <c r="C61" i="62"/>
  <c r="C60" i="62"/>
  <c r="C18" i="62"/>
  <c r="C14" i="62"/>
  <c r="C85" i="61"/>
  <c r="C88" i="61"/>
  <c r="C143" i="61"/>
  <c r="C142" i="61"/>
  <c r="C14" i="61"/>
  <c r="C60" i="63" l="1"/>
  <c r="J60" i="60" l="1"/>
  <c r="J52" i="60"/>
  <c r="I54" i="60"/>
  <c r="I62" i="60"/>
  <c r="E2" i="21" l="1"/>
  <c r="O10" i="56" a="1"/>
  <c r="O10" i="56" s="1"/>
  <c r="R9" i="19" l="1"/>
  <c r="K9" i="19"/>
  <c r="A5" i="41"/>
  <c r="C23" i="41" s="1"/>
  <c r="A5" i="40"/>
  <c r="C23" i="40" s="1"/>
  <c r="A5" i="39"/>
  <c r="C19" i="39" s="1"/>
  <c r="A5" i="38"/>
  <c r="C19" i="38" s="1"/>
  <c r="D60" i="60"/>
  <c r="D59" i="60"/>
  <c r="D58" i="60"/>
  <c r="D57" i="60"/>
  <c r="D56" i="60"/>
  <c r="D82" i="20"/>
  <c r="D83" i="20"/>
  <c r="D84" i="20"/>
  <c r="D85" i="20"/>
  <c r="D81" i="20"/>
  <c r="I5" i="30" l="1"/>
  <c r="K9" i="49"/>
  <c r="I9" i="49"/>
  <c r="G9" i="49"/>
  <c r="E9" i="49"/>
  <c r="V29" i="58"/>
  <c r="V28" i="58"/>
  <c r="V27" i="58"/>
  <c r="D32" i="58" l="1"/>
  <c r="B88" i="50" s="1"/>
  <c r="D30" i="58"/>
  <c r="F88" i="50" s="1"/>
  <c r="D37" i="58"/>
  <c r="D28" i="58"/>
  <c r="D27" i="58"/>
  <c r="D42" i="58"/>
  <c r="D43" i="58"/>
  <c r="D40" i="58"/>
  <c r="D39" i="58"/>
  <c r="D38" i="58"/>
  <c r="F60" i="60"/>
  <c r="F59" i="60"/>
  <c r="F58" i="60"/>
  <c r="F57" i="60"/>
  <c r="F56" i="60"/>
  <c r="D52" i="60"/>
  <c r="D51" i="60"/>
  <c r="D50" i="60"/>
  <c r="D49" i="60"/>
  <c r="D48" i="60"/>
  <c r="J23" i="60"/>
  <c r="D28" i="60"/>
  <c r="D27" i="60"/>
  <c r="D26" i="60"/>
  <c r="D25" i="60"/>
  <c r="D24" i="60"/>
  <c r="D23" i="60"/>
  <c r="D16" i="60"/>
  <c r="D15" i="60"/>
  <c r="D14" i="60"/>
  <c r="D13" i="60"/>
  <c r="D12" i="60"/>
  <c r="D11" i="60"/>
  <c r="D10" i="60"/>
  <c r="D8" i="60"/>
  <c r="D7" i="60"/>
  <c r="D6" i="60"/>
  <c r="F23" i="60"/>
  <c r="F62" i="60"/>
  <c r="F61" i="60"/>
  <c r="F54" i="60"/>
  <c r="F53" i="60"/>
  <c r="F52" i="60"/>
  <c r="F51" i="60"/>
  <c r="F33" i="60"/>
  <c r="F30" i="60"/>
  <c r="F29" i="60"/>
  <c r="F24" i="60"/>
  <c r="F25" i="60"/>
  <c r="F20" i="60"/>
  <c r="F19" i="60"/>
  <c r="F12" i="60"/>
  <c r="F11" i="60"/>
  <c r="F10" i="60"/>
  <c r="F18" i="60"/>
  <c r="F13" i="60"/>
  <c r="F49" i="60"/>
  <c r="F48" i="60"/>
  <c r="F50" i="60"/>
  <c r="F28" i="60"/>
  <c r="F27" i="60"/>
  <c r="F31" i="60"/>
  <c r="F26" i="60"/>
  <c r="F16" i="60"/>
  <c r="F15" i="60"/>
  <c r="F21" i="60"/>
  <c r="F17" i="60"/>
  <c r="F14" i="60"/>
  <c r="E93" i="50" l="1"/>
  <c r="W25" i="58"/>
  <c r="H9" i="21"/>
  <c r="L8" i="60"/>
  <c r="E45" i="60"/>
  <c r="E43" i="60"/>
  <c r="E41" i="60"/>
  <c r="E39" i="60"/>
  <c r="E37" i="60"/>
  <c r="E34" i="60"/>
  <c r="F46" i="60"/>
  <c r="C46" i="60" s="1"/>
  <c r="F44" i="60"/>
  <c r="C44" i="60" s="1"/>
  <c r="F42" i="60"/>
  <c r="C42" i="60" s="1"/>
  <c r="F40" i="60"/>
  <c r="C40" i="60" s="1"/>
  <c r="F38" i="60"/>
  <c r="C38" i="60" s="1"/>
  <c r="F36" i="60"/>
  <c r="C36" i="60" s="1"/>
  <c r="F35" i="60"/>
  <c r="C35" i="60" s="1"/>
  <c r="E55" i="60"/>
  <c r="E22" i="60"/>
  <c r="E47" i="60"/>
  <c r="E5" i="60"/>
  <c r="C23" i="60"/>
  <c r="J62" i="60"/>
  <c r="C32" i="60"/>
  <c r="C8" i="60"/>
  <c r="F7" i="60" l="1"/>
  <c r="A19" i="63"/>
  <c r="A19" i="62"/>
  <c r="A16" i="61"/>
  <c r="C139" i="61" s="1"/>
  <c r="J63" i="60"/>
  <c r="K62" i="60"/>
  <c r="L62" i="60" s="1"/>
  <c r="C57" i="63" l="1"/>
  <c r="C137" i="63"/>
  <c r="C137" i="62"/>
  <c r="C57" i="62"/>
  <c r="K63" i="60"/>
  <c r="L63" i="60" s="1"/>
  <c r="M63" i="60" s="1"/>
  <c r="N63" i="60" s="1"/>
  <c r="J64" i="60"/>
  <c r="E64" i="60" l="1"/>
  <c r="A64" i="60"/>
  <c r="F64" i="60"/>
  <c r="K64" i="60"/>
  <c r="L64" i="60" s="1"/>
  <c r="M64" i="60" s="1"/>
  <c r="N64" i="60" s="1"/>
  <c r="A65" i="60" s="1"/>
  <c r="J65" i="60"/>
  <c r="I64" i="60"/>
  <c r="D64" i="60"/>
  <c r="F65" i="60" l="1"/>
  <c r="E65" i="60"/>
  <c r="K65" i="60"/>
  <c r="L65" i="60" s="1"/>
  <c r="M65" i="60" s="1"/>
  <c r="N65" i="60" s="1"/>
  <c r="J66" i="60"/>
  <c r="D65" i="60"/>
  <c r="I65" i="60"/>
  <c r="E66" i="60" l="1"/>
  <c r="A66" i="60"/>
  <c r="K66" i="60"/>
  <c r="L66" i="60" s="1"/>
  <c r="M66" i="60" s="1"/>
  <c r="N66" i="60" s="1"/>
  <c r="A67" i="60" s="1"/>
  <c r="J67" i="60"/>
  <c r="F66" i="60"/>
  <c r="M62" i="60"/>
  <c r="N62" i="60" s="1"/>
  <c r="A63" i="60" s="1"/>
  <c r="I66" i="60"/>
  <c r="D66" i="60"/>
  <c r="I63" i="60" l="1"/>
  <c r="E63" i="60"/>
  <c r="F67" i="60"/>
  <c r="E67" i="60"/>
  <c r="J68" i="60"/>
  <c r="K67" i="60"/>
  <c r="L67" i="60" s="1"/>
  <c r="M67" i="60" s="1"/>
  <c r="N67" i="60" s="1"/>
  <c r="F68" i="60" s="1"/>
  <c r="F63" i="60"/>
  <c r="D63" i="60"/>
  <c r="D67" i="60"/>
  <c r="I67" i="60"/>
  <c r="E68" i="60" l="1"/>
  <c r="A68" i="60"/>
  <c r="K68" i="60"/>
  <c r="L68" i="60" s="1"/>
  <c r="M68" i="60" s="1"/>
  <c r="N68" i="60" s="1"/>
  <c r="A69" i="60" s="1"/>
  <c r="J69" i="60"/>
  <c r="I68" i="60"/>
  <c r="D68" i="60"/>
  <c r="F69" i="60" l="1"/>
  <c r="E69" i="60"/>
  <c r="K69" i="60"/>
  <c r="L69" i="60" s="1"/>
  <c r="M69" i="60" s="1"/>
  <c r="N69" i="60" s="1"/>
  <c r="A70" i="60" s="1"/>
  <c r="J70" i="60"/>
  <c r="I69" i="60"/>
  <c r="D69" i="60"/>
  <c r="F70" i="60" l="1"/>
  <c r="E70" i="60"/>
  <c r="K70" i="60"/>
  <c r="L70" i="60" s="1"/>
  <c r="M70" i="60" s="1"/>
  <c r="N70" i="60" s="1"/>
  <c r="A71" i="60" s="1"/>
  <c r="J71" i="60"/>
  <c r="D70" i="60"/>
  <c r="I70" i="60"/>
  <c r="F71" i="60" l="1"/>
  <c r="E71" i="60"/>
  <c r="K71" i="60"/>
  <c r="L71" i="60" s="1"/>
  <c r="M71" i="60" s="1"/>
  <c r="N71" i="60" s="1"/>
  <c r="A72" i="60" s="1"/>
  <c r="J72" i="60"/>
  <c r="I71" i="60"/>
  <c r="D71" i="60"/>
  <c r="F72" i="60" l="1"/>
  <c r="E72" i="60"/>
  <c r="J73" i="60"/>
  <c r="K72" i="60"/>
  <c r="L72" i="60" s="1"/>
  <c r="M72" i="60" s="1"/>
  <c r="N72" i="60" s="1"/>
  <c r="A73" i="60" s="1"/>
  <c r="I72" i="60"/>
  <c r="D72" i="60"/>
  <c r="F73" i="60" l="1"/>
  <c r="E73" i="60"/>
  <c r="K73" i="60"/>
  <c r="L73" i="60" s="1"/>
  <c r="M73" i="60" s="1"/>
  <c r="N73" i="60" s="1"/>
  <c r="A74" i="60" s="1"/>
  <c r="J74" i="60"/>
  <c r="D73" i="60"/>
  <c r="I73" i="60"/>
  <c r="F74" i="60" l="1"/>
  <c r="E74" i="60"/>
  <c r="J75" i="60"/>
  <c r="K74" i="60"/>
  <c r="L74" i="60" s="1"/>
  <c r="M74" i="60" s="1"/>
  <c r="N74" i="60" s="1"/>
  <c r="I74" i="60"/>
  <c r="D74" i="60"/>
  <c r="E75" i="60" l="1"/>
  <c r="A75" i="60"/>
  <c r="F75" i="60"/>
  <c r="J76" i="60"/>
  <c r="K75" i="60"/>
  <c r="L75" i="60" s="1"/>
  <c r="M75" i="60" s="1"/>
  <c r="N75" i="60" s="1"/>
  <c r="A76" i="60" s="1"/>
  <c r="D75" i="60"/>
  <c r="I75" i="60"/>
  <c r="F76" i="60" l="1"/>
  <c r="E76" i="60"/>
  <c r="K76" i="60"/>
  <c r="L76" i="60" s="1"/>
  <c r="M76" i="60" s="1"/>
  <c r="N76" i="60" s="1"/>
  <c r="A77" i="60" s="1"/>
  <c r="J77" i="60"/>
  <c r="I76" i="60"/>
  <c r="D76" i="60"/>
  <c r="F77" i="60" l="1"/>
  <c r="E77" i="60"/>
  <c r="J78" i="60"/>
  <c r="K77" i="60"/>
  <c r="L77" i="60" s="1"/>
  <c r="M77" i="60" s="1"/>
  <c r="N77" i="60" s="1"/>
  <c r="A78" i="60" s="1"/>
  <c r="I77" i="60"/>
  <c r="D77" i="60"/>
  <c r="F78" i="60" l="1"/>
  <c r="E78" i="60"/>
  <c r="J79" i="60"/>
  <c r="K78" i="60"/>
  <c r="L78" i="60" s="1"/>
  <c r="M78" i="60" s="1"/>
  <c r="N78" i="60" s="1"/>
  <c r="A79" i="60" s="1"/>
  <c r="D78" i="60"/>
  <c r="I78" i="60"/>
  <c r="F79" i="60" l="1"/>
  <c r="E79" i="60"/>
  <c r="J80" i="60"/>
  <c r="K79" i="60"/>
  <c r="L79" i="60" s="1"/>
  <c r="M79" i="60" s="1"/>
  <c r="N79" i="60" s="1"/>
  <c r="A80" i="60" s="1"/>
  <c r="I79" i="60"/>
  <c r="D79" i="60"/>
  <c r="F80" i="60" l="1"/>
  <c r="E80" i="60"/>
  <c r="K80" i="60"/>
  <c r="L80" i="60" s="1"/>
  <c r="M80" i="60" s="1"/>
  <c r="N80" i="60" s="1"/>
  <c r="A81" i="60" s="1"/>
  <c r="J81" i="60"/>
  <c r="I80" i="60"/>
  <c r="D80" i="60"/>
  <c r="F81" i="60" l="1"/>
  <c r="E81" i="60"/>
  <c r="J82" i="60"/>
  <c r="K81" i="60"/>
  <c r="L81" i="60" s="1"/>
  <c r="M81" i="60" s="1"/>
  <c r="N81" i="60" s="1"/>
  <c r="D81" i="60"/>
  <c r="I81" i="60"/>
  <c r="E82" i="60" l="1"/>
  <c r="A82" i="60"/>
  <c r="F82" i="60"/>
  <c r="J83" i="60"/>
  <c r="K82" i="60"/>
  <c r="L82" i="60" s="1"/>
  <c r="M82" i="60" s="1"/>
  <c r="N82" i="60" s="1"/>
  <c r="A83" i="60" s="1"/>
  <c r="I82" i="60"/>
  <c r="D82" i="60"/>
  <c r="F83" i="60" l="1"/>
  <c r="E83" i="60"/>
  <c r="K83" i="60"/>
  <c r="L83" i="60" s="1"/>
  <c r="M83" i="60" s="1"/>
  <c r="N83" i="60" s="1"/>
  <c r="J84" i="60"/>
  <c r="D83" i="60"/>
  <c r="I83" i="60"/>
  <c r="F84" i="60"/>
  <c r="E84" i="60" l="1"/>
  <c r="A84" i="60"/>
  <c r="K84" i="60"/>
  <c r="L84" i="60" s="1"/>
  <c r="M84" i="60" s="1"/>
  <c r="N84" i="60" s="1"/>
  <c r="A85" i="60" s="1"/>
  <c r="J85" i="60"/>
  <c r="I84" i="60"/>
  <c r="D84" i="60"/>
  <c r="F85" i="60" l="1"/>
  <c r="E85" i="60"/>
  <c r="K85" i="60"/>
  <c r="L85" i="60" s="1"/>
  <c r="M85" i="60" s="1"/>
  <c r="N85" i="60" s="1"/>
  <c r="J86" i="60"/>
  <c r="I85" i="60"/>
  <c r="D85" i="60"/>
  <c r="E86" i="60" l="1"/>
  <c r="A86" i="60"/>
  <c r="F86" i="60"/>
  <c r="K86" i="60"/>
  <c r="L86" i="60" s="1"/>
  <c r="M86" i="60" s="1"/>
  <c r="N86" i="60" s="1"/>
  <c r="A87" i="60" s="1"/>
  <c r="J87" i="60"/>
  <c r="D86" i="60"/>
  <c r="I86" i="60"/>
  <c r="F87" i="60" l="1"/>
  <c r="E87" i="60"/>
  <c r="K87" i="60"/>
  <c r="L87" i="60" s="1"/>
  <c r="M87" i="60" s="1"/>
  <c r="N87" i="60" s="1"/>
  <c r="A88" i="60" s="1"/>
  <c r="J88" i="60"/>
  <c r="I87" i="60"/>
  <c r="D87" i="60"/>
  <c r="F88" i="60" l="1"/>
  <c r="E88" i="60"/>
  <c r="J89" i="60"/>
  <c r="K88" i="60"/>
  <c r="L88" i="60" s="1"/>
  <c r="M88" i="60" s="1"/>
  <c r="N88" i="60" s="1"/>
  <c r="A89" i="60" s="1"/>
  <c r="I88" i="60"/>
  <c r="D88" i="60"/>
  <c r="F89" i="60" l="1"/>
  <c r="E89" i="60"/>
  <c r="K89" i="60"/>
  <c r="L89" i="60" s="1"/>
  <c r="M89" i="60" s="1"/>
  <c r="N89" i="60" s="1"/>
  <c r="A90" i="60" s="1"/>
  <c r="J90" i="60"/>
  <c r="D89" i="60"/>
  <c r="I89" i="60"/>
  <c r="F90" i="60" l="1"/>
  <c r="E90" i="60"/>
  <c r="J91" i="60"/>
  <c r="K90" i="60"/>
  <c r="L90" i="60" s="1"/>
  <c r="M90" i="60" s="1"/>
  <c r="N90" i="60" s="1"/>
  <c r="A91" i="60" s="1"/>
  <c r="I90" i="60"/>
  <c r="D90" i="60"/>
  <c r="F91" i="60" l="1"/>
  <c r="E91" i="60"/>
  <c r="J92" i="60"/>
  <c r="K91" i="60"/>
  <c r="L91" i="60" s="1"/>
  <c r="M91" i="60" s="1"/>
  <c r="N91" i="60" s="1"/>
  <c r="A92" i="60" s="1"/>
  <c r="D91" i="60"/>
  <c r="I91" i="60"/>
  <c r="F92" i="60" l="1"/>
  <c r="E92" i="60"/>
  <c r="K92" i="60"/>
  <c r="L92" i="60" s="1"/>
  <c r="M92" i="60" s="1"/>
  <c r="N92" i="60" s="1"/>
  <c r="A93" i="60" s="1"/>
  <c r="J93" i="60"/>
  <c r="I92" i="60"/>
  <c r="D92" i="60"/>
  <c r="F93" i="60" l="1"/>
  <c r="E93" i="60"/>
  <c r="K93" i="60"/>
  <c r="L93" i="60" s="1"/>
  <c r="M93" i="60" s="1"/>
  <c r="N93" i="60" s="1"/>
  <c r="A94" i="60" s="1"/>
  <c r="J94" i="60"/>
  <c r="I93" i="60"/>
  <c r="D93" i="60"/>
  <c r="F94" i="60" l="1"/>
  <c r="E94" i="60"/>
  <c r="J95" i="60"/>
  <c r="K94" i="60"/>
  <c r="L94" i="60" s="1"/>
  <c r="M94" i="60" s="1"/>
  <c r="N94" i="60" s="1"/>
  <c r="A95" i="60" s="1"/>
  <c r="D94" i="60"/>
  <c r="I94" i="60"/>
  <c r="F95" i="60" l="1"/>
  <c r="E95" i="60"/>
  <c r="K95" i="60"/>
  <c r="L95" i="60" s="1"/>
  <c r="M95" i="60" s="1"/>
  <c r="N95" i="60" s="1"/>
  <c r="A96" i="60" s="1"/>
  <c r="J96" i="60"/>
  <c r="I95" i="60"/>
  <c r="D95" i="60"/>
  <c r="F96" i="60" l="1"/>
  <c r="E96" i="60"/>
  <c r="K96" i="60"/>
  <c r="L96" i="60" s="1"/>
  <c r="M96" i="60" s="1"/>
  <c r="N96" i="60" s="1"/>
  <c r="A97" i="60" s="1"/>
  <c r="J97" i="60"/>
  <c r="I96" i="60"/>
  <c r="D96" i="60"/>
  <c r="F97" i="60" l="1"/>
  <c r="E97" i="60"/>
  <c r="J98" i="60"/>
  <c r="K97" i="60"/>
  <c r="L97" i="60" s="1"/>
  <c r="M97" i="60" s="1"/>
  <c r="N97" i="60" s="1"/>
  <c r="A98" i="60" s="1"/>
  <c r="D97" i="60"/>
  <c r="I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K99" i="60"/>
  <c r="L99" i="60" s="1"/>
  <c r="M99" i="60" s="1"/>
  <c r="N99" i="60" s="1"/>
  <c r="A100" i="60" s="1"/>
  <c r="J100" i="60"/>
  <c r="I99" i="60"/>
  <c r="D99" i="60"/>
  <c r="F100" i="60" l="1"/>
  <c r="E100" i="60"/>
  <c r="K100" i="60"/>
  <c r="L100" i="60" s="1"/>
  <c r="M100" i="60" s="1"/>
  <c r="N100" i="60" s="1"/>
  <c r="A101" i="60" s="1"/>
  <c r="J101" i="60"/>
  <c r="I100" i="60"/>
  <c r="D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D102" i="60"/>
  <c r="I102" i="60"/>
  <c r="F103" i="60" l="1"/>
  <c r="E103" i="60"/>
  <c r="K103" i="60"/>
  <c r="L103" i="60" s="1"/>
  <c r="M103" i="60" s="1"/>
  <c r="N103" i="60" s="1"/>
  <c r="A104" i="60" s="1"/>
  <c r="J104" i="60"/>
  <c r="I103" i="60"/>
  <c r="D103" i="60"/>
  <c r="F104" i="60" l="1"/>
  <c r="E104" i="60"/>
  <c r="J105" i="60"/>
  <c r="K104" i="60"/>
  <c r="L104" i="60" s="1"/>
  <c r="M104" i="60" s="1"/>
  <c r="N104" i="60" s="1"/>
  <c r="A105" i="60" s="1"/>
  <c r="I104" i="60"/>
  <c r="D104" i="60"/>
  <c r="F105" i="60" l="1"/>
  <c r="E105" i="60"/>
  <c r="K105" i="60"/>
  <c r="L105" i="60" s="1"/>
  <c r="M105" i="60" s="1"/>
  <c r="N105" i="60" s="1"/>
  <c r="A106" i="60" s="1"/>
  <c r="J106" i="60"/>
  <c r="D105" i="60"/>
  <c r="I105" i="60"/>
  <c r="F106" i="60" l="1"/>
  <c r="E106" i="60"/>
  <c r="K106" i="60"/>
  <c r="L106" i="60" s="1"/>
  <c r="M106" i="60" s="1"/>
  <c r="N106" i="60" s="1"/>
  <c r="A107" i="60" s="1"/>
  <c r="J107" i="60"/>
  <c r="I106" i="60"/>
  <c r="D106" i="60"/>
  <c r="F107" i="60" l="1"/>
  <c r="E107" i="60"/>
  <c r="J108" i="60"/>
  <c r="K107" i="60"/>
  <c r="L107" i="60" s="1"/>
  <c r="M107" i="60" s="1"/>
  <c r="N107" i="60" s="1"/>
  <c r="A108" i="60" s="1"/>
  <c r="D107" i="60"/>
  <c r="I107" i="60"/>
  <c r="F108" i="60" l="1"/>
  <c r="E108" i="60"/>
  <c r="K108" i="60"/>
  <c r="L108" i="60" s="1"/>
  <c r="M108" i="60" s="1"/>
  <c r="N108" i="60" s="1"/>
  <c r="A109" i="60" s="1"/>
  <c r="J109" i="60"/>
  <c r="I108" i="60"/>
  <c r="D108" i="60"/>
  <c r="F109" i="60" l="1"/>
  <c r="E109" i="60"/>
  <c r="K109" i="60"/>
  <c r="L109" i="60" s="1"/>
  <c r="M109" i="60" s="1"/>
  <c r="N109" i="60" s="1"/>
  <c r="A110" i="60" s="1"/>
  <c r="J110" i="60"/>
  <c r="I109" i="60"/>
  <c r="D109" i="60"/>
  <c r="F110" i="60" l="1"/>
  <c r="E110" i="60"/>
  <c r="J111" i="60"/>
  <c r="K110" i="60"/>
  <c r="L110" i="60" s="1"/>
  <c r="M110" i="60" s="1"/>
  <c r="N110" i="60" s="1"/>
  <c r="A111" i="60" s="1"/>
  <c r="D110" i="60"/>
  <c r="I110" i="60"/>
  <c r="F111" i="60" l="1"/>
  <c r="E111" i="60"/>
  <c r="K111" i="60"/>
  <c r="L111" i="60" s="1"/>
  <c r="M111" i="60" s="1"/>
  <c r="N111" i="60" s="1"/>
  <c r="A112" i="60" s="1"/>
  <c r="J112" i="60"/>
  <c r="I111" i="60"/>
  <c r="D111" i="60"/>
  <c r="F112" i="60" l="1"/>
  <c r="E112" i="60"/>
  <c r="K112" i="60"/>
  <c r="L112" i="60" s="1"/>
  <c r="M112" i="60" s="1"/>
  <c r="N112" i="60" s="1"/>
  <c r="A113" i="60" s="1"/>
  <c r="J113" i="60"/>
  <c r="K113" i="60" s="1"/>
  <c r="L113" i="60" s="1"/>
  <c r="M113" i="60" s="1"/>
  <c r="N113" i="60" s="1"/>
  <c r="I112" i="60"/>
  <c r="D112" i="60"/>
  <c r="E114" i="60" l="1"/>
  <c r="A114" i="60"/>
  <c r="F113" i="60"/>
  <c r="E113" i="60"/>
  <c r="D113" i="60"/>
  <c r="I113" i="60"/>
  <c r="I114" i="60" l="1"/>
  <c r="F114" i="60"/>
  <c r="D114" i="60"/>
  <c r="C51" i="21"/>
  <c r="C50" i="21"/>
  <c r="C42" i="21"/>
  <c r="A8" i="46" s="1"/>
  <c r="C41" i="21"/>
  <c r="A8" i="44" s="1"/>
  <c r="A5" i="44" l="1"/>
  <c r="C23" i="44" s="1"/>
  <c r="A5" i="46"/>
  <c r="C23" i="46" s="1"/>
  <c r="C59" i="60"/>
  <c r="C15" i="60"/>
  <c r="C50" i="60"/>
  <c r="C56" i="60"/>
  <c r="C28" i="60"/>
  <c r="C49" i="60"/>
  <c r="C48" i="60"/>
  <c r="C31" i="60"/>
  <c r="C17" i="60"/>
  <c r="C16" i="60"/>
  <c r="C21" i="60"/>
  <c r="C27" i="60"/>
  <c r="C26" i="60"/>
  <c r="C14" i="60"/>
  <c r="C60" i="60"/>
  <c r="C58" i="60"/>
  <c r="C51" i="60"/>
  <c r="C20" i="60"/>
  <c r="C19" i="60"/>
  <c r="C62" i="60"/>
  <c r="C52" i="60"/>
  <c r="C11" i="60"/>
  <c r="C61" i="60"/>
  <c r="C54" i="60"/>
  <c r="C30" i="60"/>
  <c r="C10" i="60"/>
  <c r="C53" i="60"/>
  <c r="C29" i="60"/>
  <c r="C24" i="60"/>
  <c r="C25" i="60"/>
  <c r="C18" i="60"/>
  <c r="C57" i="60"/>
  <c r="C12" i="60"/>
  <c r="C13" i="60"/>
  <c r="J26" i="20"/>
  <c r="C10" i="50" l="1"/>
  <c r="H18" i="50"/>
  <c r="H26" i="50"/>
  <c r="G26" i="50"/>
  <c r="H28" i="50"/>
  <c r="G28" i="50"/>
  <c r="C28" i="50"/>
  <c r="C32" i="51" l="1"/>
  <c r="C26" i="50"/>
  <c r="I25" i="51"/>
  <c r="G34" i="51"/>
  <c r="F34" i="51"/>
  <c r="C34" i="51"/>
  <c r="G32" i="51"/>
  <c r="F32" i="51"/>
  <c r="C28" i="51"/>
  <c r="D27" i="51"/>
  <c r="D25" i="51"/>
  <c r="C15" i="51"/>
  <c r="A19" i="38"/>
  <c r="W24" i="58" l="1"/>
  <c r="W38" i="58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W15" i="58"/>
  <c r="X14" i="58"/>
  <c r="V14" i="58"/>
  <c r="W14" i="58"/>
  <c r="X11" i="58"/>
  <c r="W11" i="58"/>
  <c r="V11" i="58"/>
  <c r="V9" i="58"/>
  <c r="W9" i="58"/>
  <c r="X9" i="58"/>
  <c r="X10" i="58"/>
  <c r="V10" i="58"/>
  <c r="W10" i="58"/>
  <c r="F41" i="20"/>
  <c r="C41" i="20" s="1"/>
  <c r="X8" i="58"/>
  <c r="V8" i="58"/>
  <c r="W8" i="58"/>
  <c r="X7" i="58"/>
  <c r="X6" i="58"/>
  <c r="V7" i="58"/>
  <c r="V6" i="58"/>
  <c r="W7" i="58"/>
  <c r="W6" i="58"/>
  <c r="E16" i="49" l="1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W12" i="58"/>
  <c r="I19" i="21" s="1"/>
  <c r="W16" i="58"/>
  <c r="I20" i="21" s="1"/>
  <c r="V16" i="58"/>
  <c r="H20" i="21" s="1"/>
  <c r="X16" i="58"/>
  <c r="J20" i="21" s="1"/>
  <c r="X12" i="58"/>
  <c r="J19" i="21" s="1"/>
  <c r="V18" i="58"/>
  <c r="H21" i="21" s="1"/>
  <c r="V12" i="58"/>
  <c r="H19" i="21" s="1"/>
  <c r="W18" i="58"/>
  <c r="I21" i="21" s="1"/>
  <c r="X18" i="58"/>
  <c r="J21" i="21" s="1"/>
  <c r="D64" i="20"/>
  <c r="D65" i="20"/>
  <c r="D66" i="20"/>
  <c r="D67" i="20"/>
  <c r="D68" i="20"/>
  <c r="D69" i="20"/>
  <c r="D70" i="20"/>
  <c r="D63" i="20"/>
  <c r="P83" i="58"/>
  <c r="O61" i="58" s="1"/>
  <c r="P61" i="58" s="1"/>
  <c r="P33" i="58"/>
  <c r="P82" i="58"/>
  <c r="P32" i="58"/>
  <c r="P81" i="58"/>
  <c r="P31" i="58"/>
  <c r="P80" i="58"/>
  <c r="P30" i="58"/>
  <c r="P79" i="58"/>
  <c r="J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G84" i="50" s="1"/>
  <c r="D35" i="58"/>
  <c r="B84" i="50" s="1"/>
  <c r="D34" i="58"/>
  <c r="D33" i="58"/>
  <c r="I80" i="50" s="1"/>
  <c r="D31" i="58"/>
  <c r="I88" i="50" s="1"/>
  <c r="J33" i="58"/>
  <c r="D41" i="58"/>
  <c r="J32" i="58"/>
  <c r="J31" i="58"/>
  <c r="J30" i="58"/>
  <c r="J29" i="58"/>
  <c r="J28" i="58"/>
  <c r="J27" i="58"/>
  <c r="J26" i="58"/>
  <c r="D26" i="58"/>
  <c r="E48" i="20"/>
  <c r="E46" i="20"/>
  <c r="F49" i="20"/>
  <c r="C49" i="20" s="1"/>
  <c r="F47" i="20"/>
  <c r="C47" i="20" s="1"/>
  <c r="E44" i="20"/>
  <c r="E39" i="20"/>
  <c r="F40" i="20"/>
  <c r="C40" i="20" s="1"/>
  <c r="L8" i="20"/>
  <c r="C95" i="23"/>
  <c r="C94" i="23"/>
  <c r="C93" i="23"/>
  <c r="C94" i="57"/>
  <c r="C96" i="57"/>
  <c r="C95" i="57"/>
  <c r="C81" i="57"/>
  <c r="C45" i="57"/>
  <c r="C44" i="57"/>
  <c r="C43" i="57"/>
  <c r="C42" i="57"/>
  <c r="C41" i="57"/>
  <c r="C40" i="57"/>
  <c r="C39" i="57"/>
  <c r="C38" i="57"/>
  <c r="C37" i="57"/>
  <c r="C36" i="57"/>
  <c r="O21" i="54"/>
  <c r="I8" i="57"/>
  <c r="D95" i="57"/>
  <c r="E100" i="57"/>
  <c r="I11" i="57"/>
  <c r="I9" i="57"/>
  <c r="E95" i="57" s="1"/>
  <c r="I7" i="57"/>
  <c r="H29" i="57" l="1" a="1"/>
  <c r="H29" i="57" s="1"/>
  <c r="H26" i="57" a="1"/>
  <c r="H26" i="57" s="1"/>
  <c r="H23" i="57" a="1"/>
  <c r="H23" i="57" s="1"/>
  <c r="W43" i="58"/>
  <c r="O60" i="58"/>
  <c r="P60" i="58" s="1"/>
  <c r="P64" i="58"/>
  <c r="P63" i="58"/>
  <c r="G56" i="20" s="1"/>
  <c r="W42" i="58"/>
  <c r="D7" i="58"/>
  <c r="H10" i="21"/>
  <c r="W41" i="58"/>
  <c r="C52" i="50"/>
  <c r="C59" i="51"/>
  <c r="C54" i="50"/>
  <c r="C61" i="51"/>
  <c r="C63" i="51"/>
  <c r="C56" i="50"/>
  <c r="I10" i="57"/>
  <c r="J6" i="58"/>
  <c r="O62" i="58"/>
  <c r="P62" i="58" s="1"/>
  <c r="E78" i="57"/>
  <c r="E83" i="57"/>
  <c r="E82" i="57"/>
  <c r="E80" i="57"/>
  <c r="I12" i="57" l="1"/>
  <c r="O65" i="58"/>
  <c r="P65" i="58" s="1"/>
  <c r="D81" i="57"/>
  <c r="D79" i="57"/>
  <c r="C79" i="57"/>
  <c r="E74" i="57"/>
  <c r="E70" i="57" a="1"/>
  <c r="E70" i="57" s="1"/>
  <c r="D70" i="57" a="1"/>
  <c r="D70" i="57" s="1"/>
  <c r="E69" i="57"/>
  <c r="D69" i="57"/>
  <c r="E68" i="57"/>
  <c r="D68" i="57"/>
  <c r="E67" i="57"/>
  <c r="D67" i="57"/>
  <c r="E66" i="57"/>
  <c r="D66" i="57"/>
  <c r="E65" i="57"/>
  <c r="E63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96" i="57"/>
  <c r="D94" i="57"/>
  <c r="E102" i="57"/>
  <c r="H20" i="57"/>
  <c r="E94" i="57"/>
  <c r="B94" i="57"/>
  <c r="E96" i="57" l="1"/>
  <c r="E48" i="57"/>
  <c r="E79" i="57"/>
  <c r="E81" i="57"/>
  <c r="E49" i="57"/>
  <c r="E50" i="57"/>
  <c r="E41" i="57"/>
  <c r="E53" i="57"/>
  <c r="E40" i="57"/>
  <c r="E46" i="57"/>
  <c r="E54" i="57"/>
  <c r="E36" i="57"/>
  <c r="E47" i="57"/>
  <c r="E42" i="57"/>
  <c r="E55" i="57"/>
  <c r="E43" i="57"/>
  <c r="E38" i="57"/>
  <c r="E37" i="57"/>
  <c r="E52" i="57"/>
  <c r="E44" i="57"/>
  <c r="E45" i="57"/>
  <c r="E51" i="57"/>
  <c r="E39" i="57"/>
  <c r="E71" i="57"/>
  <c r="E82" i="23" l="1"/>
  <c r="E81" i="23"/>
  <c r="E79" i="23"/>
  <c r="E77" i="23"/>
  <c r="K12" i="36"/>
  <c r="K13" i="36"/>
  <c r="K20" i="36"/>
  <c r="K21" i="36"/>
  <c r="K8" i="36"/>
  <c r="H12" i="50"/>
  <c r="C12" i="50"/>
  <c r="B8" i="50"/>
  <c r="E8" i="50"/>
  <c r="G8" i="50"/>
  <c r="I8" i="50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19" i="44" s="1"/>
  <c r="E42" i="20" l="1"/>
  <c r="F43" i="20"/>
  <c r="C43" i="20" s="1"/>
  <c r="H18" i="21" l="1"/>
  <c r="J18" i="21"/>
  <c r="P13" i="51" l="1"/>
  <c r="I18" i="21"/>
  <c r="X13" i="51"/>
  <c r="T13" i="51"/>
  <c r="I4" i="30" l="1"/>
  <c r="F45" i="20"/>
  <c r="C45" i="20" s="1"/>
  <c r="F51" i="20"/>
  <c r="C51" i="20" s="1"/>
  <c r="I7" i="23"/>
  <c r="I9" i="23"/>
  <c r="E94" i="23" s="1"/>
  <c r="I11" i="23"/>
  <c r="D94" i="23"/>
  <c r="D95" i="23"/>
  <c r="E93" i="23" l="1"/>
  <c r="H26" i="23" a="1"/>
  <c r="H26" i="23" s="1"/>
  <c r="H29" i="23" a="1"/>
  <c r="H29" i="23" s="1"/>
  <c r="H23" i="23" a="1"/>
  <c r="H23" i="23" s="1"/>
  <c r="E95" i="23"/>
  <c r="I12" i="30" l="1"/>
  <c r="E50" i="20" l="1"/>
  <c r="D74" i="20"/>
  <c r="D75" i="20"/>
  <c r="D76" i="20"/>
  <c r="D77" i="20"/>
  <c r="D73" i="20"/>
  <c r="D54" i="20"/>
  <c r="D55" i="20"/>
  <c r="D57" i="20"/>
  <c r="D58" i="20"/>
  <c r="D59" i="20"/>
  <c r="D60" i="20"/>
  <c r="D61" i="20"/>
  <c r="D56" i="20"/>
  <c r="D53" i="20"/>
  <c r="D33" i="20" l="1"/>
  <c r="D32" i="20"/>
  <c r="D31" i="20"/>
  <c r="D30" i="20"/>
  <c r="D29" i="20"/>
  <c r="D28" i="20"/>
  <c r="D27" i="20"/>
  <c r="D26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4" i="36" a="1"/>
  <c r="E4" i="36" s="1"/>
  <c r="D4" i="36"/>
  <c r="C4" i="36"/>
  <c r="E103" i="23" l="1"/>
  <c r="C8" i="20" l="1"/>
  <c r="A2" i="39" l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2" i="38" l="1"/>
  <c r="C91" i="38"/>
  <c r="C90" i="38"/>
  <c r="C89" i="38"/>
  <c r="B93" i="23" l="1"/>
  <c r="D93" i="23"/>
  <c r="E87" i="23"/>
  <c r="E89" i="23" s="1"/>
  <c r="E91" i="23" s="1"/>
  <c r="E73" i="23"/>
  <c r="E57" i="23"/>
  <c r="L63" i="51"/>
  <c r="K56" i="50"/>
  <c r="C26" i="54"/>
  <c r="C25" i="54"/>
  <c r="C24" i="54"/>
  <c r="C23" i="54"/>
  <c r="C22" i="54"/>
  <c r="E59" i="23" s="1"/>
  <c r="C21" i="54"/>
  <c r="C18" i="54"/>
  <c r="V40" i="58" s="1"/>
  <c r="W40" i="58" s="1"/>
  <c r="O17" i="54"/>
  <c r="E56" i="23" l="1"/>
  <c r="E56" i="57"/>
  <c r="E61" i="23"/>
  <c r="E61" i="57"/>
  <c r="E59" i="57"/>
  <c r="E75" i="23"/>
  <c r="E76" i="57"/>
  <c r="E74" i="23"/>
  <c r="E75" i="57"/>
  <c r="E72" i="23"/>
  <c r="E73" i="57"/>
  <c r="E71" i="23"/>
  <c r="E72" i="57"/>
  <c r="E60" i="23"/>
  <c r="E62" i="57"/>
  <c r="E60" i="57"/>
  <c r="C27" i="54"/>
  <c r="E64" i="57"/>
  <c r="E87" i="57"/>
  <c r="E88" i="57" s="1"/>
  <c r="E90" i="57" s="1"/>
  <c r="E92" i="57" s="1"/>
  <c r="E102" i="23"/>
  <c r="E62" i="23"/>
  <c r="E101" i="23"/>
  <c r="O18" i="54"/>
  <c r="P21" i="54"/>
  <c r="C94" i="38" l="1"/>
  <c r="C103" i="61"/>
  <c r="E76" i="23"/>
  <c r="E77" i="57"/>
  <c r="E58" i="23"/>
  <c r="E58" i="57"/>
  <c r="P22" i="54"/>
  <c r="C104" i="61" s="1"/>
  <c r="E86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D26" i="51"/>
  <c r="D80" i="23"/>
  <c r="C80" i="23"/>
  <c r="D78" i="23"/>
  <c r="C78" i="23"/>
  <c r="E69" i="23" a="1"/>
  <c r="E69" i="23" s="1"/>
  <c r="D69" i="23" a="1"/>
  <c r="D69" i="23" s="1"/>
  <c r="E68" i="23"/>
  <c r="D68" i="23"/>
  <c r="E67" i="23"/>
  <c r="D67" i="23"/>
  <c r="E66" i="23"/>
  <c r="D66" i="23"/>
  <c r="E65" i="23"/>
  <c r="D65" i="23"/>
  <c r="E64" i="23"/>
  <c r="E63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C68" i="52"/>
  <c r="A68" i="52"/>
  <c r="C67" i="52"/>
  <c r="C60" i="52"/>
  <c r="C61" i="52" s="1"/>
  <c r="C55" i="52"/>
  <c r="C54" i="52"/>
  <c r="C56" i="52" s="1"/>
  <c r="C47" i="52"/>
  <c r="C48" i="52" s="1"/>
  <c r="C34" i="52"/>
  <c r="C36" i="52" s="1"/>
  <c r="C30" i="52"/>
  <c r="C31" i="52" s="1"/>
  <c r="C37" i="52" s="1"/>
  <c r="X20" i="19" s="1"/>
  <c r="E101" i="57" s="1"/>
  <c r="C9" i="52"/>
  <c r="C8" i="52"/>
  <c r="E29" i="23" l="1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78" i="23"/>
  <c r="E80" i="23"/>
  <c r="C95" i="38"/>
  <c r="E89" i="57"/>
  <c r="C69" i="52"/>
  <c r="I8" i="23"/>
  <c r="I10" i="23" s="1"/>
  <c r="W19" i="19"/>
  <c r="C49" i="52"/>
  <c r="C50" i="52"/>
  <c r="C63" i="52"/>
  <c r="P23" i="54"/>
  <c r="C105" i="61" s="1"/>
  <c r="E88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5" i="23"/>
  <c r="E49" i="23"/>
  <c r="C62" i="52"/>
  <c r="C74" i="52"/>
  <c r="C75" i="52"/>
  <c r="F21" i="20"/>
  <c r="C21" i="20" s="1"/>
  <c r="F20" i="20"/>
  <c r="C20" i="20" s="1"/>
  <c r="I12" i="23" l="1"/>
  <c r="E98" i="57"/>
  <c r="E30" i="23"/>
  <c r="E30" i="57"/>
  <c r="E35" i="23"/>
  <c r="E35" i="57"/>
  <c r="E26" i="23"/>
  <c r="E26" i="57"/>
  <c r="E17" i="23"/>
  <c r="E17" i="57"/>
  <c r="C96" i="38"/>
  <c r="E91" i="57"/>
  <c r="P24" i="54"/>
  <c r="C106" i="61" s="1"/>
  <c r="E90" i="23"/>
  <c r="C97" i="38" l="1"/>
  <c r="E93" i="57"/>
  <c r="E92" i="23"/>
  <c r="F68" i="20" l="1"/>
  <c r="F33" i="20"/>
  <c r="F18" i="20"/>
  <c r="C18" i="20" s="1"/>
  <c r="E80" i="20"/>
  <c r="E72" i="20"/>
  <c r="E52" i="20"/>
  <c r="E25" i="20"/>
  <c r="E5" i="20"/>
  <c r="F16" i="20"/>
  <c r="C16" i="20" s="1"/>
  <c r="F26" i="20"/>
  <c r="F19" i="20"/>
  <c r="C19" i="20" s="1"/>
  <c r="F64" i="20"/>
  <c r="F63" i="20"/>
  <c r="F67" i="20"/>
  <c r="F70" i="20"/>
  <c r="F69" i="20"/>
  <c r="F66" i="20"/>
  <c r="F54" i="20"/>
  <c r="F32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8" i="20"/>
  <c r="F27" i="20"/>
  <c r="F34" i="20"/>
  <c r="F35" i="20"/>
  <c r="F38" i="20"/>
  <c r="F53" i="20"/>
  <c r="F58" i="20"/>
  <c r="F59" i="20"/>
  <c r="F60" i="20"/>
  <c r="F56" i="20"/>
  <c r="F57" i="20"/>
  <c r="F61" i="20"/>
  <c r="F65" i="20"/>
  <c r="F71" i="20"/>
  <c r="F76" i="20"/>
  <c r="F77" i="20"/>
  <c r="F78" i="20"/>
  <c r="F79" i="20"/>
  <c r="F86" i="20"/>
  <c r="F85" i="20"/>
  <c r="F84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87" i="20"/>
  <c r="F82" i="20"/>
  <c r="F81" i="20"/>
  <c r="F83" i="20"/>
  <c r="F74" i="20"/>
  <c r="F73" i="20"/>
  <c r="F75" i="20"/>
  <c r="F31" i="20"/>
  <c r="F30" i="20"/>
  <c r="F36" i="20"/>
  <c r="F29" i="20"/>
  <c r="F15" i="20"/>
  <c r="C15" i="20" s="1"/>
  <c r="F24" i="20"/>
  <c r="C24" i="20" s="1"/>
  <c r="F14" i="20"/>
  <c r="C14" i="20" s="1"/>
  <c r="I87" i="20" l="1"/>
  <c r="I79" i="20"/>
  <c r="J84" i="20"/>
  <c r="J76" i="20"/>
  <c r="J86" i="20"/>
  <c r="K86" i="20" s="1"/>
  <c r="L86" i="20" s="1"/>
  <c r="M86" i="20" s="1"/>
  <c r="N86" i="20" l="1"/>
  <c r="A88" i="20" s="1"/>
  <c r="J87" i="20"/>
  <c r="J88" i="20" s="1"/>
  <c r="D88" i="20" l="1"/>
  <c r="E88" i="20"/>
  <c r="I88" i="20"/>
  <c r="K87" i="20"/>
  <c r="L87" i="20" s="1"/>
  <c r="M87" i="20" s="1"/>
  <c r="N87" i="20" s="1"/>
  <c r="J89" i="20"/>
  <c r="J90" i="20" s="1"/>
  <c r="K88" i="20" l="1"/>
  <c r="L88" i="20" s="1"/>
  <c r="M88" i="20" s="1"/>
  <c r="N88" i="20" s="1"/>
  <c r="I90" i="20" s="1"/>
  <c r="E89" i="20"/>
  <c r="A89" i="20"/>
  <c r="D89" i="20"/>
  <c r="I89" i="20"/>
  <c r="J91" i="20"/>
  <c r="C87" i="20"/>
  <c r="C86" i="20"/>
  <c r="E90" i="20" l="1"/>
  <c r="K89" i="20"/>
  <c r="L89" i="20" s="1"/>
  <c r="M89" i="20" s="1"/>
  <c r="N89" i="20" s="1"/>
  <c r="A91" i="20" s="1"/>
  <c r="D90" i="20"/>
  <c r="A90" i="20"/>
  <c r="K90" i="20"/>
  <c r="L90" i="20" s="1"/>
  <c r="M90" i="20" s="1"/>
  <c r="N90" i="20" s="1"/>
  <c r="A92" i="20" s="1"/>
  <c r="J92" i="20"/>
  <c r="K91" i="20" l="1"/>
  <c r="L91" i="20" s="1"/>
  <c r="M91" i="20" s="1"/>
  <c r="N91" i="20" s="1"/>
  <c r="A93" i="20" s="1"/>
  <c r="D91" i="20"/>
  <c r="I91" i="20"/>
  <c r="E91" i="20"/>
  <c r="D92" i="20"/>
  <c r="E92" i="20"/>
  <c r="I92" i="20"/>
  <c r="J93" i="20"/>
  <c r="C85" i="38"/>
  <c r="I93" i="20" l="1"/>
  <c r="E93" i="20"/>
  <c r="K92" i="20"/>
  <c r="L92" i="20" s="1"/>
  <c r="M92" i="20" s="1"/>
  <c r="N92" i="20" s="1"/>
  <c r="A94" i="20" s="1"/>
  <c r="D93" i="20"/>
  <c r="J94" i="20"/>
  <c r="A18" i="46"/>
  <c r="C109" i="46" s="1"/>
  <c r="A17" i="46"/>
  <c r="C108" i="46" s="1"/>
  <c r="A18" i="44"/>
  <c r="A17" i="44"/>
  <c r="A18" i="41"/>
  <c r="A17" i="41"/>
  <c r="A18" i="40"/>
  <c r="A17" i="40"/>
  <c r="A15" i="39"/>
  <c r="C88" i="39" s="1"/>
  <c r="A14" i="39"/>
  <c r="C87" i="39" s="1"/>
  <c r="A15" i="38"/>
  <c r="C134" i="38" s="1"/>
  <c r="A14" i="38"/>
  <c r="C133" i="38" s="1"/>
  <c r="K93" i="20" l="1"/>
  <c r="L93" i="20" s="1"/>
  <c r="M93" i="20" s="1"/>
  <c r="N93" i="20" s="1"/>
  <c r="A95" i="20" s="1"/>
  <c r="I94" i="20"/>
  <c r="D94" i="20"/>
  <c r="E94" i="20"/>
  <c r="J95" i="20"/>
  <c r="K94" i="20"/>
  <c r="L94" i="20" s="1"/>
  <c r="M94" i="20" s="1"/>
  <c r="N94" i="20" s="1"/>
  <c r="A96" i="20" s="1"/>
  <c r="C74" i="41"/>
  <c r="C154" i="41"/>
  <c r="C106" i="44"/>
  <c r="C417" i="44"/>
  <c r="C73" i="40"/>
  <c r="C153" i="40"/>
  <c r="C107" i="44"/>
  <c r="C418" i="44"/>
  <c r="C153" i="41"/>
  <c r="C73" i="41"/>
  <c r="C74" i="40"/>
  <c r="C154" i="40"/>
  <c r="I95" i="20" l="1"/>
  <c r="D95" i="20"/>
  <c r="E95" i="20"/>
  <c r="D96" i="20"/>
  <c r="I96" i="20"/>
  <c r="E96" i="20"/>
  <c r="K95" i="20"/>
  <c r="L95" i="20" s="1"/>
  <c r="M95" i="20" s="1"/>
  <c r="N95" i="20" s="1"/>
  <c r="A97" i="20" s="1"/>
  <c r="J96" i="20"/>
  <c r="I97" i="20" l="1"/>
  <c r="E97" i="20"/>
  <c r="D97" i="20"/>
  <c r="J97" i="20"/>
  <c r="K96" i="20"/>
  <c r="L96" i="20" s="1"/>
  <c r="M96" i="20" s="1"/>
  <c r="N96" i="20" s="1"/>
  <c r="A98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98" i="20" l="1"/>
  <c r="E98" i="20"/>
  <c r="D98" i="20"/>
  <c r="J98" i="20"/>
  <c r="K97" i="20"/>
  <c r="L97" i="20" s="1"/>
  <c r="M97" i="20" s="1"/>
  <c r="N97" i="20" s="1"/>
  <c r="A99" i="20" s="1"/>
  <c r="E70" i="23"/>
  <c r="C82" i="20"/>
  <c r="C81" i="20"/>
  <c r="C85" i="20"/>
  <c r="C84" i="20"/>
  <c r="C83" i="20"/>
  <c r="C74" i="20"/>
  <c r="C73" i="20"/>
  <c r="C79" i="20"/>
  <c r="C78" i="20"/>
  <c r="C77" i="20"/>
  <c r="C76" i="20"/>
  <c r="C75" i="20"/>
  <c r="C71" i="20"/>
  <c r="C70" i="20"/>
  <c r="C69" i="20"/>
  <c r="C68" i="20"/>
  <c r="C67" i="20"/>
  <c r="C66" i="20"/>
  <c r="C65" i="20"/>
  <c r="C64" i="20"/>
  <c r="C63" i="20"/>
  <c r="C61" i="20"/>
  <c r="C60" i="20"/>
  <c r="C59" i="20"/>
  <c r="C58" i="20"/>
  <c r="C57" i="20"/>
  <c r="C54" i="20"/>
  <c r="C53" i="20"/>
  <c r="C31" i="20"/>
  <c r="C30" i="20"/>
  <c r="C37" i="20"/>
  <c r="C36" i="20"/>
  <c r="C35" i="20"/>
  <c r="C34" i="20"/>
  <c r="C33" i="20"/>
  <c r="C32" i="20"/>
  <c r="C27" i="20"/>
  <c r="C28" i="20"/>
  <c r="C29" i="20"/>
  <c r="C26" i="20"/>
  <c r="J4" i="30"/>
  <c r="G24" i="36"/>
  <c r="K14" i="43" s="1"/>
  <c r="G26" i="36"/>
  <c r="K11" i="43" s="1"/>
  <c r="G22" i="36"/>
  <c r="K8" i="43" s="1"/>
  <c r="G19" i="36"/>
  <c r="H14" i="43" s="1"/>
  <c r="G18" i="36"/>
  <c r="H11" i="43" s="1"/>
  <c r="G17" i="36"/>
  <c r="H8" i="43" s="1"/>
  <c r="G16" i="36"/>
  <c r="E14" i="43" s="1"/>
  <c r="G15" i="36"/>
  <c r="E11" i="43" s="1"/>
  <c r="G14" i="36"/>
  <c r="E8" i="43" s="1"/>
  <c r="E93" i="51"/>
  <c r="C12" i="51"/>
  <c r="D21" i="50"/>
  <c r="C8" i="50"/>
  <c r="D20" i="50"/>
  <c r="D18" i="50"/>
  <c r="E100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68" i="46" s="1"/>
  <c r="A14" i="44"/>
  <c r="C68" i="44" s="1"/>
  <c r="A2" i="46"/>
  <c r="C15" i="46" s="1"/>
  <c r="A2" i="44"/>
  <c r="C15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D134" i="50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C15" i="39"/>
  <c r="A2" i="38"/>
  <c r="C15" i="38" s="1"/>
  <c r="A14" i="41"/>
  <c r="C38" i="41" s="1"/>
  <c r="A14" i="40"/>
  <c r="C38" i="40" s="1"/>
  <c r="A11" i="39"/>
  <c r="C52" i="39" s="1"/>
  <c r="A11" i="38"/>
  <c r="C82" i="38" s="1"/>
  <c r="A11" i="41"/>
  <c r="C19" i="41" s="1"/>
  <c r="A2" i="41"/>
  <c r="C15" i="41" s="1"/>
  <c r="A11" i="40"/>
  <c r="C19" i="40" s="1"/>
  <c r="A2" i="40"/>
  <c r="C15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7" i="36"/>
  <c r="G25" i="36"/>
  <c r="G23" i="36"/>
  <c r="G21" i="36"/>
  <c r="G20" i="36"/>
  <c r="G13" i="36"/>
  <c r="G12" i="36"/>
  <c r="G11" i="36"/>
  <c r="G10" i="36"/>
  <c r="G9" i="36"/>
  <c r="G8" i="36"/>
  <c r="E99" i="23"/>
  <c r="C11" i="58"/>
  <c r="L14" i="30"/>
  <c r="K10" i="30"/>
  <c r="E99" i="57" l="1"/>
  <c r="I13" i="57"/>
  <c r="I13" i="23"/>
  <c r="E96" i="23" s="1"/>
  <c r="E62" i="20"/>
  <c r="A11" i="46"/>
  <c r="C19" i="46" s="1"/>
  <c r="AF3" i="30"/>
  <c r="AH3" i="30" s="1"/>
  <c r="AD4" i="30"/>
  <c r="AF2" i="30"/>
  <c r="AG2" i="30" s="1"/>
  <c r="AH72" i="30"/>
  <c r="AK72" i="30" s="1"/>
  <c r="X106" i="51"/>
  <c r="E247" i="50"/>
  <c r="B221" i="50"/>
  <c r="X79" i="51"/>
  <c r="R11" i="43"/>
  <c r="S11" i="43" s="1"/>
  <c r="K101" i="51"/>
  <c r="E221" i="50"/>
  <c r="K221" i="50"/>
  <c r="C221" i="50"/>
  <c r="Z106" i="51"/>
  <c r="J157" i="50"/>
  <c r="T24" i="51"/>
  <c r="J162" i="50"/>
  <c r="I146" i="50"/>
  <c r="K153" i="50"/>
  <c r="B162" i="50"/>
  <c r="E153" i="50"/>
  <c r="V79" i="51"/>
  <c r="T20" i="51"/>
  <c r="V106" i="51"/>
  <c r="B157" i="50"/>
  <c r="B247" i="50"/>
  <c r="X20" i="51"/>
  <c r="R79" i="51"/>
  <c r="G221" i="50"/>
  <c r="V20" i="51"/>
  <c r="H153" i="50"/>
  <c r="Y24" i="51"/>
  <c r="B146" i="51"/>
  <c r="F8" i="43"/>
  <c r="G8" i="43" s="1"/>
  <c r="R106" i="51"/>
  <c r="L88" i="51"/>
  <c r="F55" i="20"/>
  <c r="C55" i="20" s="1"/>
  <c r="F7" i="20"/>
  <c r="C7" i="20" s="1"/>
  <c r="A16" i="39"/>
  <c r="C84" i="39" s="1"/>
  <c r="A19" i="46"/>
  <c r="A19" i="40"/>
  <c r="A19" i="44"/>
  <c r="A16" i="38"/>
  <c r="C130" i="38" s="1"/>
  <c r="A19" i="41"/>
  <c r="AG44" i="30"/>
  <c r="AI44" i="30" s="1"/>
  <c r="AK44" i="30" s="1"/>
  <c r="I99" i="20"/>
  <c r="E99" i="20"/>
  <c r="D99" i="20"/>
  <c r="J99" i="20"/>
  <c r="K98" i="20"/>
  <c r="L98" i="20" s="1"/>
  <c r="M98" i="20" s="1"/>
  <c r="N98" i="20" s="1"/>
  <c r="A100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L33" i="30"/>
  <c r="AG29" i="30"/>
  <c r="AI29" i="30" s="1"/>
  <c r="AK29" i="30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H66" i="30"/>
  <c r="AK66" i="30" s="1"/>
  <c r="AG19" i="30"/>
  <c r="AI19" i="30" s="1"/>
  <c r="AL71" i="30"/>
  <c r="AH35" i="30"/>
  <c r="AK35" i="30" s="1"/>
  <c r="AG74" i="30"/>
  <c r="AI74" i="30" s="1"/>
  <c r="AL55" i="30"/>
  <c r="I247" i="50"/>
  <c r="X6" i="32"/>
  <c r="I61" i="58" s="1"/>
  <c r="J61" i="58" s="1"/>
  <c r="P79" i="51"/>
  <c r="F101" i="5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2" i="58" s="1"/>
  <c r="B146" i="50"/>
  <c r="G247" i="50"/>
  <c r="Z79" i="51"/>
  <c r="F162" i="50"/>
  <c r="AB20" i="51"/>
  <c r="T79" i="51"/>
  <c r="B134" i="50"/>
  <c r="B101" i="51"/>
  <c r="D138" i="50"/>
  <c r="E151" i="51"/>
  <c r="C14" i="43"/>
  <c r="D14" i="43" s="1"/>
  <c r="J33" i="36"/>
  <c r="K33" i="36" s="1"/>
  <c r="H28" i="36"/>
  <c r="K28" i="36" s="1"/>
  <c r="H151" i="51"/>
  <c r="G138" i="50"/>
  <c r="C8" i="43"/>
  <c r="D8" i="43" s="1"/>
  <c r="E146" i="51"/>
  <c r="I97" i="51"/>
  <c r="B97" i="51"/>
  <c r="H153" i="51"/>
  <c r="R20" i="51"/>
  <c r="I14" i="43"/>
  <c r="J14" i="43" s="1"/>
  <c r="G140" i="50"/>
  <c r="P106" i="51"/>
  <c r="K247" i="50"/>
  <c r="E98" i="23"/>
  <c r="E97" i="23"/>
  <c r="F14" i="43"/>
  <c r="G14" i="43" s="1"/>
  <c r="D140" i="50"/>
  <c r="E153" i="51"/>
  <c r="E146" i="50"/>
  <c r="I8" i="43"/>
  <c r="J8" i="43" s="1"/>
  <c r="J140" i="50"/>
  <c r="K153" i="51"/>
  <c r="F11" i="43"/>
  <c r="G11" i="43" s="1"/>
  <c r="K146" i="51"/>
  <c r="I134" i="50"/>
  <c r="J138" i="50"/>
  <c r="K151" i="51"/>
  <c r="C11" i="43"/>
  <c r="D11" i="43" s="1"/>
  <c r="H146" i="51"/>
  <c r="F134" i="50"/>
  <c r="J88" i="51"/>
  <c r="T106" i="51"/>
  <c r="H88" i="51"/>
  <c r="P24" i="51"/>
  <c r="C247" i="50"/>
  <c r="I221" i="50"/>
  <c r="I11" i="43"/>
  <c r="J11" i="43" s="1"/>
  <c r="R14" i="43"/>
  <c r="S14" i="43" s="1"/>
  <c r="B7" i="43"/>
  <c r="C14" i="58" l="1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C105" i="46"/>
  <c r="C426" i="46"/>
  <c r="AK25" i="30"/>
  <c r="AK78" i="30"/>
  <c r="AK23" i="30"/>
  <c r="AL75" i="30"/>
  <c r="AL42" i="30"/>
  <c r="AK18" i="30"/>
  <c r="C414" i="44"/>
  <c r="C103" i="44"/>
  <c r="C70" i="41"/>
  <c r="C150" i="41"/>
  <c r="C150" i="40"/>
  <c r="C70" i="40"/>
  <c r="AK32" i="30"/>
  <c r="AK68" i="30"/>
  <c r="AK40" i="30"/>
  <c r="AK24" i="30"/>
  <c r="AL36" i="30"/>
  <c r="AK34" i="30"/>
  <c r="AK26" i="30"/>
  <c r="AK46" i="30"/>
  <c r="AK69" i="30"/>
  <c r="AK48" i="30"/>
  <c r="AK49" i="30"/>
  <c r="AL29" i="30"/>
  <c r="AL34" i="30"/>
  <c r="AK20" i="30"/>
  <c r="I100" i="20"/>
  <c r="E100" i="20"/>
  <c r="D100" i="20"/>
  <c r="J100" i="20"/>
  <c r="K99" i="20"/>
  <c r="L99" i="20" s="1"/>
  <c r="M99" i="20" s="1"/>
  <c r="N99" i="20" s="1"/>
  <c r="A101" i="20" s="1"/>
  <c r="AK73" i="30"/>
  <c r="AK50" i="30"/>
  <c r="AL26" i="30"/>
  <c r="AK3" i="30"/>
  <c r="AK17" i="30"/>
  <c r="AK27" i="30"/>
  <c r="AL62" i="30"/>
  <c r="AK53" i="30"/>
  <c r="AK45" i="30"/>
  <c r="AK64" i="30"/>
  <c r="AK41" i="30"/>
  <c r="AL77" i="30"/>
  <c r="AK31" i="30"/>
  <c r="AK58" i="30"/>
  <c r="AK54" i="30"/>
  <c r="AK43" i="30"/>
  <c r="AL3" i="30"/>
  <c r="AK63" i="30"/>
  <c r="AK65" i="30"/>
  <c r="AK57" i="30"/>
  <c r="AL54" i="30"/>
  <c r="AK19" i="30"/>
  <c r="AL19" i="30"/>
  <c r="AK21" i="30"/>
  <c r="AK56" i="30"/>
  <c r="AK59" i="30"/>
  <c r="AL74" i="30"/>
  <c r="AK74" i="30"/>
  <c r="AL47" i="30"/>
  <c r="AK47" i="30"/>
  <c r="AL76" i="30"/>
  <c r="AK76" i="30"/>
  <c r="AK67" i="30"/>
  <c r="AL63" i="30"/>
  <c r="AK70" i="30"/>
  <c r="AL57" i="30"/>
  <c r="AK61" i="30"/>
  <c r="AL61" i="30"/>
  <c r="AL64" i="30"/>
  <c r="AK16" i="30"/>
  <c r="AL16" i="30"/>
  <c r="AK39" i="30"/>
  <c r="AK28" i="30"/>
  <c r="AL37" i="30"/>
  <c r="AK37" i="30"/>
  <c r="AL51" i="30"/>
  <c r="AK51" i="30"/>
  <c r="AL20" i="30"/>
  <c r="AL58" i="30"/>
  <c r="H40" i="36"/>
  <c r="K40" i="36" s="1"/>
  <c r="H22" i="36"/>
  <c r="K22" i="36" s="1"/>
  <c r="H14" i="36"/>
  <c r="K14" i="36" s="1"/>
  <c r="H9" i="36"/>
  <c r="K9" i="36" s="1"/>
  <c r="H34" i="36"/>
  <c r="K34" i="36" s="1"/>
  <c r="J11" i="36"/>
  <c r="K11" i="36" s="1"/>
  <c r="J30" i="36"/>
  <c r="K30" i="36" s="1"/>
  <c r="J51" i="36"/>
  <c r="K51" i="36" s="1"/>
  <c r="J24" i="36"/>
  <c r="K24" i="36" s="1"/>
  <c r="J45" i="36"/>
  <c r="K45" i="36" s="1"/>
  <c r="J48" i="36"/>
  <c r="K48" i="36" s="1"/>
  <c r="J42" i="36"/>
  <c r="K42" i="36" s="1"/>
  <c r="J19" i="36"/>
  <c r="K19" i="36" s="1"/>
  <c r="J16" i="36"/>
  <c r="K16" i="36" s="1"/>
  <c r="J39" i="36"/>
  <c r="K39" i="36" s="1"/>
  <c r="H31" i="36"/>
  <c r="K31" i="36" s="1"/>
  <c r="H17" i="36"/>
  <c r="K17" i="36" s="1"/>
  <c r="H46" i="36"/>
  <c r="K46" i="36" s="1"/>
  <c r="H25" i="36"/>
  <c r="K25" i="36" s="1"/>
  <c r="J36" i="36"/>
  <c r="K36" i="36" s="1"/>
  <c r="J27" i="36"/>
  <c r="K27" i="36" s="1"/>
  <c r="H37" i="36"/>
  <c r="K37" i="36" s="1"/>
  <c r="H49" i="36"/>
  <c r="K49" i="36" s="1"/>
  <c r="H43" i="36"/>
  <c r="K43" i="36" s="1"/>
  <c r="I93" i="51"/>
  <c r="Z20" i="51"/>
  <c r="F157" i="50"/>
  <c r="I41" i="36"/>
  <c r="K41" i="36" s="1"/>
  <c r="I15" i="36"/>
  <c r="K15" i="36" s="1"/>
  <c r="I10" i="36"/>
  <c r="K10" i="36" s="1"/>
  <c r="I29" i="36"/>
  <c r="K29" i="36" s="1"/>
  <c r="I47" i="36"/>
  <c r="K47" i="36" s="1"/>
  <c r="I26" i="36"/>
  <c r="K26" i="36" s="1"/>
  <c r="I35" i="36"/>
  <c r="K35" i="36" s="1"/>
  <c r="I44" i="36"/>
  <c r="K44" i="36" s="1"/>
  <c r="I38" i="36"/>
  <c r="K38" i="36" s="1"/>
  <c r="I23" i="36"/>
  <c r="K23" i="36" s="1"/>
  <c r="I50" i="36"/>
  <c r="K50" i="36" s="1"/>
  <c r="I32" i="36"/>
  <c r="K32" i="36" s="1"/>
  <c r="I18" i="36"/>
  <c r="K18" i="36" s="1"/>
  <c r="AE5" i="30" l="1"/>
  <c r="AF5" i="30" s="1"/>
  <c r="AD6" i="30"/>
  <c r="AG4" i="30"/>
  <c r="AH4" i="30"/>
  <c r="I101" i="20"/>
  <c r="E101" i="20"/>
  <c r="D101" i="20"/>
  <c r="J101" i="20"/>
  <c r="K100" i="20"/>
  <c r="L100" i="20" s="1"/>
  <c r="M100" i="20" s="1"/>
  <c r="N100" i="20" s="1"/>
  <c r="A102" i="20" s="1"/>
  <c r="AI4" i="30" l="1"/>
  <c r="AL4" i="30" s="1"/>
  <c r="AE6" i="30"/>
  <c r="AF6" i="30" s="1"/>
  <c r="AD7" i="30"/>
  <c r="AH5" i="30"/>
  <c r="AG5" i="30"/>
  <c r="E88" i="51"/>
  <c r="D102" i="20"/>
  <c r="I102" i="20"/>
  <c r="E102" i="20"/>
  <c r="K101" i="20"/>
  <c r="L101" i="20" s="1"/>
  <c r="M101" i="20" s="1"/>
  <c r="N101" i="20" s="1"/>
  <c r="A103" i="20" s="1"/>
  <c r="J102" i="20"/>
  <c r="B93" i="51"/>
  <c r="AK4" i="30" l="1"/>
  <c r="AE7" i="30"/>
  <c r="AF7" i="30" s="1"/>
  <c r="AD8" i="30"/>
  <c r="AH6" i="30"/>
  <c r="AG6" i="30"/>
  <c r="AI5" i="30"/>
  <c r="L93" i="51"/>
  <c r="J103" i="20"/>
  <c r="K102" i="20"/>
  <c r="L102" i="20" s="1"/>
  <c r="M102" i="20" s="1"/>
  <c r="N102" i="20" s="1"/>
  <c r="A104" i="20" s="1"/>
  <c r="I103" i="20"/>
  <c r="E103" i="20"/>
  <c r="D103" i="20"/>
  <c r="AL5" i="30" l="1"/>
  <c r="AK5" i="30"/>
  <c r="AE8" i="30"/>
  <c r="AF8" i="30" s="1"/>
  <c r="AD9" i="30"/>
  <c r="AH7" i="30"/>
  <c r="AG7" i="30"/>
  <c r="AI6" i="30"/>
  <c r="E104" i="20"/>
  <c r="D104" i="20"/>
  <c r="I104" i="20"/>
  <c r="K103" i="20"/>
  <c r="L103" i="20" s="1"/>
  <c r="M103" i="20" s="1"/>
  <c r="N103" i="20" s="1"/>
  <c r="A105" i="20" s="1"/>
  <c r="J104" i="20"/>
  <c r="AL6" i="30" l="1"/>
  <c r="AK6" i="30"/>
  <c r="AI7" i="30"/>
  <c r="AE9" i="30"/>
  <c r="AF9" i="30" s="1"/>
  <c r="AD10" i="30"/>
  <c r="AH8" i="30"/>
  <c r="AG8" i="30"/>
  <c r="E105" i="20"/>
  <c r="I105" i="20"/>
  <c r="D105" i="20"/>
  <c r="J105" i="20"/>
  <c r="K104" i="20"/>
  <c r="L104" i="20" s="1"/>
  <c r="M104" i="20" s="1"/>
  <c r="N104" i="20" s="1"/>
  <c r="A106" i="20" s="1"/>
  <c r="AK7" i="30" l="1"/>
  <c r="AL7" i="30"/>
  <c r="AI8" i="30"/>
  <c r="AH9" i="30"/>
  <c r="AG9" i="30"/>
  <c r="AE10" i="30"/>
  <c r="AF10" i="30" s="1"/>
  <c r="AD11" i="30"/>
  <c r="J106" i="20"/>
  <c r="K105" i="20"/>
  <c r="L105" i="20" s="1"/>
  <c r="M105" i="20" s="1"/>
  <c r="N105" i="20" s="1"/>
  <c r="A107" i="20" s="1"/>
  <c r="E106" i="20"/>
  <c r="I106" i="20"/>
  <c r="D106" i="20"/>
  <c r="AK8" i="30" l="1"/>
  <c r="AL8" i="30"/>
  <c r="AI9" i="30"/>
  <c r="AE11" i="30"/>
  <c r="AF11" i="30" s="1"/>
  <c r="AD12" i="30"/>
  <c r="AH10" i="30"/>
  <c r="AG10" i="30"/>
  <c r="I107" i="20"/>
  <c r="E107" i="20"/>
  <c r="D107" i="20"/>
  <c r="K106" i="20"/>
  <c r="L106" i="20" s="1"/>
  <c r="M106" i="20" s="1"/>
  <c r="N106" i="20" s="1"/>
  <c r="A108" i="20" s="1"/>
  <c r="J107" i="20"/>
  <c r="AK9" i="30" l="1"/>
  <c r="AL9" i="30"/>
  <c r="AI10" i="30"/>
  <c r="AH11" i="30"/>
  <c r="AG11" i="30"/>
  <c r="AE12" i="30"/>
  <c r="AF12" i="30" s="1"/>
  <c r="AD13" i="30"/>
  <c r="I108" i="20"/>
  <c r="E108" i="20"/>
  <c r="D108" i="20"/>
  <c r="J108" i="20"/>
  <c r="K107" i="20"/>
  <c r="L107" i="20" s="1"/>
  <c r="M107" i="20" s="1"/>
  <c r="N107" i="20" s="1"/>
  <c r="A109" i="20" s="1"/>
  <c r="AL10" i="30" l="1"/>
  <c r="AK10" i="30"/>
  <c r="AI11" i="30"/>
  <c r="AE13" i="30"/>
  <c r="AF13" i="30" s="1"/>
  <c r="AD14" i="30"/>
  <c r="AE14" i="30" s="1"/>
  <c r="AF14" i="30" s="1"/>
  <c r="AH12" i="30"/>
  <c r="AG12" i="30"/>
  <c r="K108" i="20"/>
  <c r="L108" i="20" s="1"/>
  <c r="M108" i="20" s="1"/>
  <c r="N108" i="20" s="1"/>
  <c r="A110" i="20" s="1"/>
  <c r="J109" i="20"/>
  <c r="D109" i="20"/>
  <c r="E109" i="20"/>
  <c r="I109" i="20"/>
  <c r="AL11" i="30" l="1"/>
  <c r="AK11" i="30"/>
  <c r="AI12" i="30"/>
  <c r="AH14" i="30"/>
  <c r="AG14" i="30"/>
  <c r="AH13" i="30"/>
  <c r="AG13" i="30"/>
  <c r="K109" i="20"/>
  <c r="L109" i="20" s="1"/>
  <c r="M109" i="20" s="1"/>
  <c r="N109" i="20" s="1"/>
  <c r="A111" i="20" s="1"/>
  <c r="J110" i="20"/>
  <c r="I110" i="20"/>
  <c r="D110" i="20"/>
  <c r="E110" i="20"/>
  <c r="AL12" i="30" l="1"/>
  <c r="AK12" i="30"/>
  <c r="AI13" i="30"/>
  <c r="AL2" i="30"/>
  <c r="AB6" i="58" s="1"/>
  <c r="AK2" i="30"/>
  <c r="AA6" i="58" s="1"/>
  <c r="J111" i="20"/>
  <c r="K110" i="20"/>
  <c r="L110" i="20" s="1"/>
  <c r="M110" i="20" s="1"/>
  <c r="N110" i="20" s="1"/>
  <c r="A112" i="20" s="1"/>
  <c r="I111" i="20"/>
  <c r="E111" i="20"/>
  <c r="D111" i="20"/>
  <c r="AI14" i="30" l="1"/>
  <c r="AL13" i="30"/>
  <c r="AK13" i="30"/>
  <c r="E112" i="20"/>
  <c r="D112" i="20"/>
  <c r="I112" i="20"/>
  <c r="K111" i="20"/>
  <c r="L111" i="20" s="1"/>
  <c r="M111" i="20" s="1"/>
  <c r="N111" i="20" s="1"/>
  <c r="A113" i="20" s="1"/>
  <c r="J112" i="20"/>
  <c r="AL14" i="30" l="1"/>
  <c r="AK14" i="30"/>
  <c r="W44" i="58" s="1"/>
  <c r="I113" i="20"/>
  <c r="E113" i="20"/>
  <c r="D113" i="20"/>
  <c r="J113" i="20"/>
  <c r="K112" i="20"/>
  <c r="L112" i="20" s="1"/>
  <c r="M112" i="20" s="1"/>
  <c r="N112" i="20" s="1"/>
  <c r="A114" i="20" s="1"/>
  <c r="H4" i="21" l="1"/>
  <c r="I114" i="20"/>
  <c r="E114" i="20"/>
  <c r="D114" i="20"/>
  <c r="J114" i="20"/>
  <c r="K113" i="20"/>
  <c r="L113" i="20" s="1"/>
  <c r="M113" i="20" s="1"/>
  <c r="N113" i="20" s="1"/>
  <c r="A115" i="20" s="1"/>
  <c r="W45" i="58" l="1"/>
  <c r="H5" i="21" s="1"/>
  <c r="W46" i="58" a="1"/>
  <c r="W46" i="58" s="1"/>
  <c r="H6" i="21" s="1"/>
  <c r="K114" i="20"/>
  <c r="L114" i="20" s="1"/>
  <c r="M114" i="20" s="1"/>
  <c r="N114" i="20" s="1"/>
  <c r="A116" i="20" s="1"/>
  <c r="J115" i="20"/>
  <c r="I115" i="20"/>
  <c r="E115" i="20"/>
  <c r="D115" i="20"/>
  <c r="J116" i="20" l="1"/>
  <c r="K115" i="20"/>
  <c r="L115" i="20" s="1"/>
  <c r="M115" i="20" s="1"/>
  <c r="N115" i="20" s="1"/>
  <c r="A117" i="20" s="1"/>
  <c r="I116" i="20"/>
  <c r="E116" i="20"/>
  <c r="D116" i="20"/>
  <c r="D117" i="20" l="1"/>
  <c r="I117" i="20"/>
  <c r="E117" i="20"/>
  <c r="K116" i="20"/>
  <c r="L116" i="20" s="1"/>
  <c r="M116" i="20" s="1"/>
  <c r="N116" i="20" s="1"/>
  <c r="A118" i="20" s="1"/>
  <c r="J117" i="20"/>
  <c r="I118" i="20" l="1"/>
  <c r="E118" i="20"/>
  <c r="D118" i="20"/>
  <c r="K117" i="20"/>
  <c r="L117" i="20" s="1"/>
  <c r="M117" i="20" s="1"/>
  <c r="N117" i="20" s="1"/>
  <c r="A119" i="20" s="1"/>
  <c r="J118" i="20"/>
  <c r="I119" i="20" l="1"/>
  <c r="E119" i="20"/>
  <c r="D119" i="20"/>
  <c r="J119" i="20"/>
  <c r="K118" i="20"/>
  <c r="L118" i="20" s="1"/>
  <c r="M118" i="20" s="1"/>
  <c r="N118" i="20" s="1"/>
  <c r="A120" i="20" s="1"/>
  <c r="E120" i="20" l="1"/>
  <c r="D120" i="20"/>
  <c r="I120" i="20"/>
  <c r="K119" i="20"/>
  <c r="L119" i="20" s="1"/>
  <c r="M119" i="20" s="1"/>
  <c r="N119" i="20" s="1"/>
  <c r="A121" i="20" s="1"/>
  <c r="J120" i="20"/>
  <c r="I121" i="20" l="1"/>
  <c r="E121" i="20"/>
  <c r="D121" i="20"/>
  <c r="J121" i="20"/>
  <c r="K120" i="20"/>
  <c r="L120" i="20" s="1"/>
  <c r="M120" i="20" s="1"/>
  <c r="N120" i="20" s="1"/>
  <c r="A122" i="20" s="1"/>
  <c r="E122" i="20" l="1"/>
  <c r="D122" i="20"/>
  <c r="I122" i="20"/>
  <c r="J122" i="20"/>
  <c r="K121" i="20"/>
  <c r="L121" i="20" s="1"/>
  <c r="M121" i="20" s="1"/>
  <c r="N121" i="20" s="1"/>
  <c r="A123" i="20" s="1"/>
  <c r="K122" i="20" l="1"/>
  <c r="L122" i="20" s="1"/>
  <c r="M122" i="20" s="1"/>
  <c r="N122" i="20" s="1"/>
  <c r="A124" i="20" s="1"/>
  <c r="J123" i="20"/>
  <c r="I123" i="20"/>
  <c r="E123" i="20"/>
  <c r="D123" i="20"/>
  <c r="J124" i="20" l="1"/>
  <c r="K123" i="20"/>
  <c r="L123" i="20" s="1"/>
  <c r="M123" i="20" s="1"/>
  <c r="N123" i="20" s="1"/>
  <c r="A125" i="20" s="1"/>
  <c r="I124" i="20"/>
  <c r="E124" i="20"/>
  <c r="D124" i="20"/>
  <c r="D125" i="20" l="1"/>
  <c r="I125" i="20"/>
  <c r="E125" i="20"/>
  <c r="K124" i="20"/>
  <c r="L124" i="20" s="1"/>
  <c r="M124" i="20" s="1"/>
  <c r="N124" i="20" s="1"/>
  <c r="A126" i="20" s="1"/>
  <c r="J125" i="20"/>
  <c r="I126" i="20" l="1"/>
  <c r="E126" i="20"/>
  <c r="D126" i="20"/>
  <c r="K125" i="20"/>
  <c r="L125" i="20" s="1"/>
  <c r="M125" i="20" s="1"/>
  <c r="N125" i="20" s="1"/>
  <c r="A127" i="20" s="1"/>
  <c r="J126" i="20"/>
  <c r="J127" i="20" l="1"/>
  <c r="K126" i="20"/>
  <c r="L126" i="20" s="1"/>
  <c r="M126" i="20" s="1"/>
  <c r="N126" i="20" s="1"/>
  <c r="A128" i="20" s="1"/>
  <c r="I127" i="20"/>
  <c r="E127" i="20"/>
  <c r="D127" i="20"/>
  <c r="E128" i="20" l="1"/>
  <c r="D128" i="20"/>
  <c r="I128" i="20"/>
  <c r="K127" i="20"/>
  <c r="L127" i="20" s="1"/>
  <c r="M127" i="20" s="1"/>
  <c r="N127" i="20" s="1"/>
  <c r="A129" i="20" s="1"/>
  <c r="J128" i="20"/>
  <c r="I129" i="20" l="1"/>
  <c r="E129" i="20"/>
  <c r="D129" i="20"/>
  <c r="J129" i="20"/>
  <c r="K128" i="20"/>
  <c r="L128" i="20" s="1"/>
  <c r="M128" i="20" s="1"/>
  <c r="N128" i="20" s="1"/>
  <c r="A130" i="20" s="1"/>
  <c r="D130" i="20" l="1"/>
  <c r="I130" i="20"/>
  <c r="E130" i="20"/>
  <c r="J130" i="20"/>
  <c r="K129" i="20"/>
  <c r="L129" i="20" s="1"/>
  <c r="M129" i="20" s="1"/>
  <c r="N129" i="20" s="1"/>
  <c r="A131" i="20" s="1"/>
  <c r="I131" i="20" l="1"/>
  <c r="E131" i="20"/>
  <c r="D131" i="20"/>
  <c r="K130" i="20"/>
  <c r="L130" i="20" s="1"/>
  <c r="M130" i="20" s="1"/>
  <c r="N130" i="20" s="1"/>
  <c r="A132" i="20" s="1"/>
  <c r="J131" i="20"/>
  <c r="J132" i="20" l="1"/>
  <c r="K131" i="20"/>
  <c r="L131" i="20" s="1"/>
  <c r="M131" i="20" s="1"/>
  <c r="N131" i="20" s="1"/>
  <c r="A133" i="20" s="1"/>
  <c r="I132" i="20"/>
  <c r="E132" i="20"/>
  <c r="D132" i="20"/>
  <c r="D133" i="20" l="1"/>
  <c r="I133" i="20"/>
  <c r="E133" i="20"/>
  <c r="K132" i="20"/>
  <c r="L132" i="20" s="1"/>
  <c r="M132" i="20" s="1"/>
  <c r="N132" i="20" s="1"/>
  <c r="A134" i="20" s="1"/>
  <c r="J133" i="20"/>
  <c r="I134" i="20" l="1"/>
  <c r="E134" i="20"/>
  <c r="D134" i="20"/>
  <c r="K133" i="20"/>
  <c r="L133" i="20" s="1"/>
  <c r="M133" i="20" s="1"/>
  <c r="N133" i="20" s="1"/>
  <c r="A135" i="20" s="1"/>
  <c r="J134" i="20"/>
  <c r="I135" i="20" l="1"/>
  <c r="E135" i="20"/>
  <c r="D135" i="20"/>
  <c r="J135" i="20"/>
  <c r="K134" i="20"/>
  <c r="L134" i="20" s="1"/>
  <c r="M134" i="20" s="1"/>
  <c r="N134" i="20" s="1"/>
  <c r="A136" i="20" s="1"/>
  <c r="K135" i="20" l="1"/>
  <c r="L135" i="20" s="1"/>
  <c r="M135" i="20" s="1"/>
  <c r="N135" i="20" s="1"/>
  <c r="A137" i="20" s="1"/>
  <c r="J136" i="20"/>
  <c r="E136" i="20"/>
  <c r="D136" i="20"/>
  <c r="I136" i="20"/>
  <c r="J137" i="20" l="1"/>
  <c r="K136" i="20"/>
  <c r="L136" i="20" s="1"/>
  <c r="M136" i="20" s="1"/>
  <c r="N136" i="20" s="1"/>
  <c r="A138" i="20" s="1"/>
  <c r="I137" i="20"/>
  <c r="E137" i="20"/>
  <c r="D137" i="20"/>
  <c r="I138" i="20" l="1"/>
  <c r="E138" i="20"/>
  <c r="D138" i="20"/>
  <c r="J138" i="20"/>
  <c r="K137" i="20"/>
  <c r="L137" i="20" s="1"/>
  <c r="M137" i="20" s="1"/>
  <c r="N137" i="20" s="1"/>
  <c r="A139" i="20" s="1"/>
  <c r="K138" i="20" l="1"/>
  <c r="L138" i="20" s="1"/>
  <c r="M138" i="20" s="1"/>
  <c r="N138" i="20" s="1"/>
  <c r="A140" i="20" s="1"/>
  <c r="J139" i="20"/>
  <c r="I139" i="20"/>
  <c r="E139" i="20"/>
  <c r="D139" i="20"/>
  <c r="J140" i="20" l="1"/>
  <c r="K139" i="20"/>
  <c r="L139" i="20" s="1"/>
  <c r="M139" i="20" s="1"/>
  <c r="N139" i="20" s="1"/>
  <c r="A141" i="20" s="1"/>
  <c r="I140" i="20"/>
  <c r="E140" i="20"/>
  <c r="D140" i="20"/>
  <c r="D141" i="20" l="1"/>
  <c r="I141" i="20"/>
  <c r="E141" i="20"/>
  <c r="K140" i="20"/>
  <c r="L140" i="20" s="1"/>
  <c r="M140" i="20" s="1"/>
  <c r="N140" i="20" s="1"/>
  <c r="A142" i="20" s="1"/>
  <c r="J141" i="20"/>
  <c r="I142" i="20" l="1"/>
  <c r="E142" i="20"/>
  <c r="D142" i="20"/>
  <c r="K141" i="20"/>
  <c r="L141" i="20" s="1"/>
  <c r="M141" i="20" s="1"/>
  <c r="N141" i="20" s="1"/>
  <c r="A143" i="20" s="1"/>
  <c r="J142" i="20"/>
  <c r="J143" i="20" l="1"/>
  <c r="K142" i="20"/>
  <c r="L142" i="20" s="1"/>
  <c r="M142" i="20" s="1"/>
  <c r="N142" i="20" s="1"/>
  <c r="A144" i="20" s="1"/>
  <c r="I143" i="20"/>
  <c r="E143" i="20"/>
  <c r="D143" i="20"/>
  <c r="E144" i="20" l="1"/>
  <c r="D144" i="20"/>
  <c r="I144" i="20"/>
  <c r="K143" i="20"/>
  <c r="L143" i="20" s="1"/>
  <c r="M143" i="20" s="1"/>
  <c r="N143" i="20" s="1"/>
  <c r="A145" i="20" s="1"/>
  <c r="J144" i="20"/>
  <c r="I145" i="20" l="1"/>
  <c r="E145" i="20"/>
  <c r="D145" i="20"/>
  <c r="J145" i="20"/>
  <c r="K144" i="20"/>
  <c r="L144" i="20" s="1"/>
  <c r="M144" i="20" s="1"/>
  <c r="N144" i="20" s="1"/>
  <c r="A146" i="20" s="1"/>
  <c r="I146" i="20" l="1"/>
  <c r="E146" i="20"/>
  <c r="D146" i="20"/>
  <c r="J146" i="20"/>
  <c r="K145" i="20"/>
  <c r="L145" i="20" s="1"/>
  <c r="M145" i="20" s="1"/>
  <c r="N145" i="20" s="1"/>
  <c r="A147" i="20" s="1"/>
  <c r="K146" i="20" l="1"/>
  <c r="L146" i="20" s="1"/>
  <c r="M146" i="20" s="1"/>
  <c r="N146" i="20" s="1"/>
  <c r="A148" i="20" s="1"/>
  <c r="J147" i="20"/>
  <c r="I147" i="20"/>
  <c r="E147" i="20"/>
  <c r="D147" i="20"/>
  <c r="J148" i="20" l="1"/>
  <c r="K147" i="20"/>
  <c r="L147" i="20" s="1"/>
  <c r="M147" i="20" s="1"/>
  <c r="N147" i="20" s="1"/>
  <c r="A149" i="20" s="1"/>
  <c r="I148" i="20"/>
  <c r="E148" i="20"/>
  <c r="D148" i="20"/>
  <c r="D149" i="20" l="1"/>
  <c r="E149" i="20"/>
  <c r="I149" i="20"/>
  <c r="K148" i="20"/>
  <c r="L148" i="20" s="1"/>
  <c r="M148" i="20" s="1"/>
  <c r="N148" i="20" s="1"/>
  <c r="A150" i="20" s="1"/>
  <c r="J149" i="20"/>
  <c r="K149" i="20" l="1"/>
  <c r="L149" i="20" s="1"/>
  <c r="M149" i="20" s="1"/>
  <c r="N149" i="20" s="1"/>
  <c r="A151" i="20" s="1"/>
  <c r="J150" i="20"/>
  <c r="I150" i="20"/>
  <c r="E150" i="20"/>
  <c r="D150" i="20"/>
  <c r="J151" i="20" l="1"/>
  <c r="K150" i="20"/>
  <c r="L150" i="20" s="1"/>
  <c r="M150" i="20" s="1"/>
  <c r="N150" i="20" s="1"/>
  <c r="A152" i="20" s="1"/>
  <c r="I151" i="20"/>
  <c r="E151" i="20"/>
  <c r="D151" i="20"/>
  <c r="E152" i="20" l="1"/>
  <c r="D152" i="20"/>
  <c r="I152" i="20"/>
  <c r="K151" i="20"/>
  <c r="L151" i="20" s="1"/>
  <c r="M151" i="20" s="1"/>
  <c r="N151" i="20" s="1"/>
  <c r="A153" i="20" s="1"/>
  <c r="J152" i="20"/>
  <c r="J153" i="20" l="1"/>
  <c r="K152" i="20"/>
  <c r="L152" i="20" s="1"/>
  <c r="M152" i="20" s="1"/>
  <c r="N152" i="20" s="1"/>
  <c r="A154" i="20" s="1"/>
  <c r="I153" i="20"/>
  <c r="E153" i="20"/>
  <c r="D153" i="20"/>
  <c r="I154" i="20" l="1"/>
  <c r="E154" i="20"/>
  <c r="D154" i="20"/>
  <c r="J154" i="20"/>
  <c r="K153" i="20"/>
  <c r="L153" i="20" s="1"/>
  <c r="M153" i="20" s="1"/>
  <c r="N153" i="20" s="1"/>
  <c r="A155" i="20" s="1"/>
  <c r="K154" i="20" l="1"/>
  <c r="L154" i="20" s="1"/>
  <c r="M154" i="20" s="1"/>
  <c r="N154" i="20" s="1"/>
  <c r="A156" i="20" s="1"/>
  <c r="J155" i="20"/>
  <c r="I155" i="20"/>
  <c r="E155" i="20"/>
  <c r="D155" i="20"/>
  <c r="J156" i="20" l="1"/>
  <c r="K155" i="20"/>
  <c r="L155" i="20" s="1"/>
  <c r="M155" i="20" s="1"/>
  <c r="N155" i="20" s="1"/>
  <c r="A157" i="20" s="1"/>
  <c r="I156" i="20"/>
  <c r="E156" i="20"/>
  <c r="D156" i="20"/>
  <c r="D157" i="20" l="1"/>
  <c r="E157" i="20"/>
  <c r="I157" i="20"/>
  <c r="K156" i="20"/>
  <c r="L156" i="20" s="1"/>
  <c r="M156" i="20" s="1"/>
  <c r="N156" i="20" s="1"/>
  <c r="A158" i="20" s="1"/>
  <c r="J157" i="20"/>
  <c r="I158" i="20" l="1"/>
  <c r="E158" i="20"/>
  <c r="D158" i="20"/>
  <c r="K157" i="20"/>
  <c r="L157" i="20" s="1"/>
  <c r="M157" i="20" s="1"/>
  <c r="N157" i="20" s="1"/>
  <c r="A159" i="20" s="1"/>
  <c r="J158" i="20"/>
  <c r="J159" i="20" l="1"/>
  <c r="K158" i="20"/>
  <c r="L158" i="20" s="1"/>
  <c r="M158" i="20" s="1"/>
  <c r="N158" i="20" s="1"/>
  <c r="A160" i="20" s="1"/>
  <c r="I159" i="20"/>
  <c r="E159" i="20"/>
  <c r="D159" i="20"/>
  <c r="E160" i="20" l="1"/>
  <c r="D160" i="20"/>
  <c r="I160" i="20"/>
  <c r="K159" i="20"/>
  <c r="L159" i="20" s="1"/>
  <c r="M159" i="20" s="1"/>
  <c r="N159" i="20" s="1"/>
  <c r="A161" i="20" s="1"/>
  <c r="J160" i="20"/>
  <c r="I161" i="20" l="1"/>
  <c r="E161" i="20"/>
  <c r="D161" i="20"/>
  <c r="J161" i="20"/>
  <c r="K160" i="20"/>
  <c r="L160" i="20" s="1"/>
  <c r="M160" i="20" s="1"/>
  <c r="N160" i="20" s="1"/>
  <c r="A162" i="20" s="1"/>
  <c r="J162" i="20" l="1"/>
  <c r="K161" i="20"/>
  <c r="L161" i="20" s="1"/>
  <c r="M161" i="20" s="1"/>
  <c r="N161" i="20" s="1"/>
  <c r="A163" i="20" s="1"/>
  <c r="I162" i="20"/>
  <c r="E162" i="20"/>
  <c r="D162" i="20"/>
  <c r="I163" i="20" l="1"/>
  <c r="E163" i="20"/>
  <c r="D163" i="20"/>
  <c r="K162" i="20"/>
  <c r="L162" i="20" s="1"/>
  <c r="M162" i="20" s="1"/>
  <c r="N162" i="20" s="1"/>
  <c r="A164" i="20" s="1"/>
  <c r="J163" i="20"/>
  <c r="I164" i="20" l="1"/>
  <c r="E164" i="20"/>
  <c r="D164" i="20"/>
  <c r="J164" i="20"/>
  <c r="K163" i="20"/>
  <c r="L163" i="20" s="1"/>
  <c r="M163" i="20" s="1"/>
  <c r="N163" i="20" s="1"/>
  <c r="A165" i="20" s="1"/>
  <c r="K164" i="20" l="1"/>
  <c r="L164" i="20" s="1"/>
  <c r="M164" i="20" s="1"/>
  <c r="N164" i="20" s="1"/>
  <c r="A166" i="20" s="1"/>
  <c r="J165" i="20"/>
  <c r="D165" i="20"/>
  <c r="E165" i="20"/>
  <c r="I165" i="20"/>
  <c r="K165" i="20" l="1"/>
  <c r="L165" i="20" s="1"/>
  <c r="M165" i="20" s="1"/>
  <c r="N165" i="20" s="1"/>
  <c r="A167" i="20" s="1"/>
  <c r="J166" i="20"/>
  <c r="I166" i="20"/>
  <c r="E166" i="20"/>
  <c r="D166" i="20"/>
  <c r="J167" i="20" l="1"/>
  <c r="K166" i="20"/>
  <c r="L166" i="20" s="1"/>
  <c r="M166" i="20" s="1"/>
  <c r="N166" i="20" s="1"/>
  <c r="A168" i="20" s="1"/>
  <c r="I167" i="20"/>
  <c r="E167" i="20"/>
  <c r="D167" i="20"/>
  <c r="E168" i="20" l="1"/>
  <c r="D168" i="20"/>
  <c r="I168" i="20"/>
  <c r="K167" i="20"/>
  <c r="L167" i="20" s="1"/>
  <c r="M167" i="20" s="1"/>
  <c r="N167" i="20" s="1"/>
  <c r="A169" i="20" s="1"/>
  <c r="J168" i="20"/>
  <c r="I169" i="20" l="1"/>
  <c r="E169" i="20"/>
  <c r="D169" i="20"/>
  <c r="J169" i="20"/>
  <c r="K168" i="20"/>
  <c r="L168" i="20" s="1"/>
  <c r="M168" i="20" s="1"/>
  <c r="N168" i="20" s="1"/>
  <c r="A170" i="20" s="1"/>
  <c r="J170" i="20" l="1"/>
  <c r="K169" i="20"/>
  <c r="L169" i="20" s="1"/>
  <c r="M169" i="20" s="1"/>
  <c r="N169" i="20" s="1"/>
  <c r="A171" i="20" s="1"/>
  <c r="I170" i="20"/>
  <c r="E170" i="20"/>
  <c r="D170" i="20"/>
  <c r="I171" i="20" l="1"/>
  <c r="E171" i="20"/>
  <c r="D171" i="20"/>
  <c r="K170" i="20"/>
  <c r="L170" i="20" s="1"/>
  <c r="M170" i="20" s="1"/>
  <c r="N170" i="20" s="1"/>
  <c r="A172" i="20" s="1"/>
  <c r="J171" i="20"/>
  <c r="I172" i="20" l="1"/>
  <c r="E172" i="20"/>
  <c r="D172" i="20"/>
  <c r="J172" i="20"/>
  <c r="K171" i="20"/>
  <c r="L171" i="20" s="1"/>
  <c r="M171" i="20" s="1"/>
  <c r="N171" i="20" s="1"/>
  <c r="A173" i="20" s="1"/>
  <c r="K172" i="20" l="1"/>
  <c r="L172" i="20" s="1"/>
  <c r="M172" i="20" s="1"/>
  <c r="N172" i="20" s="1"/>
  <c r="A174" i="20" s="1"/>
  <c r="J173" i="20"/>
  <c r="D173" i="20"/>
  <c r="E173" i="20"/>
  <c r="I173" i="20"/>
  <c r="K173" i="20" l="1"/>
  <c r="L173" i="20" s="1"/>
  <c r="M173" i="20" s="1"/>
  <c r="N173" i="20" s="1"/>
  <c r="A175" i="20" s="1"/>
  <c r="J174" i="20"/>
  <c r="I174" i="20"/>
  <c r="E174" i="20"/>
  <c r="D174" i="20"/>
  <c r="J175" i="20" l="1"/>
  <c r="K174" i="20"/>
  <c r="L174" i="20" s="1"/>
  <c r="M174" i="20" s="1"/>
  <c r="N174" i="20" s="1"/>
  <c r="A176" i="20" s="1"/>
  <c r="I175" i="20"/>
  <c r="E175" i="20"/>
  <c r="D175" i="20"/>
  <c r="E176" i="20" l="1"/>
  <c r="D176" i="20"/>
  <c r="I176" i="20"/>
  <c r="K175" i="20"/>
  <c r="L175" i="20" s="1"/>
  <c r="M175" i="20" s="1"/>
  <c r="N175" i="20" s="1"/>
  <c r="A177" i="20" s="1"/>
  <c r="J176" i="20"/>
  <c r="I177" i="20" l="1"/>
  <c r="E177" i="20"/>
  <c r="D177" i="20"/>
  <c r="J177" i="20"/>
  <c r="K176" i="20"/>
  <c r="L176" i="20" s="1"/>
  <c r="M176" i="20" s="1"/>
  <c r="N176" i="20" s="1"/>
  <c r="A178" i="20" s="1"/>
  <c r="I178" i="20" l="1"/>
  <c r="E178" i="20"/>
  <c r="D178" i="20"/>
  <c r="J178" i="20"/>
  <c r="K177" i="20"/>
  <c r="L177" i="20" s="1"/>
  <c r="M177" i="20" s="1"/>
  <c r="N177" i="20" s="1"/>
  <c r="A179" i="20" s="1"/>
  <c r="K178" i="20" l="1"/>
  <c r="L178" i="20" s="1"/>
  <c r="M178" i="20" s="1"/>
  <c r="N178" i="20" s="1"/>
  <c r="A180" i="20" s="1"/>
  <c r="J179" i="20"/>
  <c r="I179" i="20"/>
  <c r="E179" i="20"/>
  <c r="D179" i="20"/>
  <c r="J180" i="20" l="1"/>
  <c r="K179" i="20"/>
  <c r="L179" i="20" s="1"/>
  <c r="M179" i="20" s="1"/>
  <c r="N179" i="20" s="1"/>
  <c r="A181" i="20" s="1"/>
  <c r="I180" i="20"/>
  <c r="E180" i="20"/>
  <c r="D180" i="20"/>
  <c r="E181" i="20" l="1"/>
  <c r="D181" i="20"/>
  <c r="I181" i="20"/>
  <c r="K180" i="20"/>
  <c r="L180" i="20" s="1"/>
  <c r="M180" i="20" s="1"/>
  <c r="N180" i="20" s="1"/>
  <c r="A182" i="20" s="1"/>
  <c r="J181" i="20"/>
  <c r="J182" i="20" l="1"/>
  <c r="K181" i="20"/>
  <c r="L181" i="20" s="1"/>
  <c r="M181" i="20" s="1"/>
  <c r="N181" i="20" s="1"/>
  <c r="A183" i="20" s="1"/>
  <c r="I182" i="20"/>
  <c r="E182" i="20"/>
  <c r="D182" i="20"/>
  <c r="I183" i="20" l="1"/>
  <c r="E183" i="20"/>
  <c r="D183" i="20"/>
  <c r="J183" i="20"/>
  <c r="K182" i="20"/>
  <c r="L182" i="20" s="1"/>
  <c r="M182" i="20" s="1"/>
  <c r="N182" i="20" s="1"/>
  <c r="A184" i="20" s="1"/>
  <c r="K183" i="20" l="1"/>
  <c r="L183" i="20" s="1"/>
  <c r="M183" i="20" s="1"/>
  <c r="N183" i="20" s="1"/>
  <c r="A185" i="20" s="1"/>
  <c r="J184" i="20"/>
  <c r="I184" i="20"/>
  <c r="E184" i="20"/>
  <c r="D184" i="20"/>
  <c r="J185" i="20" l="1"/>
  <c r="K184" i="20"/>
  <c r="L184" i="20" s="1"/>
  <c r="M184" i="20" s="1"/>
  <c r="N184" i="20" s="1"/>
  <c r="A186" i="20" s="1"/>
  <c r="I185" i="20"/>
  <c r="E185" i="20"/>
  <c r="D185" i="20"/>
  <c r="E186" i="20" l="1"/>
  <c r="D186" i="20"/>
  <c r="I186" i="20"/>
  <c r="K185" i="20"/>
  <c r="L185" i="20" s="1"/>
  <c r="M185" i="20" s="1"/>
  <c r="N185" i="20" s="1"/>
  <c r="A187" i="20" s="1"/>
  <c r="J186" i="20"/>
  <c r="J187" i="20" l="1"/>
  <c r="K186" i="20"/>
  <c r="L186" i="20" s="1"/>
  <c r="M186" i="20" s="1"/>
  <c r="N186" i="20" s="1"/>
  <c r="A188" i="20" s="1"/>
  <c r="D187" i="20"/>
  <c r="I187" i="20"/>
  <c r="E187" i="20"/>
  <c r="I188" i="20" l="1"/>
  <c r="D188" i="20"/>
  <c r="E188" i="20"/>
  <c r="K187" i="20"/>
  <c r="L187" i="20" s="1"/>
  <c r="M187" i="20" s="1"/>
  <c r="N187" i="20" s="1"/>
  <c r="A189" i="20" s="1"/>
  <c r="J188" i="20"/>
  <c r="K188" i="20" l="1"/>
  <c r="L188" i="20" s="1"/>
  <c r="M188" i="20" s="1"/>
  <c r="N188" i="20" s="1"/>
  <c r="A190" i="20" s="1"/>
  <c r="J189" i="20"/>
  <c r="I189" i="20"/>
  <c r="E189" i="20"/>
  <c r="D189" i="20"/>
  <c r="J190" i="20" l="1"/>
  <c r="K189" i="20"/>
  <c r="L189" i="20" s="1"/>
  <c r="M189" i="20" s="1"/>
  <c r="N189" i="20" s="1"/>
  <c r="A191" i="20" s="1"/>
  <c r="I190" i="20"/>
  <c r="E190" i="20"/>
  <c r="D190" i="20"/>
  <c r="I191" i="20" l="1"/>
  <c r="E191" i="20"/>
  <c r="D191" i="20"/>
  <c r="J191" i="20"/>
  <c r="K190" i="20"/>
  <c r="L190" i="20" s="1"/>
  <c r="M190" i="20" s="1"/>
  <c r="N190" i="20" s="1"/>
  <c r="A192" i="20" s="1"/>
  <c r="J192" i="20" l="1"/>
  <c r="K191" i="20"/>
  <c r="L191" i="20" s="1"/>
  <c r="M191" i="20" s="1"/>
  <c r="N191" i="20" s="1"/>
  <c r="A193" i="20" s="1"/>
  <c r="I192" i="20"/>
  <c r="E192" i="20"/>
  <c r="D192" i="20"/>
  <c r="D193" i="20" l="1"/>
  <c r="E193" i="20"/>
  <c r="I193" i="20"/>
  <c r="K192" i="20"/>
  <c r="L192" i="20" s="1"/>
  <c r="M192" i="20" s="1"/>
  <c r="N192" i="20" s="1"/>
  <c r="A194" i="20" s="1"/>
  <c r="J193" i="20"/>
  <c r="E194" i="20" l="1"/>
  <c r="I194" i="20"/>
  <c r="D194" i="20"/>
  <c r="J194" i="20"/>
  <c r="K193" i="20"/>
  <c r="L193" i="20" s="1"/>
  <c r="M193" i="20" s="1"/>
  <c r="N193" i="20" s="1"/>
  <c r="A195" i="20" s="1"/>
  <c r="D195" i="20" l="1"/>
  <c r="E195" i="20"/>
  <c r="I195" i="20"/>
  <c r="J195" i="20"/>
  <c r="K194" i="20"/>
  <c r="L194" i="20" s="1"/>
  <c r="M194" i="20" s="1"/>
  <c r="N194" i="20" s="1"/>
  <c r="A196" i="20" s="1"/>
  <c r="I196" i="20" l="1"/>
  <c r="E196" i="20"/>
  <c r="D196" i="20"/>
  <c r="J196" i="20"/>
  <c r="K195" i="20"/>
  <c r="L195" i="20" s="1"/>
  <c r="M195" i="20" s="1"/>
  <c r="N195" i="20" s="1"/>
  <c r="A197" i="20" s="1"/>
  <c r="I197" i="20" l="1"/>
  <c r="D197" i="20"/>
  <c r="E197" i="20"/>
  <c r="K196" i="20"/>
  <c r="L196" i="20" s="1"/>
  <c r="M196" i="20" s="1"/>
  <c r="N196" i="20" s="1"/>
  <c r="A198" i="20" s="1"/>
  <c r="J197" i="20"/>
  <c r="I198" i="20" l="1"/>
  <c r="E198" i="20"/>
  <c r="D198" i="20"/>
  <c r="J198" i="20"/>
  <c r="K197" i="20"/>
  <c r="L197" i="20" s="1"/>
  <c r="M197" i="20" s="1"/>
  <c r="N197" i="20" s="1"/>
  <c r="A199" i="20" s="1"/>
  <c r="K198" i="20" l="1"/>
  <c r="L198" i="20" s="1"/>
  <c r="M198" i="20" s="1"/>
  <c r="N198" i="20" s="1"/>
  <c r="A200" i="20" s="1"/>
  <c r="J199" i="20"/>
  <c r="D199" i="20"/>
  <c r="E199" i="20"/>
  <c r="I199" i="20"/>
  <c r="J200" i="20" l="1"/>
  <c r="K199" i="20"/>
  <c r="L199" i="20" s="1"/>
  <c r="M199" i="20" s="1"/>
  <c r="N199" i="20" s="1"/>
  <c r="A201" i="20" s="1"/>
  <c r="I200" i="20"/>
  <c r="E200" i="20"/>
  <c r="D200" i="20"/>
  <c r="I201" i="20" l="1"/>
  <c r="D201" i="20"/>
  <c r="E201" i="20"/>
  <c r="K200" i="20"/>
  <c r="L200" i="20" s="1"/>
  <c r="M200" i="20" s="1"/>
  <c r="N200" i="20" s="1"/>
  <c r="A202" i="20" s="1"/>
  <c r="J201" i="20"/>
  <c r="J202" i="20" l="1"/>
  <c r="K201" i="20"/>
  <c r="L201" i="20" s="1"/>
  <c r="M201" i="20" s="1"/>
  <c r="N201" i="20" s="1"/>
  <c r="A203" i="20" s="1"/>
  <c r="E202" i="20"/>
  <c r="I202" i="20"/>
  <c r="D202" i="20"/>
  <c r="I203" i="20" l="1"/>
  <c r="D203" i="20"/>
  <c r="E203" i="20"/>
  <c r="J203" i="20"/>
  <c r="K202" i="20"/>
  <c r="L202" i="20" s="1"/>
  <c r="M202" i="20" s="1"/>
  <c r="N202" i="20" s="1"/>
  <c r="A204" i="20" s="1"/>
  <c r="J204" i="20" l="1"/>
  <c r="K203" i="20"/>
  <c r="L203" i="20" s="1"/>
  <c r="M203" i="20" s="1"/>
  <c r="N203" i="20" s="1"/>
  <c r="A205" i="20" s="1"/>
  <c r="I204" i="20"/>
  <c r="E204" i="20"/>
  <c r="D204" i="20"/>
  <c r="I205" i="20" l="1"/>
  <c r="D205" i="20"/>
  <c r="E205" i="20"/>
  <c r="K204" i="20"/>
  <c r="L204" i="20" s="1"/>
  <c r="M204" i="20" s="1"/>
  <c r="N204" i="20" s="1"/>
  <c r="A206" i="20" s="1"/>
  <c r="J205" i="20"/>
  <c r="J206" i="20" l="1"/>
  <c r="K205" i="20"/>
  <c r="L205" i="20" s="1"/>
  <c r="M205" i="20" s="1"/>
  <c r="N205" i="20" s="1"/>
  <c r="A207" i="20" s="1"/>
  <c r="I206" i="20"/>
  <c r="E206" i="20"/>
  <c r="D206" i="20"/>
  <c r="D207" i="20" l="1"/>
  <c r="I207" i="20"/>
  <c r="E207" i="20"/>
  <c r="K206" i="20"/>
  <c r="L206" i="20" s="1"/>
  <c r="M206" i="20" s="1"/>
  <c r="N206" i="20" s="1"/>
  <c r="A208" i="20" s="1"/>
  <c r="J207" i="20"/>
  <c r="I208" i="20" l="1"/>
  <c r="E208" i="20"/>
  <c r="D208" i="20"/>
  <c r="K207" i="20"/>
  <c r="L207" i="20" s="1"/>
  <c r="M207" i="20" s="1"/>
  <c r="N207" i="20" s="1"/>
  <c r="A209" i="20" s="1"/>
  <c r="J208" i="20"/>
  <c r="I209" i="20" l="1"/>
  <c r="E209" i="20"/>
  <c r="D209" i="20"/>
  <c r="J209" i="20"/>
  <c r="K208" i="20"/>
  <c r="L208" i="20" s="1"/>
  <c r="M208" i="20" s="1"/>
  <c r="N208" i="20" s="1"/>
  <c r="A210" i="20" s="1"/>
  <c r="E210" i="20" l="1"/>
  <c r="I210" i="20"/>
  <c r="D210" i="20"/>
  <c r="K209" i="20"/>
  <c r="L209" i="20" s="1"/>
  <c r="M209" i="20" s="1"/>
  <c r="N209" i="20" s="1"/>
  <c r="A211" i="20" s="1"/>
  <c r="J210" i="20"/>
  <c r="I211" i="20" l="1"/>
  <c r="E211" i="20"/>
  <c r="D211" i="20"/>
  <c r="J211" i="20"/>
  <c r="K210" i="20"/>
  <c r="L210" i="20" s="1"/>
  <c r="M210" i="20" s="1"/>
  <c r="N210" i="20" s="1"/>
  <c r="A212" i="20" s="1"/>
  <c r="D212" i="20" l="1"/>
  <c r="I212" i="20"/>
  <c r="E212" i="20"/>
  <c r="J212" i="20"/>
  <c r="K211" i="20"/>
  <c r="L211" i="20" s="1"/>
  <c r="M211" i="20" s="1"/>
  <c r="N211" i="20" s="1"/>
  <c r="A213" i="20" s="1"/>
  <c r="I213" i="20" l="1"/>
  <c r="E213" i="20"/>
  <c r="D213" i="20"/>
  <c r="K212" i="20"/>
  <c r="L212" i="20" s="1"/>
  <c r="M212" i="20" s="1"/>
  <c r="N212" i="20" s="1"/>
  <c r="A214" i="20" s="1"/>
  <c r="J213" i="20"/>
  <c r="I214" i="20" l="1"/>
  <c r="E214" i="20"/>
  <c r="D214" i="20"/>
  <c r="K213" i="20"/>
  <c r="L213" i="20" s="1"/>
  <c r="M213" i="20" s="1"/>
  <c r="N213" i="20" s="1"/>
  <c r="A215" i="20" s="1"/>
  <c r="J214" i="20"/>
  <c r="D215" i="20" l="1"/>
  <c r="E215" i="20"/>
  <c r="I215" i="20"/>
  <c r="K214" i="20"/>
  <c r="L214" i="20" s="1"/>
  <c r="M214" i="20" s="1"/>
  <c r="N214" i="20" s="1"/>
  <c r="A216" i="20" s="1"/>
  <c r="J215" i="20"/>
  <c r="K215" i="20" l="1"/>
  <c r="L215" i="20" s="1"/>
  <c r="M215" i="20" s="1"/>
  <c r="N215" i="20" s="1"/>
  <c r="A217" i="20" s="1"/>
  <c r="J216" i="20"/>
  <c r="I216" i="20"/>
  <c r="E216" i="20"/>
  <c r="D216" i="20"/>
  <c r="J217" i="20" l="1"/>
  <c r="K216" i="20"/>
  <c r="L216" i="20" s="1"/>
  <c r="M216" i="20" s="1"/>
  <c r="N216" i="20" s="1"/>
  <c r="A218" i="20" s="1"/>
  <c r="I217" i="20"/>
  <c r="E217" i="20"/>
  <c r="D217" i="20"/>
  <c r="E218" i="20" l="1"/>
  <c r="I218" i="20"/>
  <c r="D218" i="20"/>
  <c r="K217" i="20"/>
  <c r="L217" i="20" s="1"/>
  <c r="M217" i="20" s="1"/>
  <c r="N217" i="20" s="1"/>
  <c r="A219" i="20" s="1"/>
  <c r="J218" i="20"/>
  <c r="I219" i="20" l="1"/>
  <c r="E219" i="20"/>
  <c r="D219" i="20"/>
  <c r="J219" i="20"/>
  <c r="K218" i="20"/>
  <c r="L218" i="20" s="1"/>
  <c r="M218" i="20" s="1"/>
  <c r="N218" i="20" s="1"/>
  <c r="A220" i="20" s="1"/>
  <c r="I220" i="20" l="1"/>
  <c r="E220" i="20"/>
  <c r="D220" i="20"/>
  <c r="J220" i="20"/>
  <c r="K219" i="20"/>
  <c r="L219" i="20" s="1"/>
  <c r="M219" i="20" s="1"/>
  <c r="N219" i="20" s="1"/>
  <c r="A221" i="20" s="1"/>
  <c r="K220" i="20" l="1"/>
  <c r="L220" i="20" s="1"/>
  <c r="M220" i="20" s="1"/>
  <c r="N220" i="20" s="1"/>
  <c r="A222" i="20" s="1"/>
  <c r="J221" i="20"/>
  <c r="I221" i="20"/>
  <c r="E221" i="20"/>
  <c r="D221" i="20"/>
  <c r="K221" i="20" l="1"/>
  <c r="L221" i="20" s="1"/>
  <c r="M221" i="20" s="1"/>
  <c r="N221" i="20" s="1"/>
  <c r="A223" i="20" s="1"/>
  <c r="J222" i="20"/>
  <c r="I222" i="20"/>
  <c r="E222" i="20"/>
  <c r="D222" i="20"/>
  <c r="K222" i="20" l="1"/>
  <c r="L222" i="20" s="1"/>
  <c r="M222" i="20" s="1"/>
  <c r="N222" i="20" s="1"/>
  <c r="A224" i="20" s="1"/>
  <c r="J223" i="20"/>
  <c r="D223" i="20"/>
  <c r="E223" i="20"/>
  <c r="I223" i="20"/>
  <c r="K223" i="20" l="1"/>
  <c r="L223" i="20" s="1"/>
  <c r="M223" i="20" s="1"/>
  <c r="N223" i="20" s="1"/>
  <c r="A225" i="20" s="1"/>
  <c r="J224" i="20"/>
  <c r="I224" i="20"/>
  <c r="E224" i="20"/>
  <c r="D224" i="20"/>
  <c r="J225" i="20" l="1"/>
  <c r="K224" i="20"/>
  <c r="L224" i="20" s="1"/>
  <c r="M224" i="20" s="1"/>
  <c r="N224" i="20" s="1"/>
  <c r="A226" i="20" s="1"/>
  <c r="I225" i="20"/>
  <c r="E225" i="20"/>
  <c r="D225" i="20"/>
  <c r="E226" i="20" l="1"/>
  <c r="I226" i="20"/>
  <c r="D226" i="20"/>
  <c r="K225" i="20"/>
  <c r="L225" i="20" s="1"/>
  <c r="M225" i="20" s="1"/>
  <c r="N225" i="20" s="1"/>
  <c r="A227" i="20" s="1"/>
  <c r="J226" i="20"/>
  <c r="I227" i="20" l="1"/>
  <c r="E227" i="20"/>
  <c r="D227" i="20"/>
  <c r="J227" i="20"/>
  <c r="K226" i="20"/>
  <c r="L226" i="20" s="1"/>
  <c r="M226" i="20" s="1"/>
  <c r="N226" i="20" s="1"/>
  <c r="A228" i="20" s="1"/>
  <c r="J228" i="20" l="1"/>
  <c r="K227" i="20"/>
  <c r="L227" i="20" s="1"/>
  <c r="M227" i="20" s="1"/>
  <c r="N227" i="20" s="1"/>
  <c r="A229" i="20" s="1"/>
  <c r="I228" i="20"/>
  <c r="D228" i="20"/>
  <c r="E228" i="20"/>
  <c r="I229" i="20" l="1"/>
  <c r="E229" i="20"/>
  <c r="D229" i="20"/>
  <c r="K228" i="20"/>
  <c r="L228" i="20" s="1"/>
  <c r="M228" i="20" s="1"/>
  <c r="N228" i="20" s="1"/>
  <c r="A230" i="20" s="1"/>
  <c r="J229" i="20"/>
  <c r="K229" i="20" l="1"/>
  <c r="L229" i="20" s="1"/>
  <c r="M229" i="20" s="1"/>
  <c r="N229" i="20" s="1"/>
  <c r="A231" i="20" s="1"/>
  <c r="J230" i="20"/>
  <c r="I230" i="20"/>
  <c r="E230" i="20"/>
  <c r="D230" i="20"/>
  <c r="K230" i="20" l="1"/>
  <c r="L230" i="20" s="1"/>
  <c r="M230" i="20" s="1"/>
  <c r="N230" i="20" s="1"/>
  <c r="A232" i="20" s="1"/>
  <c r="J231" i="20"/>
  <c r="D231" i="20"/>
  <c r="E231" i="20"/>
  <c r="I231" i="20"/>
  <c r="K231" i="20" l="1"/>
  <c r="L231" i="20" s="1"/>
  <c r="M231" i="20" s="1"/>
  <c r="N231" i="20" s="1"/>
  <c r="A233" i="20" s="1"/>
  <c r="J232" i="20"/>
  <c r="I232" i="20"/>
  <c r="E232" i="20"/>
  <c r="D232" i="20"/>
  <c r="J233" i="20" l="1"/>
  <c r="K232" i="20"/>
  <c r="L232" i="20" s="1"/>
  <c r="M232" i="20" s="1"/>
  <c r="N232" i="20" s="1"/>
  <c r="A234" i="20" s="1"/>
  <c r="I233" i="20"/>
  <c r="E233" i="20"/>
  <c r="D233" i="20"/>
  <c r="E234" i="20" l="1"/>
  <c r="I234" i="20"/>
  <c r="D234" i="20"/>
  <c r="K233" i="20"/>
  <c r="L233" i="20" s="1"/>
  <c r="M233" i="20" s="1"/>
  <c r="N233" i="20" s="1"/>
  <c r="A235" i="20" s="1"/>
  <c r="J234" i="20"/>
  <c r="I235" i="20" l="1"/>
  <c r="E235" i="20"/>
  <c r="D235" i="20"/>
  <c r="J235" i="20"/>
  <c r="K234" i="20"/>
  <c r="L234" i="20" s="1"/>
  <c r="M234" i="20" s="1"/>
  <c r="N234" i="20" s="1"/>
  <c r="A236" i="20" s="1"/>
  <c r="J236" i="20" l="1"/>
  <c r="K235" i="20"/>
  <c r="L235" i="20" s="1"/>
  <c r="M235" i="20" s="1"/>
  <c r="N235" i="20" s="1"/>
  <c r="A237" i="20" s="1"/>
  <c r="I236" i="20"/>
  <c r="E236" i="20"/>
  <c r="D236" i="20"/>
  <c r="I237" i="20" l="1"/>
  <c r="E237" i="20"/>
  <c r="D237" i="20"/>
  <c r="K236" i="20"/>
  <c r="L236" i="20" s="1"/>
  <c r="M236" i="20" s="1"/>
  <c r="N236" i="20" s="1"/>
  <c r="A238" i="20" s="1"/>
  <c r="J237" i="20"/>
  <c r="I238" i="20" l="1"/>
  <c r="E238" i="20"/>
  <c r="D238" i="20"/>
  <c r="K237" i="20"/>
  <c r="L237" i="20" s="1"/>
  <c r="M237" i="20" s="1"/>
  <c r="N237" i="20" s="1"/>
  <c r="A239" i="20" s="1"/>
  <c r="J238" i="20"/>
  <c r="K238" i="20" l="1"/>
  <c r="L238" i="20" s="1"/>
  <c r="M238" i="20" s="1"/>
  <c r="N238" i="20" s="1"/>
  <c r="A240" i="20" s="1"/>
  <c r="J239" i="20"/>
  <c r="D239" i="20"/>
  <c r="E239" i="20"/>
  <c r="I239" i="20"/>
  <c r="K239" i="20" l="1"/>
  <c r="L239" i="20" s="1"/>
  <c r="M239" i="20" s="1"/>
  <c r="N239" i="20" s="1"/>
  <c r="A241" i="20" s="1"/>
  <c r="J240" i="20"/>
  <c r="I240" i="20"/>
  <c r="E240" i="20"/>
  <c r="D240" i="20"/>
  <c r="J241" i="20" l="1"/>
  <c r="K240" i="20"/>
  <c r="L240" i="20" s="1"/>
  <c r="M240" i="20" s="1"/>
  <c r="N240" i="20" s="1"/>
  <c r="A242" i="20" s="1"/>
  <c r="I241" i="20"/>
  <c r="E241" i="20"/>
  <c r="D241" i="20"/>
  <c r="E242" i="20" l="1"/>
  <c r="I242" i="20"/>
  <c r="D242" i="20"/>
  <c r="K241" i="20"/>
  <c r="L241" i="20" s="1"/>
  <c r="M241" i="20" s="1"/>
  <c r="N241" i="20" s="1"/>
  <c r="A243" i="20" s="1"/>
  <c r="J242" i="20"/>
  <c r="I243" i="20" l="1"/>
  <c r="E243" i="20"/>
  <c r="D243" i="20"/>
  <c r="J243" i="20"/>
  <c r="K242" i="20"/>
  <c r="L242" i="20" s="1"/>
  <c r="M242" i="20" s="1"/>
  <c r="N242" i="20" s="1"/>
  <c r="A244" i="20" s="1"/>
  <c r="I244" i="20" l="1"/>
  <c r="E244" i="20"/>
  <c r="D244" i="20"/>
  <c r="J244" i="20"/>
  <c r="K243" i="20"/>
  <c r="L243" i="20" s="1"/>
  <c r="M243" i="20" s="1"/>
  <c r="N243" i="20" s="1"/>
  <c r="A245" i="20" s="1"/>
  <c r="K244" i="20" l="1"/>
  <c r="L244" i="20" s="1"/>
  <c r="M244" i="20" s="1"/>
  <c r="N244" i="20" s="1"/>
  <c r="A246" i="20" s="1"/>
  <c r="J245" i="20"/>
  <c r="I245" i="20"/>
  <c r="E245" i="20"/>
  <c r="D245" i="20"/>
  <c r="K245" i="20" l="1"/>
  <c r="L245" i="20" s="1"/>
  <c r="M245" i="20" s="1"/>
  <c r="N245" i="20" s="1"/>
  <c r="A247" i="20" s="1"/>
  <c r="J246" i="20"/>
  <c r="I246" i="20"/>
  <c r="E246" i="20"/>
  <c r="D246" i="20"/>
  <c r="K246" i="20" l="1"/>
  <c r="L246" i="20" s="1"/>
  <c r="M246" i="20" s="1"/>
  <c r="N246" i="20" s="1"/>
  <c r="A248" i="20" s="1"/>
  <c r="J247" i="20"/>
  <c r="D247" i="20"/>
  <c r="E247" i="20"/>
  <c r="I247" i="20"/>
  <c r="K247" i="20" l="1"/>
  <c r="L247" i="20" s="1"/>
  <c r="M247" i="20" s="1"/>
  <c r="N247" i="20" s="1"/>
  <c r="A249" i="20" s="1"/>
  <c r="J248" i="20"/>
  <c r="I248" i="20"/>
  <c r="E248" i="20"/>
  <c r="D248" i="20"/>
  <c r="J249" i="20" l="1"/>
  <c r="K248" i="20"/>
  <c r="L248" i="20" s="1"/>
  <c r="M248" i="20" s="1"/>
  <c r="N248" i="20" s="1"/>
  <c r="A250" i="20" s="1"/>
  <c r="I249" i="20"/>
  <c r="E249" i="20"/>
  <c r="D249" i="20"/>
  <c r="E250" i="20" l="1"/>
  <c r="I250" i="20"/>
  <c r="D250" i="20"/>
  <c r="K249" i="20"/>
  <c r="L249" i="20" s="1"/>
  <c r="M249" i="20" s="1"/>
  <c r="N249" i="20" s="1"/>
  <c r="A251" i="20" s="1"/>
  <c r="J250" i="20"/>
  <c r="I251" i="20" l="1"/>
  <c r="E251" i="20"/>
  <c r="D251" i="20"/>
  <c r="J251" i="20"/>
  <c r="K250" i="20"/>
  <c r="L250" i="20" s="1"/>
  <c r="M250" i="20" s="1"/>
  <c r="N250" i="20" s="1"/>
  <c r="A252" i="20" s="1"/>
  <c r="J252" i="20" l="1"/>
  <c r="K251" i="20"/>
  <c r="L251" i="20" s="1"/>
  <c r="M251" i="20" s="1"/>
  <c r="N251" i="20" s="1"/>
  <c r="A253" i="20" s="1"/>
  <c r="I252" i="20"/>
  <c r="E252" i="20"/>
  <c r="D252" i="20"/>
  <c r="I253" i="20" l="1"/>
  <c r="E253" i="20"/>
  <c r="D253" i="20"/>
  <c r="K252" i="20"/>
  <c r="L252" i="20" s="1"/>
  <c r="M252" i="20" s="1"/>
  <c r="N252" i="20" s="1"/>
  <c r="A254" i="20" s="1"/>
  <c r="J253" i="20"/>
  <c r="I254" i="20" l="1"/>
  <c r="E254" i="20"/>
  <c r="D254" i="20"/>
  <c r="K253" i="20"/>
  <c r="L253" i="20" s="1"/>
  <c r="M253" i="20" s="1"/>
  <c r="N253" i="20" s="1"/>
  <c r="A255" i="20" s="1"/>
  <c r="J254" i="20"/>
  <c r="K254" i="20" l="1"/>
  <c r="L254" i="20" s="1"/>
  <c r="M254" i="20" s="1"/>
  <c r="N254" i="20" s="1"/>
  <c r="A256" i="20" s="1"/>
  <c r="J255" i="20"/>
  <c r="D255" i="20"/>
  <c r="E255" i="20"/>
  <c r="I255" i="20"/>
  <c r="K255" i="20" l="1"/>
  <c r="L255" i="20" s="1"/>
  <c r="M255" i="20" s="1"/>
  <c r="N255" i="20" s="1"/>
  <c r="A257" i="20" s="1"/>
  <c r="J256" i="20"/>
  <c r="I256" i="20"/>
  <c r="E256" i="20"/>
  <c r="D256" i="20"/>
  <c r="J257" i="20" l="1"/>
  <c r="K256" i="20"/>
  <c r="L256" i="20" s="1"/>
  <c r="M256" i="20" s="1"/>
  <c r="N256" i="20" s="1"/>
  <c r="A258" i="20" s="1"/>
  <c r="I257" i="20"/>
  <c r="E257" i="20"/>
  <c r="D257" i="20"/>
  <c r="E258" i="20" l="1"/>
  <c r="I258" i="20"/>
  <c r="D258" i="20"/>
  <c r="K257" i="20"/>
  <c r="L257" i="20" s="1"/>
  <c r="M257" i="20" s="1"/>
  <c r="N257" i="20" s="1"/>
  <c r="A259" i="20" s="1"/>
  <c r="J258" i="20"/>
  <c r="I259" i="20" l="1"/>
  <c r="E259" i="20"/>
  <c r="D259" i="20"/>
  <c r="J259" i="20"/>
  <c r="K258" i="20"/>
  <c r="L258" i="20" s="1"/>
  <c r="M258" i="20" s="1"/>
  <c r="N258" i="20" s="1"/>
  <c r="A260" i="20" s="1"/>
  <c r="J260" i="20" l="1"/>
  <c r="K259" i="20"/>
  <c r="L259" i="20" s="1"/>
  <c r="M259" i="20" s="1"/>
  <c r="N259" i="20" s="1"/>
  <c r="A261" i="20" s="1"/>
  <c r="I260" i="20"/>
  <c r="D260" i="20"/>
  <c r="E260" i="20"/>
  <c r="I261" i="20" l="1"/>
  <c r="E261" i="20"/>
  <c r="D261" i="20"/>
  <c r="K260" i="20"/>
  <c r="L260" i="20" s="1"/>
  <c r="M260" i="20" s="1"/>
  <c r="N260" i="20" s="1"/>
  <c r="A262" i="20" s="1"/>
  <c r="J261" i="20"/>
  <c r="I262" i="20" l="1"/>
  <c r="E262" i="20"/>
  <c r="D262" i="20"/>
  <c r="K261" i="20"/>
  <c r="L261" i="20" s="1"/>
  <c r="M261" i="20" s="1"/>
  <c r="N261" i="20" s="1"/>
  <c r="A263" i="20" s="1"/>
  <c r="J262" i="20"/>
  <c r="D263" i="20" l="1"/>
  <c r="E263" i="20"/>
  <c r="I263" i="20"/>
  <c r="K262" i="20"/>
  <c r="L262" i="20" s="1"/>
  <c r="M262" i="20" s="1"/>
  <c r="N262" i="20" s="1"/>
  <c r="A264" i="20" s="1"/>
  <c r="J263" i="20"/>
  <c r="I264" i="20" l="1"/>
  <c r="E264" i="20"/>
  <c r="D264" i="20"/>
  <c r="K263" i="20"/>
  <c r="L263" i="20" s="1"/>
  <c r="M263" i="20" s="1"/>
  <c r="N263" i="20" s="1"/>
  <c r="A265" i="20" s="1"/>
  <c r="J264" i="20"/>
  <c r="J265" i="20" l="1"/>
  <c r="K264" i="20"/>
  <c r="L264" i="20" s="1"/>
  <c r="M264" i="20" s="1"/>
  <c r="N264" i="20" s="1"/>
  <c r="A266" i="20" s="1"/>
  <c r="I265" i="20"/>
  <c r="E265" i="20"/>
  <c r="D265" i="20"/>
  <c r="E266" i="20" l="1"/>
  <c r="I266" i="20"/>
  <c r="D266" i="20"/>
  <c r="K265" i="20"/>
  <c r="L265" i="20" s="1"/>
  <c r="M265" i="20" s="1"/>
  <c r="N265" i="20" s="1"/>
  <c r="A267" i="20" s="1"/>
  <c r="J266" i="20"/>
  <c r="I267" i="20" l="1"/>
  <c r="E267" i="20"/>
  <c r="D267" i="20"/>
  <c r="J267" i="20"/>
  <c r="K266" i="20"/>
  <c r="L266" i="20" s="1"/>
  <c r="M266" i="20" s="1"/>
  <c r="N266" i="20" s="1"/>
  <c r="A268" i="20" s="1"/>
  <c r="J268" i="20" l="1"/>
  <c r="K267" i="20"/>
  <c r="L267" i="20" s="1"/>
  <c r="M267" i="20" s="1"/>
  <c r="N267" i="20" s="1"/>
  <c r="A269" i="20" s="1"/>
  <c r="I268" i="20"/>
  <c r="E268" i="20"/>
  <c r="D268" i="20"/>
  <c r="I269" i="20" l="1"/>
  <c r="E269" i="20"/>
  <c r="D269" i="20"/>
  <c r="K268" i="20"/>
  <c r="L268" i="20" s="1"/>
  <c r="M268" i="20" s="1"/>
  <c r="N268" i="20" s="1"/>
  <c r="A270" i="20" s="1"/>
  <c r="J269" i="20"/>
  <c r="I270" i="20" l="1"/>
  <c r="E270" i="20"/>
  <c r="D270" i="20"/>
  <c r="K269" i="20"/>
  <c r="L269" i="20" s="1"/>
  <c r="M269" i="20" s="1"/>
  <c r="N269" i="20" s="1"/>
  <c r="A271" i="20" s="1"/>
  <c r="J270" i="20"/>
  <c r="D271" i="20" l="1"/>
  <c r="E271" i="20"/>
  <c r="I271" i="20"/>
  <c r="K270" i="20"/>
  <c r="L270" i="20" s="1"/>
  <c r="M270" i="20" s="1"/>
  <c r="N270" i="20" s="1"/>
  <c r="A272" i="20" s="1"/>
  <c r="J271" i="20"/>
  <c r="I272" i="20" l="1"/>
  <c r="E272" i="20"/>
  <c r="D272" i="20"/>
  <c r="K271" i="20"/>
  <c r="L271" i="20" s="1"/>
  <c r="M271" i="20" s="1"/>
  <c r="N271" i="20" s="1"/>
  <c r="A273" i="20" s="1"/>
  <c r="J272" i="20"/>
  <c r="I273" i="20" l="1"/>
  <c r="E273" i="20"/>
  <c r="D273" i="20"/>
  <c r="J273" i="20"/>
  <c r="K272" i="20"/>
  <c r="L272" i="20" s="1"/>
  <c r="M272" i="20" s="1"/>
  <c r="N272" i="20" s="1"/>
  <c r="A274" i="20" s="1"/>
  <c r="K273" i="20" l="1"/>
  <c r="L273" i="20" s="1"/>
  <c r="M273" i="20" s="1"/>
  <c r="N273" i="20" s="1"/>
  <c r="A275" i="20" s="1"/>
  <c r="J274" i="20"/>
  <c r="E274" i="20"/>
  <c r="I274" i="20"/>
  <c r="D274" i="20"/>
  <c r="J275" i="20" l="1"/>
  <c r="K274" i="20"/>
  <c r="L274" i="20" s="1"/>
  <c r="M274" i="20" s="1"/>
  <c r="N274" i="20" s="1"/>
  <c r="A276" i="20" s="1"/>
  <c r="I275" i="20"/>
  <c r="E275" i="20"/>
  <c r="D275" i="20"/>
  <c r="I276" i="20" l="1"/>
  <c r="E276" i="20"/>
  <c r="D276" i="20"/>
  <c r="J276" i="20"/>
  <c r="K275" i="20"/>
  <c r="L275" i="20" s="1"/>
  <c r="M275" i="20" s="1"/>
  <c r="N275" i="20" s="1"/>
  <c r="A277" i="20" s="1"/>
  <c r="I277" i="20" l="1"/>
  <c r="E277" i="20"/>
  <c r="D277" i="20"/>
  <c r="K276" i="20"/>
  <c r="L276" i="20" s="1"/>
  <c r="M276" i="20" s="1"/>
  <c r="N276" i="20" s="1"/>
  <c r="A278" i="20" s="1"/>
  <c r="J277" i="20"/>
  <c r="I278" i="20" l="1"/>
  <c r="E278" i="20"/>
  <c r="D278" i="20"/>
  <c r="K277" i="20"/>
  <c r="L277" i="20" s="1"/>
  <c r="M277" i="20" s="1"/>
  <c r="N277" i="20" s="1"/>
  <c r="A279" i="20" s="1"/>
  <c r="J278" i="20"/>
  <c r="D279" i="20" l="1"/>
  <c r="E279" i="20"/>
  <c r="I279" i="20"/>
  <c r="K278" i="20"/>
  <c r="L278" i="20" s="1"/>
  <c r="M278" i="20" s="1"/>
  <c r="N278" i="20" s="1"/>
  <c r="A280" i="20" s="1"/>
  <c r="J279" i="20"/>
  <c r="I280" i="20" l="1"/>
  <c r="E280" i="20"/>
  <c r="D280" i="20"/>
  <c r="K279" i="20"/>
  <c r="L279" i="20" s="1"/>
  <c r="M279" i="20" s="1"/>
  <c r="N279" i="20" s="1"/>
  <c r="A281" i="20" s="1"/>
  <c r="J280" i="20"/>
  <c r="J281" i="20" l="1"/>
  <c r="K280" i="20"/>
  <c r="L280" i="20" s="1"/>
  <c r="M280" i="20" s="1"/>
  <c r="N280" i="20" s="1"/>
  <c r="A282" i="20" s="1"/>
  <c r="I281" i="20"/>
  <c r="E281" i="20"/>
  <c r="D281" i="20"/>
  <c r="E282" i="20" l="1"/>
  <c r="I282" i="20"/>
  <c r="D282" i="20"/>
  <c r="K281" i="20"/>
  <c r="L281" i="20" s="1"/>
  <c r="M281" i="20" s="1"/>
  <c r="N281" i="20" s="1"/>
  <c r="A283" i="20" s="1"/>
  <c r="J282" i="20"/>
  <c r="I283" i="20" l="1"/>
  <c r="E283" i="20"/>
  <c r="D283" i="20"/>
  <c r="J283" i="20"/>
  <c r="K282" i="20"/>
  <c r="L282" i="20" s="1"/>
  <c r="M282" i="20" s="1"/>
  <c r="N282" i="20" s="1"/>
  <c r="A284" i="20" s="1"/>
  <c r="J284" i="20" l="1"/>
  <c r="K283" i="20"/>
  <c r="L283" i="20" s="1"/>
  <c r="M283" i="20" s="1"/>
  <c r="N283" i="20" s="1"/>
  <c r="A285" i="20" s="1"/>
  <c r="I284" i="20"/>
  <c r="E284" i="20"/>
  <c r="D284" i="20"/>
  <c r="I285" i="20" l="1"/>
  <c r="E285" i="20"/>
  <c r="D285" i="20"/>
  <c r="K284" i="20"/>
  <c r="L284" i="20" s="1"/>
  <c r="M284" i="20" s="1"/>
  <c r="N284" i="20" s="1"/>
  <c r="A286" i="20" s="1"/>
  <c r="J285" i="20"/>
  <c r="I286" i="20" l="1"/>
  <c r="E286" i="20"/>
  <c r="D286" i="20"/>
  <c r="K285" i="20"/>
  <c r="L285" i="20" s="1"/>
  <c r="M285" i="20" s="1"/>
  <c r="N285" i="20" s="1"/>
  <c r="A287" i="20" s="1"/>
  <c r="J286" i="20"/>
  <c r="D287" i="20" l="1"/>
  <c r="E287" i="20"/>
  <c r="I287" i="20"/>
  <c r="K286" i="20"/>
  <c r="L286" i="20" s="1"/>
  <c r="M286" i="20" s="1"/>
  <c r="N286" i="20" s="1"/>
  <c r="A288" i="20" s="1"/>
  <c r="J287" i="20"/>
  <c r="I288" i="20" l="1"/>
  <c r="E288" i="20"/>
  <c r="D288" i="20"/>
  <c r="K287" i="20"/>
  <c r="L287" i="20" s="1"/>
  <c r="M287" i="20" s="1"/>
  <c r="N287" i="20" s="1"/>
  <c r="A289" i="20" s="1"/>
  <c r="J288" i="20"/>
  <c r="I289" i="20" l="1"/>
  <c r="E289" i="20"/>
  <c r="D289" i="20"/>
  <c r="J289" i="20"/>
  <c r="K288" i="20"/>
  <c r="L288" i="20" s="1"/>
  <c r="M288" i="20" s="1"/>
  <c r="N288" i="20" s="1"/>
  <c r="A290" i="20" s="1"/>
  <c r="K289" i="20" l="1"/>
  <c r="L289" i="20" s="1"/>
  <c r="M289" i="20" s="1"/>
  <c r="N289" i="20" s="1"/>
  <c r="A291" i="20" s="1"/>
  <c r="J290" i="20"/>
  <c r="E290" i="20"/>
  <c r="I290" i="20"/>
  <c r="D290" i="20"/>
  <c r="J291" i="20" l="1"/>
  <c r="K290" i="20"/>
  <c r="L290" i="20" s="1"/>
  <c r="M290" i="20" s="1"/>
  <c r="N290" i="20" s="1"/>
  <c r="A292" i="20" s="1"/>
  <c r="I291" i="20"/>
  <c r="E291" i="20"/>
  <c r="D291" i="20"/>
  <c r="I292" i="20" l="1"/>
  <c r="D292" i="20"/>
  <c r="E292" i="20"/>
  <c r="J292" i="20"/>
  <c r="K291" i="20"/>
  <c r="L291" i="20" s="1"/>
  <c r="M291" i="20" s="1"/>
  <c r="N291" i="20" s="1"/>
  <c r="A293" i="20" s="1"/>
  <c r="K292" i="20" l="1"/>
  <c r="L292" i="20" s="1"/>
  <c r="M292" i="20" s="1"/>
  <c r="N292" i="20" s="1"/>
  <c r="A294" i="20" s="1"/>
  <c r="J293" i="20"/>
  <c r="I293" i="20"/>
  <c r="E293" i="20"/>
  <c r="D293" i="20"/>
  <c r="J294" i="20" l="1"/>
  <c r="K293" i="20"/>
  <c r="L293" i="20" s="1"/>
  <c r="M293" i="20" s="1"/>
  <c r="N293" i="20" s="1"/>
  <c r="A295" i="20" s="1"/>
  <c r="I294" i="20"/>
  <c r="E294" i="20"/>
  <c r="D294" i="20"/>
  <c r="D295" i="20" l="1"/>
  <c r="E295" i="20"/>
  <c r="I295" i="20"/>
  <c r="K294" i="20"/>
  <c r="L294" i="20" s="1"/>
  <c r="M294" i="20" s="1"/>
  <c r="N294" i="20" s="1"/>
  <c r="A296" i="20" s="1"/>
  <c r="J295" i="20"/>
  <c r="K295" i="20" l="1"/>
  <c r="L295" i="20" s="1"/>
  <c r="M295" i="20" s="1"/>
  <c r="N295" i="20" s="1"/>
  <c r="A297" i="20" s="1"/>
  <c r="J296" i="20"/>
  <c r="I296" i="20"/>
  <c r="E296" i="20"/>
  <c r="D296" i="20"/>
  <c r="J297" i="20" l="1"/>
  <c r="K296" i="20"/>
  <c r="L296" i="20" s="1"/>
  <c r="M296" i="20" s="1"/>
  <c r="N296" i="20" s="1"/>
  <c r="A298" i="20" s="1"/>
  <c r="I297" i="20"/>
  <c r="E297" i="20"/>
  <c r="D297" i="20"/>
  <c r="E298" i="20" l="1"/>
  <c r="D298" i="20"/>
  <c r="I298" i="20"/>
  <c r="K297" i="20"/>
  <c r="L297" i="20" s="1"/>
  <c r="M297" i="20" s="1"/>
  <c r="N297" i="20" s="1"/>
  <c r="A299" i="20" s="1"/>
  <c r="J298" i="20"/>
  <c r="I299" i="20" l="1"/>
  <c r="E299" i="20"/>
  <c r="D299" i="20"/>
  <c r="J299" i="20"/>
  <c r="K298" i="20"/>
  <c r="L298" i="20" s="1"/>
  <c r="M298" i="20" s="1"/>
  <c r="N298" i="20" s="1"/>
  <c r="A300" i="20" s="1"/>
  <c r="I300" i="20" l="1"/>
  <c r="E300" i="20"/>
  <c r="D300" i="20"/>
  <c r="J300" i="20"/>
  <c r="K299" i="20"/>
  <c r="L299" i="20" s="1"/>
  <c r="M299" i="20" s="1"/>
  <c r="N299" i="20" s="1"/>
  <c r="A301" i="20" s="1"/>
  <c r="K300" i="20" l="1"/>
  <c r="L300" i="20" s="1"/>
  <c r="M300" i="20" s="1"/>
  <c r="N300" i="20" s="1"/>
  <c r="A302" i="20" s="1"/>
  <c r="J301" i="20"/>
  <c r="I301" i="20"/>
  <c r="E301" i="20"/>
  <c r="D301" i="20"/>
  <c r="J302" i="20" l="1"/>
  <c r="K301" i="20"/>
  <c r="L301" i="20" s="1"/>
  <c r="M301" i="20" s="1"/>
  <c r="N301" i="20" s="1"/>
  <c r="A303" i="20" s="1"/>
  <c r="I302" i="20"/>
  <c r="E302" i="20"/>
  <c r="D302" i="20"/>
  <c r="D303" i="20" l="1"/>
  <c r="E303" i="20"/>
  <c r="I303" i="20"/>
  <c r="K302" i="20"/>
  <c r="L302" i="20" s="1"/>
  <c r="M302" i="20" s="1"/>
  <c r="N302" i="20" s="1"/>
  <c r="A304" i="20" s="1"/>
  <c r="J303" i="20"/>
  <c r="I304" i="20" l="1"/>
  <c r="E304" i="20"/>
  <c r="D304" i="20"/>
  <c r="K303" i="20"/>
  <c r="L303" i="20" s="1"/>
  <c r="M303" i="20" s="1"/>
  <c r="N303" i="20" s="1"/>
  <c r="A305" i="20" s="1"/>
  <c r="J304" i="20"/>
  <c r="I305" i="20" l="1"/>
  <c r="E305" i="20"/>
  <c r="D305" i="20"/>
  <c r="J305" i="20"/>
  <c r="K304" i="20"/>
  <c r="L304" i="20" s="1"/>
  <c r="M304" i="20" s="1"/>
  <c r="N304" i="20" s="1"/>
  <c r="A306" i="20" s="1"/>
  <c r="E306" i="20" l="1"/>
  <c r="D306" i="20"/>
  <c r="I306" i="20"/>
  <c r="K305" i="20"/>
  <c r="L305" i="20" s="1"/>
  <c r="M305" i="20" s="1"/>
  <c r="N305" i="20" s="1"/>
  <c r="A307" i="20" s="1"/>
  <c r="J306" i="20"/>
  <c r="J307" i="20" l="1"/>
  <c r="K306" i="20"/>
  <c r="L306" i="20" s="1"/>
  <c r="M306" i="20" s="1"/>
  <c r="N306" i="20" s="1"/>
  <c r="A308" i="20" s="1"/>
  <c r="I307" i="20"/>
  <c r="E307" i="20"/>
  <c r="D307" i="20"/>
  <c r="I308" i="20" l="1"/>
  <c r="E308" i="20"/>
  <c r="D308" i="20"/>
  <c r="J308" i="20"/>
  <c r="K307" i="20"/>
  <c r="L307" i="20" s="1"/>
  <c r="M307" i="20" s="1"/>
  <c r="N307" i="20" s="1"/>
  <c r="A309" i="20" s="1"/>
  <c r="K308" i="20" l="1"/>
  <c r="L308" i="20" s="1"/>
  <c r="M308" i="20" s="1"/>
  <c r="N308" i="20" s="1"/>
  <c r="A310" i="20" s="1"/>
  <c r="J309" i="20"/>
  <c r="I309" i="20"/>
  <c r="E309" i="20"/>
  <c r="D309" i="20"/>
  <c r="J310" i="20" l="1"/>
  <c r="K309" i="20"/>
  <c r="L309" i="20" s="1"/>
  <c r="M309" i="20" s="1"/>
  <c r="N309" i="20" s="1"/>
  <c r="A311" i="20" s="1"/>
  <c r="I310" i="20"/>
  <c r="E310" i="20"/>
  <c r="D310" i="20"/>
  <c r="D311" i="20" l="1"/>
  <c r="E311" i="20"/>
  <c r="I311" i="20"/>
  <c r="K310" i="20"/>
  <c r="L310" i="20" s="1"/>
  <c r="M310" i="20" s="1"/>
  <c r="N310" i="20" s="1"/>
  <c r="A312" i="20" s="1"/>
  <c r="J311" i="20"/>
  <c r="I312" i="20" l="1"/>
  <c r="E312" i="20"/>
  <c r="D312" i="20"/>
  <c r="K311" i="20"/>
  <c r="L311" i="20" s="1"/>
  <c r="M311" i="20" s="1"/>
  <c r="N311" i="20" s="1"/>
  <c r="A313" i="20" s="1"/>
  <c r="J312" i="20"/>
  <c r="I313" i="20" l="1"/>
  <c r="E313" i="20"/>
  <c r="D313" i="20"/>
  <c r="J313" i="20"/>
  <c r="K312" i="20"/>
  <c r="L312" i="20" s="1"/>
  <c r="M312" i="20" s="1"/>
  <c r="N312" i="20" s="1"/>
  <c r="A314" i="20" s="1"/>
  <c r="K313" i="20" l="1"/>
  <c r="L313" i="20" s="1"/>
  <c r="M313" i="20" s="1"/>
  <c r="N313" i="20" s="1"/>
  <c r="E314" i="20"/>
  <c r="D314" i="20"/>
  <c r="I314" i="20"/>
  <c r="I315" i="20" l="1"/>
  <c r="A315" i="20"/>
  <c r="D315" i="20"/>
  <c r="E315" i="20"/>
  <c r="B88" i="51"/>
  <c r="P20" i="51" l="1"/>
  <c r="B153" i="50"/>
  <c r="I7" i="30"/>
  <c r="K7" i="30" s="1"/>
  <c r="L7" i="30" s="1"/>
  <c r="O6" i="56"/>
  <c r="O5" i="56" s="1"/>
  <c r="H38" i="20" l="1"/>
  <c r="C38" i="20" s="1"/>
  <c r="H33" i="60"/>
  <c r="C33" i="60" s="1"/>
  <c r="K13" i="30"/>
  <c r="K9" i="30"/>
  <c r="D6" i="58" l="1"/>
  <c r="C13" i="58"/>
  <c r="B9" i="49"/>
  <c r="W27" i="58"/>
  <c r="E31" i="21" s="1"/>
  <c r="W29" i="58"/>
  <c r="I6" i="30"/>
  <c r="K6" i="30" s="1"/>
  <c r="L6" i="30" s="1"/>
  <c r="C56" i="20"/>
  <c r="K8" i="30"/>
  <c r="C10" i="58" l="1"/>
  <c r="I7" i="58" s="1"/>
  <c r="J7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Marcelle Lins Carvalho</author>
    <author>Yasmin Goes-External</author>
    <author>Renata Bezerra</author>
  </authors>
  <commentList>
    <comment ref="C13" authorId="0" shapeId="0" xr:uid="{E02DAF90-EF85-40B0-A705-D28AF2C7931C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Se NÃO houver vértebra, utilizar 1.5*MBR instalação.</t>
        </r>
      </text>
    </comment>
    <comment ref="C15" authorId="1" shapeId="0" xr:uid="{D47CF661-06E3-4B54-8285-BF891669602F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2" shapeId="0" xr:uid="{062CBA33-4011-420A-A2A2-9F0FEE910F80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2" shapeId="0" xr:uid="{7DAC0F9D-0368-4C2C-AC8E-F10E68CE4FF0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B54" authorId="3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3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0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595DB328-F51B-4524-B630-56BA4BCFD810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BA7C25E-CD9B-4981-9045-8B227A65BC31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4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1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2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2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2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2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2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85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6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86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86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86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86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J6" authorId="1" shapeId="0" xr:uid="{7F5BF8CE-34AF-47D7-A57A-E93D12744F37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7" authorId="1" shapeId="0" xr:uid="{A4A4D4D8-47CE-42A2-BC17-772DA7260803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C16" authorId="0" shapeId="0" xr:uid="{223B447E-6105-4701-A63E-EED3B7216FB5}">
      <text>
        <r>
          <rPr>
            <sz val="9"/>
            <color indexed="81"/>
            <rFont val="Tahoma"/>
            <family val="2"/>
          </rPr>
          <t>Este campo pode ficar em branco!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<sst xmlns="http://schemas.openxmlformats.org/spreadsheetml/2006/main" count="8182" uniqueCount="2221">
  <si>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</si>
  <si>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</si>
  <si>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</si>
  <si>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</si>
  <si>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</si>
  <si>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</si>
  <si>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</si>
  <si>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</si>
  <si>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</si>
  <si>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</si>
  <si>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</si>
  <si>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</si>
  <si>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</si>
  <si>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</si>
  <si>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</si>
  <si>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</si>
  <si>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</si>
  <si>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</si>
  <si>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</si>
  <si>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</si>
  <si>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</si>
  <si>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</si>
  <si>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</si>
  <si>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</si>
  <si>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</si>
  <si>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Versão 12.0.4</t>
  </si>
  <si>
    <t>VBA - Foram incluídas novas células para serem limpas ao apertar o botão de "pós-processamento" - Evitar qualquer problema de dados sobrescritos.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</si>
  <si>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</si>
  <si>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</si>
  <si>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</si>
  <si>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</si>
  <si>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</si>
  <si>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</si>
  <si>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</si>
  <si>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</si>
  <si>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</si>
  <si>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</si>
  <si>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</si>
  <si>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</si>
  <si>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</si>
  <si>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</si>
  <si>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</si>
  <si>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</si>
  <si>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</si>
  <si>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</si>
  <si>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</si>
  <si>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</si>
  <si>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</si>
  <si>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</si>
  <si>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</si>
  <si>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</si>
  <si>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</si>
  <si>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</si>
  <si>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</si>
  <si>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</si>
  <si>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</si>
  <si>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</si>
  <si>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</si>
  <si>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</si>
  <si>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</si>
  <si>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</si>
  <si>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</si>
  <si>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</si>
  <si>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</si>
  <si>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</si>
  <si>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</si>
  <si>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</si>
  <si>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</si>
  <si>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</si>
  <si>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</si>
  <si>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</si>
  <si>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</si>
  <si>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</si>
  <si>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</si>
  <si>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</si>
  <si>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</si>
  <si>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</si>
  <si>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</si>
  <si>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</si>
  <si>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</si>
  <si>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</si>
  <si>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</si>
  <si>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</si>
  <si>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</si>
  <si>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</si>
  <si>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</si>
  <si>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</si>
  <si>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</si>
  <si>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</si>
  <si>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</si>
  <si>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</si>
  <si>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</si>
  <si>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</si>
  <si>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</si>
  <si>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</si>
  <si>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</si>
  <si>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</si>
  <si>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</si>
  <si>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</si>
  <si>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</si>
  <si>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</si>
  <si>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</si>
  <si>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</si>
  <si>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</si>
  <si>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</si>
  <si>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</si>
  <si>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</si>
  <si>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</si>
  <si>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</si>
  <si>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</si>
  <si>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</si>
  <si>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</si>
  <si>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</si>
  <si>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</si>
  <si>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</si>
  <si>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</si>
  <si>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</si>
  <si>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</si>
  <si>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</si>
  <si>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</si>
  <si>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</si>
  <si>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</si>
  <si>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</si>
  <si>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</si>
  <si>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</si>
  <si>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</si>
  <si>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</si>
  <si>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</si>
  <si>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</si>
  <si>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</si>
  <si>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</si>
  <si>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</si>
  <si>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</si>
  <si>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</si>
  <si>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</si>
  <si>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</si>
  <si>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</si>
  <si>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</si>
  <si>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</si>
  <si>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</si>
  <si>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</si>
  <si>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</si>
  <si>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</si>
  <si>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</si>
  <si>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</si>
  <si>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</si>
  <si>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</si>
  <si>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</si>
  <si>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</si>
  <si>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</si>
  <si>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</si>
  <si>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</si>
  <si>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</si>
  <si>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</si>
  <si>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</si>
  <si>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</si>
  <si>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</si>
  <si>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</si>
  <si>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</si>
  <si>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Aba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</si>
  <si>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</si>
  <si>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</si>
  <si>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</si>
  <si>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</si>
  <si>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</si>
  <si>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</si>
  <si>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</si>
  <si>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</si>
  <si>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</si>
  <si>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</si>
  <si>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</si>
  <si>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</si>
  <si>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</si>
  <si>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</si>
  <si>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</si>
  <si>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</si>
  <si>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</si>
  <si>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</si>
  <si>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</si>
  <si>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</si>
  <si>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</si>
  <si>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</si>
  <si>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Peso cheio na água [kg/m]</t>
  </si>
  <si>
    <t>Peso na água do MCV</t>
  </si>
  <si>
    <t>D38</t>
  </si>
  <si>
    <t>C19</t>
  </si>
  <si>
    <t>OD [m]</t>
  </si>
  <si>
    <t>Calculado pela equação 1</t>
  </si>
  <si>
    <t>E38</t>
  </si>
  <si>
    <t>B8</t>
  </si>
  <si>
    <t>ID [m]</t>
  </si>
  <si>
    <t>Calculado pela equação 2</t>
  </si>
  <si>
    <t>F38</t>
  </si>
  <si>
    <t>B9</t>
  </si>
  <si>
    <t>Contact diameter [mm]</t>
  </si>
  <si>
    <t>G38</t>
  </si>
  <si>
    <t>B10</t>
  </si>
  <si>
    <t>H38</t>
  </si>
  <si>
    <t>B11</t>
  </si>
  <si>
    <t>MBR storage [m]</t>
  </si>
  <si>
    <t>I38</t>
  </si>
  <si>
    <t>B12</t>
  </si>
  <si>
    <t>MBRi instalação [m]</t>
  </si>
  <si>
    <t>J38</t>
  </si>
  <si>
    <t>B13</t>
  </si>
  <si>
    <t>Bend. Stiffness [kN.m2]</t>
  </si>
  <si>
    <t>Usar curva de rigidez</t>
  </si>
  <si>
    <t>Tipo de linha</t>
  </si>
  <si>
    <t>K25</t>
  </si>
  <si>
    <t>Results</t>
  </si>
  <si>
    <t>H22</t>
  </si>
  <si>
    <t>Torsional Stiffness [kN.m2]</t>
  </si>
  <si>
    <t>Equipamento Submarino</t>
  </si>
  <si>
    <t>H23</t>
  </si>
  <si>
    <t>Rel. Elongation (%) for 100kN</t>
  </si>
  <si>
    <t xml:space="preserve">Ԑ = 100 * F / EA </t>
  </si>
  <si>
    <t>Campo</t>
  </si>
  <si>
    <t>K30</t>
  </si>
  <si>
    <t>H26</t>
  </si>
  <si>
    <t>Axial Stiffness [KN]</t>
  </si>
  <si>
    <t>H29</t>
  </si>
  <si>
    <t>Vértebra/Bend Restrictor</t>
  </si>
  <si>
    <t>Comprimento [mm]</t>
  </si>
  <si>
    <t>Atentar para o número de anéis a serem montados</t>
  </si>
  <si>
    <t>RL</t>
  </si>
  <si>
    <t>B36</t>
  </si>
  <si>
    <t>H37</t>
  </si>
  <si>
    <t>Peso vazio no ar [kg]</t>
  </si>
  <si>
    <t>Revisão da RL</t>
  </si>
  <si>
    <t>F36</t>
  </si>
  <si>
    <t>Peso vazio na água [kg]</t>
  </si>
  <si>
    <t>RT</t>
  </si>
  <si>
    <t>B5</t>
  </si>
  <si>
    <t>H27</t>
  </si>
  <si>
    <t>Peso no ar/comp [t/m]</t>
  </si>
  <si>
    <t>Revisão da RT</t>
  </si>
  <si>
    <t>F5</t>
  </si>
  <si>
    <t>H41</t>
  </si>
  <si>
    <t>Peso na água/comp [t/m]</t>
  </si>
  <si>
    <t>Título da RT</t>
  </si>
  <si>
    <t>C13</t>
  </si>
  <si>
    <t>H42</t>
  </si>
  <si>
    <t>Selecione o material</t>
  </si>
  <si>
    <t>Calculado pela equação 3</t>
  </si>
  <si>
    <t>K45</t>
  </si>
  <si>
    <t>Values</t>
  </si>
  <si>
    <t>A5</t>
  </si>
  <si>
    <t>OD [mm]</t>
  </si>
  <si>
    <t>Diâmetro de  contato</t>
  </si>
  <si>
    <t>K46</t>
  </si>
  <si>
    <t>C10</t>
  </si>
  <si>
    <t>ID [mm]</t>
  </si>
  <si>
    <t>MBR de instalação</t>
  </si>
  <si>
    <t>K50</t>
  </si>
  <si>
    <t>Maior diâmetro do acessório (colocar em contact e drag)</t>
  </si>
  <si>
    <t>MBR travamento [m]</t>
  </si>
  <si>
    <t>Valor do Relatório de Esforços</t>
  </si>
  <si>
    <t>ID da vértebra</t>
  </si>
  <si>
    <t>I63</t>
  </si>
  <si>
    <t>C25</t>
  </si>
  <si>
    <t>Momento Fletor Admissível [kN.m]</t>
  </si>
  <si>
    <t>LDA</t>
  </si>
  <si>
    <t>K27</t>
  </si>
  <si>
    <t>C3</t>
  </si>
  <si>
    <t>Força Cortante Admissível [kN]</t>
  </si>
  <si>
    <t>Peso vazio no ar</t>
  </si>
  <si>
    <t>D48</t>
  </si>
  <si>
    <t>C4</t>
  </si>
  <si>
    <t>Módulo de Young [kN/m2]</t>
  </si>
  <si>
    <t xml:space="preserve">Módulo de Young do material selecionado - ver nota1 ao lado. </t>
  </si>
  <si>
    <t>Peso cheio no ar</t>
  </si>
  <si>
    <t>K48</t>
  </si>
  <si>
    <t>C5</t>
  </si>
  <si>
    <t>Bending Stiffness [kN.m2]</t>
  </si>
  <si>
    <t>Calculado pela equação 4</t>
  </si>
  <si>
    <t>Peso vazio na água</t>
  </si>
  <si>
    <t>D49</t>
  </si>
  <si>
    <t>C6</t>
  </si>
  <si>
    <t>Axial Stiffness [kN]</t>
  </si>
  <si>
    <t>K49</t>
  </si>
  <si>
    <t>C7</t>
  </si>
  <si>
    <t>Peso no ar do adaptador</t>
  </si>
  <si>
    <t>C64</t>
  </si>
  <si>
    <t>C52</t>
  </si>
  <si>
    <t>Curvatura [1/m]</t>
  </si>
  <si>
    <t>Ver aba Bending Stiffness</t>
  </si>
  <si>
    <t>Peso no água do adaptador</t>
  </si>
  <si>
    <t>D64</t>
  </si>
  <si>
    <t>C53</t>
  </si>
  <si>
    <t>Bend moment [kN.m]</t>
  </si>
  <si>
    <t>Conector</t>
  </si>
  <si>
    <t>E62</t>
  </si>
  <si>
    <t>A40</t>
  </si>
  <si>
    <t>Curvatura limit [1/m]</t>
  </si>
  <si>
    <t>Comprimento do conector</t>
  </si>
  <si>
    <t>K62</t>
  </si>
  <si>
    <t>C38</t>
  </si>
  <si>
    <t>Bend Moment limit [kN.m]</t>
  </si>
  <si>
    <t>Peso no ar do conector</t>
  </si>
  <si>
    <t>C62</t>
  </si>
  <si>
    <t>C39</t>
  </si>
  <si>
    <t xml:space="preserve">Conector/End Fitting </t>
  </si>
  <si>
    <t>Peso na água do conector</t>
  </si>
  <si>
    <t>D62</t>
  </si>
  <si>
    <t>C40</t>
  </si>
  <si>
    <t>Vértebra</t>
  </si>
  <si>
    <t>E63</t>
  </si>
  <si>
    <t>A20</t>
  </si>
  <si>
    <t xml:space="preserve">Se não tiver no desenho usar Par*0,87. </t>
  </si>
  <si>
    <t>Peso no ar da vértebra</t>
  </si>
  <si>
    <t>C63</t>
  </si>
  <si>
    <t>Peso no água da vértebra</t>
  </si>
  <si>
    <t>D63</t>
  </si>
  <si>
    <t>C20</t>
  </si>
  <si>
    <t>OD da vértebra</t>
  </si>
  <si>
    <t>J62</t>
  </si>
  <si>
    <t>C24</t>
  </si>
  <si>
    <t xml:space="preserve">OD do pescoço presente no desenho </t>
  </si>
  <si>
    <t>ID presente no desenho ou ID do duto no data sheet</t>
  </si>
  <si>
    <t>Adaptador de Flanges</t>
  </si>
  <si>
    <t>Zona Rígida da Vértebra</t>
  </si>
  <si>
    <t>Comprimento = ZR + ZI (Se tiver ZI) - ver a figura 2.</t>
  </si>
  <si>
    <t>Identificação do Acessório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</si>
  <si>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</si>
  <si>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</si>
  <si>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</si>
  <si>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</si>
  <si>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Comentário</t>
  </si>
  <si>
    <t>Drawing MCV (Orcaflex)</t>
  </si>
  <si>
    <t>Fornecedor</t>
  </si>
  <si>
    <t>Desenho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</si>
  <si>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</si>
  <si>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</si>
  <si>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</si>
  <si>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</si>
  <si>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</si>
  <si>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</si>
  <si>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</si>
  <si>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</si>
  <si>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</si>
  <si>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</si>
  <si>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</si>
  <si>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</si>
  <si>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</si>
  <si>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</si>
  <si>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</si>
  <si>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</si>
  <si>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</si>
  <si>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</si>
  <si>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</si>
  <si>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</si>
  <si>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</si>
  <si>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</si>
  <si>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</si>
  <si>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</si>
  <si>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</si>
  <si>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</si>
  <si>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</si>
  <si>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</si>
  <si>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</si>
  <si>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 xml:space="preserve">Nº de pontos </t>
  </si>
  <si>
    <t>Houve alteração na rigidez?</t>
  </si>
  <si>
    <t>Percentual de alteração (%)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</si>
  <si>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</si>
  <si>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</si>
  <si>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</si>
  <si>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</si>
  <si>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</si>
  <si>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</si>
  <si>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</si>
  <si>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</si>
  <si>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</si>
  <si>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</si>
  <si>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Select Line</t>
  </si>
  <si>
    <t>Select Linha</t>
  </si>
  <si>
    <t>OD =</t>
  </si>
  <si>
    <t>ID =</t>
  </si>
  <si>
    <t>MassPerUnitLength =</t>
  </si>
  <si>
    <t>EA =</t>
  </si>
  <si>
    <t>Length</t>
  </si>
  <si>
    <t>xMinRadius =</t>
  </si>
  <si>
    <t>NormalDragLiftDiameter =</t>
  </si>
  <si>
    <t>AxialDragLiftDiameter =</t>
  </si>
  <si>
    <t>ContactDiameter =</t>
  </si>
  <si>
    <t>GJ =</t>
  </si>
  <si>
    <t>Select Vértebra</t>
  </si>
  <si>
    <t>Select Conector</t>
  </si>
  <si>
    <t>EIx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</si>
  <si>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</si>
  <si>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</si>
  <si>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</si>
  <si>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</si>
  <si>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</si>
  <si>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</si>
  <si>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</si>
  <si>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</si>
  <si>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</si>
  <si>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</si>
  <si>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</si>
  <si>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</si>
  <si>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</si>
  <si>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</si>
  <si>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</si>
  <si>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</si>
  <si>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</si>
  <si>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</si>
  <si>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</si>
  <si>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</si>
  <si>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</si>
  <si>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</si>
  <si>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</si>
  <si>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</si>
  <si>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</si>
  <si>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</si>
  <si>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</si>
  <si>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</si>
  <si>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</si>
  <si>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</si>
  <si>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</si>
  <si>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</si>
  <si>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NumberOfRows =</t>
  </si>
  <si>
    <t>IndependentValue[2]=</t>
  </si>
  <si>
    <t>IndependentValue[3]=</t>
  </si>
  <si>
    <t>DependentValue[2]=</t>
  </si>
  <si>
    <t>DependentValue[3]=</t>
  </si>
  <si>
    <t>Select A/R</t>
  </si>
  <si>
    <t>Select Junção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</si>
  <si>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</si>
  <si>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</si>
  <si>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</si>
  <si>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</si>
  <si>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</si>
  <si>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</si>
  <si>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</si>
  <si>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</si>
  <si>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</si>
  <si>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</si>
  <si>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</si>
  <si>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</si>
  <si>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Range Graph Min</t>
  </si>
  <si>
    <t>Static State</t>
  </si>
  <si>
    <t>Bend Radius</t>
  </si>
  <si>
    <t>Get Data</t>
  </si>
  <si>
    <t>Environment</t>
  </si>
  <si>
    <t>Depth</t>
  </si>
  <si>
    <t>Static Result</t>
  </si>
  <si>
    <t>End B</t>
  </si>
  <si>
    <t>Z</t>
  </si>
  <si>
    <t>Rotation 2</t>
  </si>
  <si>
    <t>End Ey-Moment</t>
  </si>
  <si>
    <t>End Ex-Force</t>
  </si>
  <si>
    <t>End Ez-Force</t>
  </si>
  <si>
    <t>EndBZ</t>
  </si>
  <si>
    <t>Auxiliar2</t>
  </si>
  <si>
    <t>Range Graph</t>
  </si>
  <si>
    <t>E1</t>
  </si>
  <si>
    <t>E2</t>
  </si>
  <si>
    <t>X</t>
  </si>
  <si>
    <t>A1</t>
  </si>
  <si>
    <t>A2</t>
  </si>
  <si>
    <t>Vertical Seabed Clearance</t>
  </si>
  <si>
    <t>C1</t>
  </si>
  <si>
    <t>C2</t>
  </si>
  <si>
    <t>Range Graph Max</t>
  </si>
  <si>
    <t>Bend Moment</t>
  </si>
  <si>
    <t>StageValue[1]</t>
  </si>
  <si>
    <t>Shear Force</t>
  </si>
  <si>
    <t>StageValue[3]</t>
  </si>
  <si>
    <t>0 to 32</t>
  </si>
  <si>
    <t>NumberOfAttachments</t>
  </si>
  <si>
    <t>Max</t>
  </si>
  <si>
    <t>Whole Simulation</t>
  </si>
  <si>
    <t>Tension</t>
  </si>
  <si>
    <t>Auxiliar1</t>
  </si>
  <si>
    <t>Linked Statistics</t>
  </si>
  <si>
    <t>End Ex-Force,End Ez-Force,End Ey-Moment</t>
  </si>
  <si>
    <t>Time History</t>
  </si>
  <si>
    <t>Touchdown</t>
  </si>
  <si>
    <t>Arc Length</t>
  </si>
  <si>
    <t>Sample Times</t>
  </si>
  <si>
    <t>A53</t>
  </si>
  <si>
    <t>Auxiliar3</t>
  </si>
  <si>
    <t>X1</t>
  </si>
  <si>
    <t>X2</t>
  </si>
  <si>
    <t>X3</t>
  </si>
  <si>
    <t>X4</t>
  </si>
  <si>
    <t>Auxiliar4</t>
  </si>
  <si>
    <t>Linha</t>
  </si>
  <si>
    <t>Cortante</t>
  </si>
  <si>
    <t>Tração</t>
  </si>
  <si>
    <t>Vertical Seabed Clearance - Line</t>
  </si>
  <si>
    <t>Vertical Seabed Clearance - Stiffener1</t>
  </si>
  <si>
    <t>X - Line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</si>
  <si>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</si>
  <si>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</si>
  <si>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</si>
  <si>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</si>
  <si>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</si>
  <si>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</si>
  <si>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</si>
  <si>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</si>
  <si>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</si>
  <si>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</si>
  <si>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</si>
  <si>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</si>
  <si>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Vertical seabed clearance</t>
  </si>
  <si>
    <t>TDP</t>
  </si>
  <si>
    <t>Altura da Corcova</t>
  </si>
  <si>
    <t>Sb Clearance</t>
  </si>
  <si>
    <t>Cabrestante 1</t>
  </si>
  <si>
    <t>Cabrestante 2</t>
  </si>
  <si>
    <t>Line</t>
  </si>
  <si>
    <t>Tamanho da Vértebra</t>
  </si>
  <si>
    <t>Line Range</t>
  </si>
  <si>
    <t>Somatório</t>
  </si>
  <si>
    <t>CONT1</t>
  </si>
  <si>
    <t>CONT2</t>
  </si>
  <si>
    <t>#!/usr/bin/env python</t>
  </si>
  <si>
    <t># -*- coding: utf-8 -*-</t>
  </si>
  <si>
    <t>import numpy as np</t>
  </si>
  <si>
    <t>import OrcFxAPI as orca</t>
  </si>
  <si>
    <t>import matplotlib.pyplot as plt</t>
  </si>
  <si>
    <t>import matplotlib.patches as patches</t>
  </si>
  <si>
    <t>from math import floor</t>
  </si>
  <si>
    <t>from matplotlib.path import Path</t>
  </si>
  <si>
    <t>Tamanho da Fonte</t>
  </si>
  <si>
    <t>#################################INICIO INPUT##################################</t>
  </si>
  <si>
    <t>Nome dos objetos</t>
  </si>
  <si>
    <t># Caminho do ficheiro da analise estatica</t>
  </si>
  <si>
    <t># Nome do arquivo a ser gerado</t>
  </si>
  <si>
    <t>Dragagem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</si>
  <si>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</si>
  <si>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</si>
  <si>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</si>
  <si>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</si>
  <si>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</si>
  <si>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</si>
  <si>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</si>
  <si>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</si>
  <si>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</si>
  <si>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</si>
  <si>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</si>
  <si>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</si>
  <si>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</si>
  <si>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</si>
  <si>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</si>
  <si>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</si>
  <si>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</si>
  <si>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</si>
  <si>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</si>
  <si>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</si>
  <si>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</si>
  <si>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</si>
  <si>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</si>
  <si>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</si>
  <si>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</si>
  <si>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</si>
  <si>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</si>
  <si>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</si>
  <si>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</si>
  <si>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</si>
  <si>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</si>
  <si>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</si>
  <si>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</si>
  <si>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</si>
  <si>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</si>
  <si>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</si>
  <si>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</si>
  <si>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</si>
  <si>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</si>
  <si>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</si>
  <si>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</si>
  <si>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># Tamanho da fonte</t>
  </si>
  <si>
    <t xml:space="preserve"># Se houver dragagem, dred= True, se não, dred=False 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</si>
  <si>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</si>
  <si>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</si>
  <si>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</si>
  <si>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</si>
  <si>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</si>
  <si>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</si>
  <si>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</si>
  <si>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</si>
  <si>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</si>
  <si>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</si>
  <si>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</si>
  <si>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</si>
  <si>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</si>
  <si>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</si>
  <si>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</si>
  <si>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</si>
  <si>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</si>
  <si>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</si>
  <si>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</si>
  <si>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</si>
  <si>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</si>
  <si>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</si>
  <si>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</si>
  <si>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</si>
  <si>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min_value,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</si>
  <si>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</si>
  <si>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</si>
  <si>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</si>
  <si>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</si>
  <si>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</si>
  <si>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</si>
  <si>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</si>
  <si>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</si>
  <si>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</si>
  <si>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</si>
  <si>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</si>
  <si>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</si>
  <si>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</si>
  <si>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</si>
  <si>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</si>
  <si>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</si>
  <si>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</si>
  <si>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</si>
  <si>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</si>
  <si>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</si>
  <si>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</si>
  <si>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</si>
  <si>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</si>
  <si>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</si>
  <si>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</si>
  <si>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>else: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</si>
  <si>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</si>
  <si>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</si>
  <si>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</si>
  <si>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</si>
  <si>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</si>
  <si>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</si>
  <si>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</si>
  <si>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</si>
  <si>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</si>
  <si>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</si>
  <si>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</si>
  <si>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</si>
  <si>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</si>
  <si>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</si>
  <si>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</si>
  <si>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</si>
  <si>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</si>
  <si>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</si>
  <si>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</si>
  <si>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</si>
  <si>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</si>
  <si>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</si>
  <si>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</si>
  <si>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</si>
  <si>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</si>
  <si>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</si>
  <si>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</si>
  <si>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</si>
  <si>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</si>
  <si>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</si>
  <si>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</si>
  <si>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</si>
  <si>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</si>
  <si>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</si>
  <si>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</si>
  <si>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</si>
  <si>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</si>
  <si>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</si>
  <si>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</si>
  <si>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</si>
  <si>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</si>
  <si>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</si>
  <si>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</si>
  <si>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</si>
  <si>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</si>
  <si>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</si>
  <si>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</si>
  <si>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</si>
  <si>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</si>
  <si>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</si>
  <si>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</si>
  <si>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</si>
  <si>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</si>
  <si>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</si>
  <si>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</si>
  <si>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</si>
  <si>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</si>
  <si>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</si>
  <si>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</si>
  <si>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</si>
  <si>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</si>
  <si>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</si>
  <si>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</si>
  <si>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</si>
  <si>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</si>
  <si>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</si>
  <si>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</si>
  <si>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</si>
  <si>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</si>
  <si>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</si>
  <si>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</si>
  <si>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</si>
  <si>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</si>
  <si>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</si>
  <si>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</si>
  <si>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</si>
  <si>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</si>
  <si>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</si>
  <si>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</si>
  <si>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</si>
  <si>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</si>
  <si>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</si>
  <si>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</si>
  <si>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</si>
  <si>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</si>
  <si>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</si>
  <si>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</si>
  <si>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</si>
  <si>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</si>
  <si>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</si>
  <si>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</si>
  <si>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</si>
  <si>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</si>
  <si>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</si>
  <si>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</si>
  <si>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</si>
  <si>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</si>
  <si>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</si>
  <si>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</si>
  <si>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</si>
  <si>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</si>
  <si>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</si>
  <si>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</si>
  <si>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</si>
  <si>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</si>
  <si>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</si>
  <si>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</si>
  <si>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</si>
  <si>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</si>
  <si>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</si>
  <si>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</si>
  <si>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</si>
  <si>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</si>
  <si>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</si>
  <si>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</si>
  <si>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</si>
  <si>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</si>
  <si>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</si>
  <si>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</si>
  <si>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</si>
  <si>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 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</si>
  <si>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</si>
  <si>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</si>
  <si>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</si>
  <si>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</si>
  <si>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</si>
  <si>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</si>
  <si>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</si>
  <si>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</si>
  <si>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</si>
  <si>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</si>
  <si>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</si>
  <si>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</si>
  <si>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</si>
  <si>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</si>
  <si>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</si>
  <si>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</si>
  <si>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</si>
  <si>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</si>
  <si>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</si>
  <si>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</si>
  <si>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</si>
  <si>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</si>
  <si>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</si>
  <si>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</si>
  <si>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</si>
  <si>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</si>
  <si>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</si>
  <si>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</si>
  <si>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</si>
  <si>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</si>
  <si>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min_all=[]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</si>
  <si>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</si>
  <si>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</si>
  <si>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</si>
  <si>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</si>
  <si>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</si>
  <si>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</si>
  <si>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</si>
  <si>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</si>
  <si>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</si>
  <si>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for j in range(0,len(att_vertical_seabed_clearance_z)):</t>
  </si>
  <si>
    <t xml:space="preserve">    min_all.append(min(att_vertical_seabed_clearance_z[j]))</t>
  </si>
  <si>
    <t>line_w_seabd_clear = min_all.index(min(min_all))</t>
  </si>
  <si>
    <t>min_value, 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</si>
  <si>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</si>
  <si>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</si>
  <si>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</si>
  <si>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</si>
  <si>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</si>
  <si>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</si>
  <si>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</si>
  <si>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</si>
  <si>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</si>
  <si>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</si>
  <si>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</si>
  <si>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</si>
  <si>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</si>
  <si>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</si>
  <si>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</si>
  <si>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</si>
  <si>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</si>
  <si>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</si>
  <si>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</si>
  <si>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</si>
  <si>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</si>
  <si>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</si>
  <si>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</si>
  <si>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</si>
  <si>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</si>
  <si>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</si>
  <si>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</si>
  <si>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</si>
  <si>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</si>
  <si>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</si>
  <si>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</si>
  <si>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</si>
  <si>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</si>
  <si>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</si>
  <si>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</si>
  <si>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</si>
  <si>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</si>
  <si>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</si>
  <si>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</si>
  <si>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</si>
  <si>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</si>
  <si>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</si>
  <si>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</si>
  <si>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</si>
  <si>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</si>
  <si>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</si>
  <si>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</si>
  <si>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</si>
  <si>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</si>
  <si>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if i&gt;0: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</si>
  <si>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</si>
  <si>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</si>
  <si>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linetype=model[linetypes[i]]</t>
  </si>
  <si>
    <t xml:space="preserve">            if linetype.ContactDiameter&gt;100:</t>
  </si>
  <si>
    <t xml:space="preserve">                max_diameter=linetype.OD</t>
  </si>
  <si>
    <t xml:space="preserve">            else:</t>
  </si>
  <si>
    <t xml:space="preserve">                max_diameter=linetype.ContactDiameter</t>
  </si>
  <si>
    <t xml:space="preserve">    elif i==0: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</si>
  <si>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</si>
  <si>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</si>
  <si>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</si>
  <si>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</si>
  <si>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</si>
  <si>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</si>
  <si>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</si>
  <si>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</si>
  <si>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</si>
  <si>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</si>
  <si>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</si>
  <si>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</si>
  <si>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</si>
  <si>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</si>
  <si>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</si>
  <si>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</si>
  <si>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</si>
  <si>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</si>
  <si>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</si>
  <si>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</si>
  <si>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</si>
  <si>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</si>
  <si>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</si>
  <si>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</si>
  <si>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</si>
  <si>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</si>
  <si>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figsize=(abs((vcm1_base_point_x-0.5-1+x_min_lim)-(x_tdp+1+x_max_lim)), </t>
  </si>
  <si>
    <t xml:space="preserve">             abs((min(seabed_z)-2.0+z_min_lim)-(line_z.Mean[-1]+8+z_max_lim)))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</si>
  <si>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</si>
  <si>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</si>
  <si>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</si>
  <si>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</si>
  <si>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</si>
  <si>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</si>
  <si>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</si>
  <si>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</si>
  <si>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</si>
  <si>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</si>
  <si>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</si>
  <si>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</si>
  <si>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</si>
  <si>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</si>
  <si>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</si>
  <si>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</si>
  <si>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</si>
  <si>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</si>
  <si>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</si>
  <si>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</si>
  <si>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</si>
  <si>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</si>
  <si>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</si>
  <si>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</si>
  <si>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</si>
  <si>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</si>
  <si>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</si>
  <si>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</si>
  <si>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</si>
  <si>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</si>
  <si>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</si>
  <si>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</si>
  <si>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</si>
  <si>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</si>
  <si>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</si>
  <si>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</si>
  <si>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</si>
  <si>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</si>
  <si>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</si>
  <si>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</si>
  <si>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</si>
  <si>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</si>
  <si>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</si>
  <si>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</si>
  <si>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</si>
  <si>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</si>
  <si>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</si>
  <si>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</si>
  <si>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</si>
  <si>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</si>
  <si>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</si>
  <si>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</si>
  <si>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</si>
  <si>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flange do MCV ao solo---------------------#</t>
  </si>
  <si>
    <t>ax.annotate(</t>
  </si>
  <si>
    <t xml:space="preserve">    "",</t>
  </si>
  <si>
    <t xml:space="preserve">    xy=(flange_vcm1_x+mov_x_2, flange_vcm1_z), </t>
  </si>
  <si>
    <t xml:space="preserve">    xycoords='data',</t>
  </si>
  <si>
    <t xml:space="preserve">    xytext=(flange_vcm1_x+mov_x_2,flange_seabed_z), </t>
  </si>
  <si>
    <t xml:space="preserve">    textcoords='data',</t>
  </si>
  <si>
    <t xml:space="preserve">    arrowprops=dict(arrowstyle="&lt;-&gt;", connectionstyle="arc3", lw=2),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</si>
  <si>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</si>
  <si>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</si>
  <si>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</si>
  <si>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 flange_seabed_z+((flange_vcm1_z-flange_seabed_z)/2)+mov_z_2),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</si>
  <si>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</si>
  <si>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</si>
  <si>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</si>
  <si>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</si>
  <si>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 xml:space="preserve">) 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</si>
  <si>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</si>
  <si>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</si>
  <si>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</si>
  <si>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</si>
  <si>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</si>
  <si>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</si>
  <si>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</si>
  <si>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</si>
  <si>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</si>
  <si>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</si>
  <si>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</si>
  <si>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</si>
  <si>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</si>
  <si>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</si>
  <si>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</si>
  <si>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</si>
  <si>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</si>
  <si>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</si>
  <si>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</si>
  <si>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</si>
  <si>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</si>
  <si>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val2=att_diameter[itera]/2+0.1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</si>
  <si>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</si>
  <si>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</si>
  <si>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val2=diameter[itera1]/2+0.1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</si>
  <si>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</si>
  <si>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</si>
  <si>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</si>
  <si>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</si>
  <si>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</si>
  <si>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</si>
  <si>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</si>
  <si>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</si>
  <si>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>#----desenha a cota de distancia da linha ao solo-----------------------------#</t>
  </si>
  <si>
    <t xml:space="preserve">    xy=(x_min_height_above_seabed+mov_x_1,min_height_above_seabed), </t>
  </si>
  <si>
    <t xml:space="preserve">    xytext=(x_min_height_above_seabed+mov_x_1,z_min_height_above_seabed), </t>
  </si>
  <si>
    <t>ax.plot([x_min_height_above_seabed,x_min_height_above_seabed+mov_x_1],[min_height_above_seabed,min_height_above_seabed],'k-')</t>
  </si>
  <si>
    <t>ax.plot([x_min_height_above_seabed,x_min_height_above_seabed+mov_x_1],[z_min_height_above_seabed,z_min_height_above_seabed],'k-')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</si>
  <si>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</si>
  <si>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</si>
  <si>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 xml:space="preserve">    verticalalignment ='center',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</si>
  <si>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</si>
  <si>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</si>
  <si>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</si>
  <si>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</si>
  <si>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</si>
  <si>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</si>
  <si>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</si>
  <si>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</si>
  <si>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</si>
  <si>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</si>
  <si>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</si>
  <si>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</si>
  <si>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</si>
  <si>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</si>
  <si>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</si>
  <si>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) 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</si>
  <si>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</si>
  <si>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</si>
  <si>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</si>
  <si>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</si>
  <si>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</si>
  <si>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</si>
  <si>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>#----desenha a cota da dragagem-----------------------------------------------#</t>
  </si>
  <si>
    <t>if dred:</t>
  </si>
  <si>
    <t xml:space="preserve">    o_x = environment.SeabedOriginX</t>
  </si>
  <si>
    <t xml:space="preserve">    # Cota horizontal</t>
  </si>
  <si>
    <t xml:space="preserve">    ax.annotate(</t>
  </si>
  <si>
    <t xml:space="preserve">        "",</t>
  </si>
  <si>
    <t xml:space="preserve">        xy=(o_x+min(dred_dist),min(dred_z)-1+mov_z_7), </t>
  </si>
  <si>
    <t xml:space="preserve">        xycoords='data',</t>
  </si>
  <si>
    <t xml:space="preserve">        xytext=(o_x+max(dred_dist),min(dred_z)-1+mov_z_7),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</si>
  <si>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</si>
  <si>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</si>
  <si>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</si>
  <si>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</si>
  <si>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</si>
  <si>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str(format(round(abs(min(dred_dist)-max(dred_dist)),1), '.2f')).replace('.', ',')+'m', </t>
  </si>
  <si>
    <t xml:space="preserve">        xy=(o_x+np.mean(dred_dist)-3.5+mov_x_7,min(dred_z)-1.75+mov_z_7),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</si>
  <si>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</si>
  <si>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</si>
  <si>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</si>
  <si>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</si>
  <si>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</si>
  <si>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</si>
  <si>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xy=(o_x+max(dred_dist)+1+mov_x_8,min(dred_z)), </t>
  </si>
  <si>
    <t xml:space="preserve">        xytext=(o_x + max(dred_dist) + 1+ mov_x_8, min(dred_z) - 1), </t>
  </si>
  <si>
    <t xml:space="preserve">        arrowprops=dict(arrowstyle="-&gt;", connectionstyle="arc3", lw=2),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</si>
  <si>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</si>
  <si>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</si>
  <si>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</si>
  <si>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str(format(round(abs(seabed_z[-1]-min(dred_z)),1), '.2f')).replace('.', ',')+'m', </t>
  </si>
  <si>
    <t xml:space="preserve">        xy=(o_x + max(dred_dist) + 1 + mov_x_8, min(dred_z) - 1 + mov_z_8), </t>
  </si>
  <si>
    <t xml:space="preserve">    #----Distância do flange--------------------------------------------------#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</si>
  <si>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</si>
  <si>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</si>
  <si>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</si>
  <si>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</si>
  <si>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</si>
  <si>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</si>
  <si>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</si>
  <si>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</si>
  <si>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</si>
  <si>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</si>
  <si>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</si>
  <si>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</si>
  <si>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</si>
  <si>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</si>
  <si>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</si>
  <si>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</si>
  <si>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</si>
  <si>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</si>
  <si>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</si>
  <si>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</si>
  <si>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</si>
  <si>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</si>
  <si>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</si>
  <si>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# refaz as listas de posicao/no, empuxo e quantidade de boias de modo a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</si>
  <si>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</si>
  <si>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</si>
  <si>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</si>
  <si>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</si>
  <si>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</si>
  <si>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</si>
  <si>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</si>
  <si>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</si>
  <si>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xytext=(x_buoy[j]+(mov_x_3*j),z_buoy[j]+3+(mov_z_3*j)),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</si>
  <si>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</si>
  <si>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</si>
  <si>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</si>
  <si>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</si>
  <si>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</t>
  </si>
  <si>
    <t xml:space="preserve">    peso_txt = str(round(peso_total,2))+'kg'      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</si>
  <si>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</si>
  <si>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</si>
  <si>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</si>
  <si>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</si>
  <si>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</si>
  <si>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xytext=(x_buoy[int(len(x_buoy)/2)]+3+(mov_x_3*j),z_buoy[int(len(z_buoy)/2)]+3+(mov_z_3*j)),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</si>
  <si>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</si>
  <si>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</si>
  <si>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</si>
  <si>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</si>
  <si>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#----desenha os estropos-------------------------------------------------------#</t>
  </si>
  <si>
    <t>#----cota do comprimento de linha da flange ao ponto minimo da linha----------#</t>
  </si>
  <si>
    <t>#insere as cotas das boias</t>
  </si>
  <si>
    <t>#esta cota e uma linha porque faz a catenaria do duto</t>
  </si>
  <si>
    <t>cota2_x=[]</t>
  </si>
  <si>
    <t>cota2_z=[]</t>
  </si>
  <si>
    <t>for i in range(mini,len(line_x.Mean)):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</si>
  <si>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</si>
  <si>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</si>
  <si>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</si>
  <si>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</si>
  <si>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xytext=(cota2_x[-2],cota2_z[-2]), </t>
  </si>
  <si>
    <t xml:space="preserve">    arrowprops=dict(arrowstyle="-&gt;", connectionstyle="arc3", lw=2), </t>
  </si>
  <si>
    <t xml:space="preserve">    xy=(cota2_x[0],cota2_z[0]), 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</si>
  <si>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</si>
  <si>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</si>
  <si>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</si>
  <si>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</si>
  <si>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        </t>
  </si>
  <si>
    <t xml:space="preserve">    str(format(round(line_x.X[len(line_x.X)-1]-line_x.X[mini],2),'.2f')).replace('.', ',')+'m',</t>
  </si>
  <si>
    <t xml:space="preserve">    xy=(annot2_x_pos+mov_x_1,annot2_z_pos+mov_z_1), </t>
  </si>
  <si>
    <t xml:space="preserve">    horizontalalignment='center',</t>
  </si>
  <si>
    <t>#----cota do comprimento de linha do ponto minimo da linha ao outro lado------#</t>
  </si>
  <si>
    <t>cota3_x=[]</t>
  </si>
  <si>
    <t>cota3_z=[]</t>
  </si>
  <si>
    <t>for i in range(other_point_i+1,mini+1):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</si>
  <si>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</si>
  <si>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</si>
  <si>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</si>
  <si>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</si>
  <si>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</si>
  <si>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</si>
  <si>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</si>
  <si>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</si>
  <si>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</si>
  <si>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</si>
  <si>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</si>
  <si>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</si>
  <si>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</si>
  <si>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</si>
  <si>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</si>
  <si>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># Caminho do ficheiro da analise de contingencia</t>
  </si>
  <si>
    <t>model_2 = orca.Model()</t>
  </si>
  <si>
    <t>model_2.LoadSimulation(filename_static)</t>
  </si>
  <si>
    <t xml:space="preserve">    buoys_z_2=[]</t>
  </si>
  <si>
    <t xml:space="preserve">        if att_name==None:              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</si>
  <si>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</si>
  <si>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</si>
  <si>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</si>
  <si>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</si>
  <si>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</si>
  <si>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</si>
  <si>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</si>
  <si>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</si>
  <si>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</si>
  <si>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</si>
  <si>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</si>
  <si>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</si>
  <si>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</si>
  <si>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</si>
  <si>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</si>
  <si>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</si>
  <si>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</si>
  <si>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</si>
  <si>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</si>
  <si>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</si>
  <si>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</si>
  <si>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seabed_x.append(environment.SeabedOriginX + environment.SeabedProfileDistanceFromSeabedOrigin[i])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</si>
  <si>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</si>
  <si>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</si>
  <si>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</si>
  <si>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</si>
  <si>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</si>
  <si>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</si>
  <si>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</si>
  <si>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</si>
  <si>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</si>
  <si>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</si>
  <si>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</si>
  <si>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</si>
  <si>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</si>
  <si>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</si>
  <si>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</si>
  <si>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</si>
  <si>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</si>
  <si>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</si>
  <si>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</si>
  <si>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</si>
  <si>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</si>
  <si>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</si>
  <si>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</si>
  <si>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</si>
  <si>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</si>
  <si>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</si>
  <si>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</si>
  <si>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</si>
  <si>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</si>
  <si>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</si>
  <si>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</si>
  <si>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</si>
  <si>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</si>
  <si>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</si>
  <si>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</si>
  <si>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</si>
  <si>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</si>
  <si>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</si>
  <si>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</si>
  <si>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</si>
  <si>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</si>
  <si>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</si>
  <si>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</si>
  <si>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</si>
  <si>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</si>
  <si>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</si>
  <si>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</si>
  <si>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</si>
  <si>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</si>
  <si>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</si>
  <si>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</si>
  <si>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</si>
  <si>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</si>
  <si>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</si>
  <si>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</si>
  <si>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</si>
  <si>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</si>
  <si>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</si>
  <si>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</si>
  <si>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</si>
  <si>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</si>
  <si>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</si>
  <si>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</si>
  <si>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</si>
  <si>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</si>
  <si>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</si>
  <si>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</si>
  <si>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</si>
  <si>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</si>
  <si>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</si>
  <si>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</si>
  <si>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</si>
  <si>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</si>
  <si>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</si>
  <si>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</si>
  <si>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</si>
  <si>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</si>
  <si>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</si>
  <si>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</si>
  <si>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</si>
  <si>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</si>
  <si>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</si>
  <si>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</si>
  <si>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</si>
  <si>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</si>
  <si>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</si>
  <si>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</si>
  <si>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</si>
  <si>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</si>
  <si>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</si>
  <si>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</si>
  <si>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</si>
  <si>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</si>
  <si>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</si>
  <si>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</si>
  <si>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</si>
  <si>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</si>
  <si>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</si>
  <si>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</si>
  <si>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</si>
  <si>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</si>
  <si>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</si>
  <si>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</si>
  <si>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</si>
  <si>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    xy=(flange_vcm1_x+mov_x_2,flange_seabed_z+(flange_vcm1_z-flange_seabed_z)/2+mov_z_2), </t>
  </si>
  <si>
    <t xml:space="preserve">)    </t>
  </si>
  <si>
    <t xml:space="preserve">    xytext=(5, 0),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</si>
  <si>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</si>
  <si>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</si>
  <si>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</si>
  <si>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</si>
  <si>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</si>
  <si>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</si>
  <si>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</si>
  <si>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</si>
  <si>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</si>
  <si>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</si>
  <si>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</si>
  <si>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Dados de Referência</t>
  </si>
  <si>
    <t>Fonte</t>
  </si>
  <si>
    <t>Estático</t>
  </si>
  <si>
    <t>Estático Zoom</t>
  </si>
  <si>
    <t>Overlength</t>
  </si>
  <si>
    <t>Hmax</t>
  </si>
  <si>
    <t>Puxada na Corcova</t>
  </si>
  <si>
    <t>[-]</t>
  </si>
  <si>
    <t>[kN.m]</t>
  </si>
  <si>
    <t>[kN]</t>
  </si>
  <si>
    <t>MCV</t>
  </si>
  <si>
    <t>Cont1</t>
  </si>
  <si>
    <t>Cont2</t>
  </si>
  <si>
    <t>Cota A da Planilha EQSB</t>
  </si>
  <si>
    <t>m</t>
  </si>
  <si>
    <t>Junção</t>
  </si>
  <si>
    <t>Momento Admissível na Vértebra</t>
  </si>
  <si>
    <t>kN.m</t>
  </si>
  <si>
    <t>A/R</t>
  </si>
  <si>
    <t>Força Cortante Admissível na Vértebra</t>
  </si>
  <si>
    <t>kN</t>
  </si>
  <si>
    <t>Dinamico</t>
  </si>
  <si>
    <t>Tipo de Linha</t>
  </si>
  <si>
    <t>º</t>
  </si>
  <si>
    <t>Tipo de Conexão</t>
  </si>
  <si>
    <t>Embarcação</t>
  </si>
  <si>
    <t>Número da RT</t>
  </si>
  <si>
    <t>Versão do Relatório</t>
  </si>
  <si>
    <t>Iniciais do Elaborador</t>
  </si>
  <si>
    <t>Iniciais do Verificador</t>
  </si>
  <si>
    <t>Comprimento de flexível suspenso</t>
  </si>
  <si>
    <t>Iniciais do Aprovador</t>
  </si>
  <si>
    <t>Númeração do Relatório</t>
  </si>
  <si>
    <t>Engenheiro Solicitante</t>
  </si>
  <si>
    <t>Coordenador da Embarcação</t>
  </si>
  <si>
    <t>Em cópia (Opcional)</t>
  </si>
  <si>
    <t>Versão do Orcaflex</t>
  </si>
  <si>
    <t>RT / Documento</t>
  </si>
  <si>
    <t>RT / Revisão</t>
  </si>
  <si>
    <t>RT / Título</t>
  </si>
  <si>
    <t>Distância do Flange [m]</t>
  </si>
  <si>
    <t>Profundidade [m]</t>
  </si>
  <si>
    <t>Altura no Estático + Heave Up</t>
  </si>
  <si>
    <t>te</t>
  </si>
  <si>
    <t>°</t>
  </si>
  <si>
    <t>Contingência 1</t>
  </si>
  <si>
    <t>Empuxo</t>
  </si>
  <si>
    <t>kg</t>
  </si>
  <si>
    <t>Contingência 2</t>
  </si>
  <si>
    <t>Posicionamento de Boias</t>
  </si>
  <si>
    <t>CVD de 2ª</t>
  </si>
  <si>
    <t>Diâmetro Nominal (")</t>
  </si>
  <si>
    <t>Lâmina d'água (m)</t>
  </si>
  <si>
    <t>Qtde. de Conjuntos de Boias</t>
  </si>
  <si>
    <t>Distância da 1ª Boia ao Flange</t>
  </si>
  <si>
    <t xml:space="preserve">AN </t>
  </si>
  <si>
    <t>GL</t>
  </si>
  <si>
    <t>IA</t>
  </si>
  <si>
    <t>IG</t>
  </si>
  <si>
    <t>PO</t>
  </si>
  <si>
    <t>UEH</t>
  </si>
  <si>
    <t>Gas</t>
  </si>
  <si>
    <t>Selecionar Caso</t>
  </si>
  <si>
    <t>Momento Fletor</t>
  </si>
  <si>
    <t>Orcaflex</t>
  </si>
  <si>
    <t>CASO DE CARREGAMENTO</t>
  </si>
  <si>
    <t>ESFORÇO</t>
  </si>
  <si>
    <t>Valor</t>
  </si>
  <si>
    <t>M. Fletor</t>
  </si>
  <si>
    <t>Verificação</t>
  </si>
  <si>
    <t>CVD 2a - Topo (Caso 1)</t>
  </si>
  <si>
    <t>Tração (Fx)</t>
  </si>
  <si>
    <t>CVD 2a - Equilibrio
(Caso 2 - Flutuadores)</t>
  </si>
  <si>
    <t>Forga Cortante (Fz)</t>
  </si>
  <si>
    <t>Momento Fletor (My)</t>
  </si>
  <si>
    <t>MBR (Vertebra)</t>
  </si>
  <si>
    <t>MBR (Flexivel)</t>
  </si>
  <si>
    <t>CVD 2a - MCV no Hub com linha
suspensa (Caso 3i - Flutuadores)</t>
  </si>
  <si>
    <t>Momento
Fletor
Maximo</t>
  </si>
  <si>
    <t>Momento
Fletor
Minimo</t>
  </si>
  <si>
    <t>CVD 2a - MCV no Hub
(Caso 3ii - Flutuadores)</t>
  </si>
  <si>
    <t>(a)</t>
  </si>
  <si>
    <t>(b)</t>
  </si>
  <si>
    <t>CVD 2a - MCV no Hub
(Caso 3ii - Após retirada
dos Flutuadores)</t>
  </si>
  <si>
    <t>CVD 2a - Teste Offshore
(Caso 4 - Flutuadores)</t>
  </si>
  <si>
    <t>CVD 2a - Teste Offshore
(Caso 4 - Após retirada
dos Flutuadores)</t>
  </si>
  <si>
    <t>CVD 2a - Operagão
(Caso 5 - Após retirada
dos Flutuadores)</t>
  </si>
  <si>
    <t>Puxada com GP Max</t>
  </si>
  <si>
    <t>Puxada com GP Min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</si>
  <si>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</si>
  <si>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</si>
  <si>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</si>
  <si>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</si>
  <si>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</si>
  <si>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</si>
  <si>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</si>
  <si>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</si>
  <si>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</si>
  <si>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</si>
  <si>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</si>
  <si>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</si>
  <si>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</si>
  <si>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</si>
  <si>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</si>
  <si>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</si>
  <si>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N/A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</si>
  <si>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</si>
  <si>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</si>
  <si>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</si>
  <si>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</si>
  <si>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</si>
  <si>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</si>
  <si>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</si>
  <si>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</si>
  <si>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 xml:space="preserve"> Toque da linha no solo após conexão</t>
  </si>
  <si>
    <t>Esforços no no flange do goose neck do MCV (toque no solo)</t>
  </si>
  <si>
    <t>REV:</t>
  </si>
  <si>
    <t>DATA</t>
  </si>
  <si>
    <t>ELABORADO</t>
  </si>
  <si>
    <t>VERIFICADO</t>
  </si>
  <si>
    <t>APROVADO</t>
  </si>
  <si>
    <t>Momento Fletor [kN.m]</t>
  </si>
  <si>
    <t>Tração no flange do goose neck [kN]</t>
  </si>
  <si>
    <t>Força Cortante no flange do goose neck  [kN]</t>
  </si>
  <si>
    <t>Primeira Emissão</t>
  </si>
  <si>
    <t>TÍTULO:</t>
  </si>
  <si>
    <t>Máxima altura permitida para erguimento da corcova. (Estático sem acoplar o MCV)</t>
  </si>
  <si>
    <t>Parâmetros da corcova</t>
  </si>
  <si>
    <t>Distância do flange do MCV ao solo [m]</t>
  </si>
  <si>
    <t>Distância do TDP ao flange do MCV [m]</t>
  </si>
  <si>
    <t>Comp. De flexível suspenso [m]</t>
  </si>
  <si>
    <t>Altura da corcova [m]</t>
  </si>
  <si>
    <t>Inclinação do MCV [graus]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</si>
  <si>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</si>
  <si>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</si>
  <si>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Para:</t>
  </si>
  <si>
    <t>1-INTRODUÇÃO</t>
  </si>
  <si>
    <t>Informação Geral</t>
  </si>
  <si>
    <t>Abreviações</t>
  </si>
  <si>
    <t>Momento fletor Máximo na vértebra [kN.m]</t>
  </si>
  <si>
    <t>Força Cortante Máxima na vértebra [kN.m]</t>
  </si>
  <si>
    <t>MBR Vértebra [m]</t>
  </si>
  <si>
    <t>Objetivo:</t>
  </si>
  <si>
    <t xml:space="preserve"> Realizar um estudo de CVD de segunda extremidade. </t>
  </si>
  <si>
    <t>CVD:</t>
  </si>
  <si>
    <t>Conexão Vertical Direta</t>
  </si>
  <si>
    <t>Conexão Subsea: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</si>
  <si>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</si>
  <si>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</si>
  <si>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</si>
  <si>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>Minimum Bending Radius</t>
  </si>
  <si>
    <t xml:space="preserve">Altura Máxima para erguimento da corcova </t>
  </si>
  <si>
    <t>Embarcação:</t>
  </si>
  <si>
    <t xml:space="preserve">MCV: </t>
  </si>
  <si>
    <t>Módulo de Conexão Vertical</t>
  </si>
  <si>
    <t>Campo:</t>
  </si>
  <si>
    <t>TDP:</t>
  </si>
  <si>
    <t>Touch Down Point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</si>
  <si>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</si>
  <si>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Te:</t>
  </si>
  <si>
    <t>Toneladas</t>
  </si>
  <si>
    <t>Referências</t>
  </si>
  <si>
    <t>REF</t>
  </si>
  <si>
    <t>Documento</t>
  </si>
  <si>
    <t>Rev</t>
  </si>
  <si>
    <t>Título</t>
  </si>
  <si>
    <t>[1]</t>
  </si>
  <si>
    <t>[2]</t>
  </si>
  <si>
    <t>2-PREMISSAS DE CÁLCULO</t>
  </si>
  <si>
    <t>Metodologia</t>
  </si>
  <si>
    <t>Hipóteses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</si>
  <si>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</si>
  <si>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4-ANÁLISE DE CONTINGÊNCIA</t>
  </si>
  <si>
    <t>Configuração do caso de 1ª Contingência</t>
  </si>
  <si>
    <t>Critérios de aceitação</t>
  </si>
  <si>
    <t>Item</t>
  </si>
  <si>
    <t>Parâmetros</t>
  </si>
  <si>
    <t>Ref</t>
  </si>
  <si>
    <t>Valor Limite</t>
  </si>
  <si>
    <t>Unidade</t>
  </si>
  <si>
    <t>Estrutura:</t>
  </si>
  <si>
    <t xml:space="preserve">Inclinação do MCV em relação à vertical: 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</si>
  <si>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</si>
  <si>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</si>
  <si>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</si>
  <si>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</si>
  <si>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</si>
  <si>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</si>
  <si>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</si>
  <si>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MCV: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</si>
  <si>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</si>
  <si>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</si>
  <si>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</si>
  <si>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</si>
  <si>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</si>
  <si>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</si>
  <si>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MBR Linha [m]</t>
  </si>
  <si>
    <t>Momento Fletor Vértebra [kN.m]</t>
  </si>
  <si>
    <t>Esforço Cortante Vértebra [kN]</t>
  </si>
  <si>
    <t>Momento Fletor Flange [kN.m]</t>
  </si>
  <si>
    <t>Esforço Cortante Flange [kN]</t>
  </si>
  <si>
    <t>Configuração do caso de 2ª Contingência</t>
  </si>
  <si>
    <t>3-RESULTADOS</t>
  </si>
  <si>
    <t>Alinhamento e Verticalização do MCV (Estático)</t>
  </si>
  <si>
    <t>Resultados Estáticos para Alinhamento e Verticalização</t>
  </si>
  <si>
    <t>Distância do Flange do MCV ao solo [m]</t>
  </si>
  <si>
    <t>Distância mínima da linha ao solo [m]</t>
  </si>
  <si>
    <t>MBR Linha   [m]</t>
  </si>
  <si>
    <t>Parâmetros da Corcova</t>
  </si>
  <si>
    <t>Distância das lingadas ao flange do MCV [m;m]</t>
  </si>
  <si>
    <t>Comprimento de flexível suspenso [m]</t>
  </si>
  <si>
    <t xml:space="preserve"> Esforços na Vértebra</t>
  </si>
  <si>
    <t xml:space="preserve"> Esforços no flange do goose neck do MCV </t>
  </si>
  <si>
    <t>Tração [kN]</t>
  </si>
  <si>
    <t>Força Cortante [kN]</t>
  </si>
  <si>
    <t xml:space="preserve">Configuração da CVD de 2ª Extremidade </t>
  </si>
  <si>
    <t>5-CONCLUSÕES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</si>
  <si>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</si>
  <si>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</si>
  <si>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</si>
  <si>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Heave-Up (Dinâmico)</t>
  </si>
  <si>
    <t>Resultados da Análise de Heave-Up</t>
  </si>
  <si>
    <t>Heave-Up [m]</t>
  </si>
  <si>
    <t>Tração nas lingadas (Corcova) [Te]</t>
  </si>
  <si>
    <t xml:space="preserve"> Esforços no flange do goose neck do MCV da análise de heave up</t>
  </si>
  <si>
    <t xml:space="preserve">Momento Fletor </t>
  </si>
  <si>
    <t>Momento Fletor  [kN.m]</t>
  </si>
  <si>
    <t xml:space="preserve">Tração [kN]                </t>
  </si>
  <si>
    <t>Máximo</t>
  </si>
  <si>
    <t>Mínimo</t>
  </si>
  <si>
    <t>REV.</t>
  </si>
  <si>
    <t>EMISSÃO</t>
  </si>
  <si>
    <t>1ª</t>
  </si>
  <si>
    <t>PARA:</t>
  </si>
  <si>
    <t>1 - INTRODUÇÃO</t>
  </si>
  <si>
    <t>Informações Gerais</t>
  </si>
  <si>
    <t>Objectivo:</t>
  </si>
  <si>
    <t xml:space="preserve"> Realizar um estudo de CVD de segunda extremidade </t>
  </si>
  <si>
    <t xml:space="preserve">Lâmina de Água: </t>
  </si>
  <si>
    <t>MBR:</t>
  </si>
  <si>
    <t>Software:</t>
  </si>
  <si>
    <t>Ref:</t>
  </si>
  <si>
    <t>Rev:</t>
  </si>
  <si>
    <t>Título:</t>
  </si>
  <si>
    <t>2 - PREMISSAS DE CÁLCULO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</si>
  <si>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</si>
  <si>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Critérios de Aceitação</t>
  </si>
  <si>
    <t>Limite</t>
  </si>
  <si>
    <t>±0,50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</si>
  <si>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</si>
  <si>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</si>
  <si>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</si>
  <si>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</si>
  <si>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Configuração da CVD de 2ª Extremidade</t>
  </si>
  <si>
    <t>Heave-Up - (Dinâmico)</t>
  </si>
  <si>
    <t>Tração nas lingadas da corcova [Te]</t>
  </si>
  <si>
    <t>Esforços no flange do goose neck do MCV (toque no solo)</t>
  </si>
  <si>
    <t>Tração flange do goose neck [kN]</t>
  </si>
  <si>
    <t>Força Cortante flange do goose neck [kN]</t>
  </si>
  <si>
    <t>Máxima altura permitida para erguimento da corcova - (Estático sem acoplar o MCV)</t>
  </si>
  <si>
    <t>Distância doTDP ao flange do MCV [m]</t>
  </si>
  <si>
    <t>Inclinação do MCV (graus)</t>
  </si>
  <si>
    <t>Overlength [m]</t>
  </si>
  <si>
    <t>Esforços na vértebra</t>
  </si>
  <si>
    <t>Configuração de Altura máxima para erguimento da Corcova</t>
  </si>
  <si>
    <t>4 - CONTINGÊNCIAS</t>
  </si>
  <si>
    <t>Configuração da 1ª Contingência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</si>
  <si>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</si>
  <si>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</si>
  <si>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</si>
  <si>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</si>
  <si>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</si>
  <si>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</si>
  <si>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</si>
  <si>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</si>
  <si>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</si>
  <si>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</si>
  <si>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</si>
  <si>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</si>
  <si>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</si>
  <si>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</si>
  <si>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</si>
  <si>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</si>
  <si>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</si>
  <si>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</si>
  <si>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</si>
  <si>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</si>
  <si>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</si>
  <si>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</si>
  <si>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</si>
  <si>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</si>
  <si>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</si>
  <si>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</si>
  <si>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</si>
  <si>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</si>
  <si>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</si>
  <si>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</si>
  <si>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</si>
  <si>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</si>
  <si>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</si>
  <si>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</si>
  <si>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</si>
  <si>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</si>
  <si>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</si>
  <si>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</si>
  <si>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</si>
  <si>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</si>
  <si>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</si>
  <si>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</si>
  <si>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</si>
  <si>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</si>
  <si>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</si>
  <si>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</si>
  <si>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</si>
  <si>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</si>
  <si>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</si>
  <si>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</si>
  <si>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</si>
  <si>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</si>
  <si>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</si>
  <si>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</si>
  <si>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</si>
  <si>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</si>
  <si>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</si>
  <si>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</si>
  <si>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</si>
  <si>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</si>
  <si>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</si>
  <si>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</si>
  <si>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</si>
  <si>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</si>
  <si>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</si>
  <si>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</si>
  <si>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</si>
  <si>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</si>
  <si>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</si>
  <si>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</si>
  <si>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</si>
  <si>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</si>
  <si>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</si>
  <si>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</si>
  <si>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</si>
  <si>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</si>
  <si>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</si>
  <si>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</si>
  <si>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</si>
  <si>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</si>
  <si>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</si>
  <si>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Campo de verificação da versão do OrcaFlex.</t>
  </si>
  <si>
    <t>OrcFxAPI version</t>
  </si>
  <si>
    <t>C36</t>
  </si>
  <si>
    <t>OrcaFlex version</t>
  </si>
  <si>
    <t>Verificar versão do OrcaFlex</t>
  </si>
  <si>
    <t>Versão 12.0.5</t>
  </si>
  <si>
    <t>12.0.5</t>
  </si>
  <si>
    <t>Script Table - Foi adicionado uma célula para indicar se a curva de rigidez foi inserida ou não.</t>
  </si>
  <si>
    <t>IndependentValue</t>
  </si>
  <si>
    <t>DependentValue</t>
  </si>
  <si>
    <t>Curvature 
[1/m]</t>
  </si>
  <si>
    <t>BM 
[N.m]</t>
  </si>
  <si>
    <t>BM 
[kN.m]</t>
  </si>
  <si>
    <t>Tabela 4 - OrcaFlex Input</t>
  </si>
  <si>
    <t>Tabela 1.3 - OrcaFlex Input</t>
  </si>
  <si>
    <t>Tabela 2.3 - OrcaFlex Input</t>
  </si>
  <si>
    <t>Tabela 3.3 - OrcaFlex Input</t>
  </si>
  <si>
    <t>Tabela 1.2 - Input</t>
  </si>
  <si>
    <t>Tabela 2.2 -  Input</t>
  </si>
  <si>
    <t>Tabela 3.2 - Input</t>
  </si>
  <si>
    <t>Tabela 2.1 - Dados da Curva</t>
  </si>
  <si>
    <t>Tabela 1.1 - Dados da Curva</t>
  </si>
  <si>
    <t>Tabela 3.1 - Dados da Curva</t>
  </si>
  <si>
    <t>Não</t>
  </si>
  <si>
    <t>NumberOfSections</t>
  </si>
  <si>
    <t>Flexible Types</t>
  </si>
  <si>
    <t>Bending Stiffness Data</t>
  </si>
  <si>
    <t>Tabela 1 - Nomes dos Objetos</t>
  </si>
  <si>
    <t>Contigência 1</t>
  </si>
  <si>
    <t>Contigência 2</t>
  </si>
  <si>
    <t>Junção de Corcova</t>
  </si>
  <si>
    <t>Corcova 1</t>
  </si>
  <si>
    <t>Corcova 2</t>
  </si>
  <si>
    <t>RL ou MD / Documento</t>
  </si>
  <si>
    <t>RL ou MD / Revisão</t>
  </si>
  <si>
    <t>RL ou MD / Título</t>
  </si>
  <si>
    <t>Arquivo Estático (*.sim)</t>
  </si>
  <si>
    <t>Arquivo Hmax (*.sim)</t>
  </si>
  <si>
    <t>Arquivo Imagem (*.png)</t>
  </si>
  <si>
    <t>Script (*.py)</t>
  </si>
  <si>
    <t>Arquivo Cont1 (*.sim)</t>
  </si>
  <si>
    <t>LEIA - Attachments!</t>
  </si>
  <si>
    <t>Casos</t>
  </si>
  <si>
    <t>Dado</t>
  </si>
  <si>
    <t>Arquivo</t>
  </si>
  <si>
    <t>LEIA - Pós-Processamento!</t>
  </si>
  <si>
    <t>K38</t>
  </si>
  <si>
    <t>B14</t>
  </si>
  <si>
    <t>K53</t>
  </si>
  <si>
    <t>C16</t>
  </si>
  <si>
    <t>Relativa Elongation</t>
  </si>
  <si>
    <t>Adaptador</t>
  </si>
  <si>
    <t>E64</t>
  </si>
  <si>
    <t>ID do conector</t>
  </si>
  <si>
    <t>C44</t>
  </si>
  <si>
    <t>I62</t>
  </si>
  <si>
    <t>OD do conector</t>
  </si>
  <si>
    <t>K60</t>
  </si>
  <si>
    <t>C45</t>
  </si>
  <si>
    <t>Diâmetro de contato do conector</t>
  </si>
  <si>
    <t>C46</t>
  </si>
  <si>
    <t>K59</t>
  </si>
  <si>
    <t>Diâmetro nominal [polegada]</t>
  </si>
  <si>
    <t>MBR de armazenamento</t>
  </si>
  <si>
    <t>Leia a nota</t>
  </si>
  <si>
    <t>Se indicado valor no data sheet, sobrescrever a célula.</t>
  </si>
  <si>
    <t>Calculado</t>
  </si>
  <si>
    <t>Constante</t>
  </si>
  <si>
    <t>Ver aba Bending Stiffness e a equação 5</t>
  </si>
  <si>
    <t>Desenho - OD da menor seção da ZR da vértebra (figura 2)</t>
  </si>
  <si>
    <t>Desenho - ID da menor seção da ZR da vértebra (figura 2)</t>
  </si>
  <si>
    <t>Desenho - OD da menor seção da vértebra (figura 1)</t>
  </si>
  <si>
    <t>Desenho - ID da menor seção da vértebra (figura 1)</t>
  </si>
  <si>
    <t>Desenho - Maior diâmetro do acessório (colocar em contact e drag)</t>
  </si>
  <si>
    <t>Se não tiver no desenho usar Par*0,87, EXCETO para Vértebras de PU!</t>
  </si>
  <si>
    <t>Nota1 - Inserir peso na água. Peso ar deve ser igual ao peso na água</t>
  </si>
  <si>
    <t>13.0.0</t>
  </si>
  <si>
    <t>Versão 13.0.0</t>
  </si>
  <si>
    <t>Caso 2 - Estático</t>
  </si>
  <si>
    <t>Min - Bend Radius (Line and BR)</t>
  </si>
  <si>
    <t>IGNORAR</t>
  </si>
  <si>
    <t>Origem do dado - OrcaFlex API</t>
  </si>
  <si>
    <t>Origem do dado - Fórmulas</t>
  </si>
  <si>
    <t>Rótulo</t>
  </si>
  <si>
    <t>Dado 
Bruto</t>
  </si>
  <si>
    <t>Dado Processado</t>
  </si>
  <si>
    <t>CVD de 2ª - Hmax</t>
  </si>
  <si>
    <t>CVD de 2ª - Puxada</t>
  </si>
  <si>
    <t>B26</t>
  </si>
  <si>
    <t>B27</t>
  </si>
  <si>
    <t>B28</t>
  </si>
  <si>
    <t>B29</t>
  </si>
  <si>
    <t>B30</t>
  </si>
  <si>
    <t>B31</t>
  </si>
  <si>
    <t>B33</t>
  </si>
  <si>
    <t>B34</t>
  </si>
  <si>
    <t>B35</t>
  </si>
  <si>
    <t>B37</t>
  </si>
  <si>
    <t>B38</t>
  </si>
  <si>
    <t>B40</t>
  </si>
  <si>
    <t>H28</t>
  </si>
  <si>
    <t>H30</t>
  </si>
  <si>
    <t>H31</t>
  </si>
  <si>
    <t>H32</t>
  </si>
  <si>
    <t>H33</t>
  </si>
  <si>
    <t>Distância entre o cabrestante e o flange</t>
  </si>
  <si>
    <t>Distância entre o TDP e o flange</t>
  </si>
  <si>
    <t>Distância entre as Boias de Cont e o Flange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</si>
  <si>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</si>
  <si>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</si>
  <si>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</si>
  <si>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</si>
  <si>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</si>
  <si>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</si>
  <si>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</si>
  <si>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</si>
  <si>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</si>
  <si>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B75</t>
  </si>
  <si>
    <t>B76</t>
  </si>
  <si>
    <t>B77</t>
  </si>
  <si>
    <t>B78</t>
  </si>
  <si>
    <t>B79</t>
  </si>
  <si>
    <t>H75</t>
  </si>
  <si>
    <t>H76</t>
  </si>
  <si>
    <t>H77</t>
  </si>
  <si>
    <t>H78</t>
  </si>
  <si>
    <t>H79</t>
  </si>
  <si>
    <t>B24</t>
  </si>
  <si>
    <t>B25</t>
  </si>
  <si>
    <t>B84</t>
  </si>
  <si>
    <t>B85</t>
  </si>
  <si>
    <t>Stiffener Range</t>
  </si>
  <si>
    <t>Stiffener</t>
  </si>
  <si>
    <t>ArcLength (AL)</t>
  </si>
  <si>
    <t>B44</t>
  </si>
  <si>
    <t>B45</t>
  </si>
  <si>
    <t>B64</t>
  </si>
  <si>
    <t>B65</t>
  </si>
  <si>
    <t>Geral</t>
  </si>
  <si>
    <t>Tabela 1 - Momento do Primeiro Toque</t>
  </si>
  <si>
    <t>Tabela 2 - Verificação da tabela 3</t>
  </si>
  <si>
    <t>Tabela 3 - Dados de ArcLength - Verificar momento do 1º toque</t>
  </si>
  <si>
    <t>A vértebra travou?</t>
  </si>
  <si>
    <t>Dados Gerais</t>
  </si>
  <si>
    <t>Nome - Estrutura</t>
  </si>
  <si>
    <t>Nome - Vértebra</t>
  </si>
  <si>
    <t>Nome - Conector</t>
  </si>
  <si>
    <t>Nome - Adaptador de Flanges</t>
  </si>
  <si>
    <t>Nome - MCV</t>
  </si>
  <si>
    <t>Caso 3 - Dinâmico</t>
  </si>
  <si>
    <t>* Esforços calculados de acordo com os itens 6.4 e 6.5 do documento 
ET-3000.00-1500-941-PMU-006 - Rev.C.</t>
  </si>
  <si>
    <t>Se NÃO houver vértebra ou ângulo de cobertura &lt; 72º, utilizar 1.5*MBR instalação</t>
  </si>
  <si>
    <t>CASO 3i - Max e Min (Linked Statistics)</t>
  </si>
  <si>
    <t>CASO 3ii - Toque no solo (Linked Statistics)</t>
  </si>
  <si>
    <t>Puxada - CVD de 2ª (Linked Statistics)</t>
  </si>
  <si>
    <t>Caso 3i - Dinâmico (Max e  Min)</t>
  </si>
  <si>
    <t>Droplist - Tipos Linha</t>
  </si>
  <si>
    <t>Droplist - Casos</t>
  </si>
  <si>
    <t>Caso 3ii - Toque no Solo</t>
  </si>
  <si>
    <t>VALOR (com unidade)</t>
  </si>
  <si>
    <t>Empuxo total</t>
  </si>
  <si>
    <t>Arquivo Cont2 (*.sim)</t>
  </si>
  <si>
    <t>Arquivo Puxada (*.sim)</t>
  </si>
  <si>
    <t>Length[1] =</t>
  </si>
  <si>
    <t>CVD DE PRIMEIRA EXTREMIDADE</t>
  </si>
  <si>
    <t>CVD DE SEGUNDA EXTREMIDADE</t>
  </si>
  <si>
    <t>CFS</t>
  </si>
  <si>
    <t>T - Tração</t>
  </si>
  <si>
    <t>V - Cortante</t>
  </si>
  <si>
    <t>M - Momento</t>
  </si>
  <si>
    <t>Empuxo Total</t>
  </si>
  <si>
    <t>Heave Up</t>
  </si>
  <si>
    <t>Momento Max na Vértebra</t>
  </si>
  <si>
    <t>Cabrestantes Posições</t>
  </si>
  <si>
    <t>Cabrestantes Comprimentos</t>
  </si>
  <si>
    <t>Curva de Rigidez de Lançamento (LAN)</t>
  </si>
  <si>
    <t>Caso 4 - Curva de Lançamento</t>
  </si>
  <si>
    <t>Caso 4 - Curva de Teste</t>
  </si>
  <si>
    <t>Caso 5 - Curva de Operação</t>
  </si>
  <si>
    <t>Tipo de CVD</t>
  </si>
  <si>
    <t>Select Stiffness_Vértebra</t>
  </si>
  <si>
    <t>Posição em relação ao flange [m]</t>
  </si>
  <si>
    <t>Posição na linha</t>
  </si>
  <si>
    <t>Adição das análises dos casos 4 e 5.</t>
  </si>
  <si>
    <t>Aba Bending Stiffness - Modificada para inserção das curvas de rigidez de teste hidroestático e de operação</t>
  </si>
  <si>
    <t>Aba Post-Processing - Modificada para extração dos dados dos casos 4 e 6</t>
  </si>
  <si>
    <t>Aba Script_Table - Modificada para inserção no modelo das 3 curvas da linha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</si>
  <si>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</si>
  <si>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</si>
  <si>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</si>
  <si>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Caso 3i - Heave Up (Max)</t>
  </si>
  <si>
    <t>Caso 3i - Heave Up (Min)</t>
  </si>
  <si>
    <t>Caso 4 - Teste Hidroestático (Sem Flutuadores)</t>
  </si>
  <si>
    <t>Caso 5 - Teste Operação (Sem Flutuadores)</t>
  </si>
  <si>
    <t>Caso 4 - Teste Hidroestático (Com Flutuadores)</t>
  </si>
  <si>
    <t>Curva de Rigidez da Vértebra (VERT)
Histerese desativada</t>
  </si>
  <si>
    <t>Curva de Rigidez de Operação (OPE)
Histerese desativada</t>
  </si>
  <si>
    <t>Curva de Rigidez de Teste Hidroestático (HID)
Histerese desativada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</si>
  <si>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</si>
  <si>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</si>
  <si>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</si>
  <si>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</si>
  <si>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</si>
  <si>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</si>
  <si>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</si>
  <si>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Tabela 1 - Dados do Estudo</t>
  </si>
  <si>
    <t>A tabela 1 está preenchida?</t>
  </si>
  <si>
    <t>Tabela 2 - Dados da Dragagem (Preencha se houver dragagem)</t>
  </si>
  <si>
    <t>Tabela 3 - Nomes dos Arquivos</t>
  </si>
  <si>
    <t>Caso5_operação_semflut</t>
  </si>
  <si>
    <t>Caso4_teste_semflut</t>
  </si>
  <si>
    <t>Caso4_teste_comflut</t>
  </si>
  <si>
    <t>Caso4_lançamento_semflut</t>
  </si>
  <si>
    <t>Caso4_lançamento_comflut</t>
  </si>
  <si>
    <t>LayAway</t>
  </si>
  <si>
    <t>Caso3ii_lançamento</t>
  </si>
  <si>
    <t>Estatico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</si>
  <si>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</si>
  <si>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</si>
  <si>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</si>
  <si>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</si>
  <si>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</si>
  <si>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H24</t>
  </si>
  <si>
    <t>H5</t>
  </si>
  <si>
    <t>H4</t>
  </si>
  <si>
    <t>Q5</t>
  </si>
  <si>
    <t>R5</t>
  </si>
  <si>
    <t>S5</t>
  </si>
  <si>
    <t>S6</t>
  </si>
  <si>
    <t>R6</t>
  </si>
  <si>
    <t>Q6</t>
  </si>
  <si>
    <t>H44</t>
  </si>
  <si>
    <t>H64</t>
  </si>
  <si>
    <t>H65</t>
  </si>
  <si>
    <t>H45</t>
  </si>
  <si>
    <t>H25</t>
  </si>
  <si>
    <t>"_package_data\ModeloRTCVD1a_v2.dat"</t>
  </si>
  <si>
    <t>"_package_data\ModeloRTCVD2a_v2.dat"</t>
  </si>
  <si>
    <t>Caso</t>
  </si>
  <si>
    <t>Caso 4 - Com flutuadores (curva de lançamento)</t>
  </si>
  <si>
    <t>Caso 4 - Com flutuadores (curva de teste)</t>
  </si>
  <si>
    <t>Caso 3 - Com flutuadores (curva de lançamento)</t>
  </si>
  <si>
    <t>Caso 3 - Sem flutuadores (curva de lançamento)</t>
  </si>
  <si>
    <t>Caso 4 - Sem flutuadores (curva de lançamento)</t>
  </si>
  <si>
    <t>Caso 4 - Sem flutuadores (curva de teste)</t>
  </si>
  <si>
    <t>Caso 5 - Sem flutuadores (curva de operação)</t>
  </si>
  <si>
    <t>Caso 3ii - Toque no solo</t>
  </si>
  <si>
    <t>Índice</t>
  </si>
  <si>
    <t>i0</t>
  </si>
  <si>
    <t>i1</t>
  </si>
  <si>
    <t>i2</t>
  </si>
  <si>
    <t>Caso 4 - Com flutuadores TOTAL [i2 - i1 + i0]</t>
  </si>
  <si>
    <t>Caso 4 - Sem flutuadores TOTAL [i2 - i1 + i0]</t>
  </si>
  <si>
    <t>Caso 5 - Sem flutuadores TOTAL [i2 - i1 + i0]</t>
  </si>
  <si>
    <t>N6</t>
  </si>
  <si>
    <t>N7</t>
  </si>
  <si>
    <t>N8</t>
  </si>
  <si>
    <t>N9</t>
  </si>
  <si>
    <t>N10</t>
  </si>
  <si>
    <t>N11</t>
  </si>
  <si>
    <t>N12</t>
  </si>
  <si>
    <t>N13</t>
  </si>
  <si>
    <t>Layway - Esforços no flange ao fim da simulação do caso 3  (Linked Statistics) - COM Flutuador</t>
  </si>
  <si>
    <t>Layway - Esforços no flange ao fim da simulação do caso 3  (Linked Statistics) - SEM Flutuador</t>
  </si>
  <si>
    <t>H84</t>
  </si>
  <si>
    <t>H85</t>
  </si>
  <si>
    <t xml:space="preserve">T - Força Axial 
[kN] </t>
  </si>
  <si>
    <t>M - Momento Fletor [kN.m]</t>
  </si>
  <si>
    <t>Esforços no flange do MCV</t>
  </si>
  <si>
    <t>V - Força Cortante 
[kN]</t>
  </si>
  <si>
    <t>CVD de 2ª - Puxada (Max)</t>
  </si>
  <si>
    <t>CVD de 2ª - Puxada (Min)</t>
  </si>
  <si>
    <t>Caso 2 - Análise estática</t>
  </si>
  <si>
    <t>MBR Vértebra - RL</t>
  </si>
  <si>
    <t>MBR Linha - RL</t>
  </si>
  <si>
    <t>Tipo de Dado</t>
  </si>
  <si>
    <t>Tipo de Attachment</t>
  </si>
  <si>
    <t>Input</t>
  </si>
  <si>
    <t>Dado  Bruto</t>
  </si>
  <si>
    <t>Peso - Estrutura</t>
  </si>
  <si>
    <t>Peso - Vértebra</t>
  </si>
  <si>
    <t>Peso - Conector</t>
  </si>
  <si>
    <t>Peso - Adaptador de Flanges</t>
  </si>
  <si>
    <t>Peso - MCV</t>
  </si>
  <si>
    <t>Te</t>
  </si>
  <si>
    <t>Te/m</t>
  </si>
  <si>
    <t>Tabela 4 - Fonte das Imagens</t>
  </si>
  <si>
    <t>Tabela 5 - Dados Gerais</t>
  </si>
  <si>
    <t>Tabela 6 - Esforços no Flange do MCV</t>
  </si>
  <si>
    <t>Caso 4 - Teste Hidroestático - Com Flutuadores*</t>
  </si>
  <si>
    <t>Caso 4 - Teste Hidroestático - Sem Flutuadores*</t>
  </si>
  <si>
    <t>Caso 5 - Operação - Sem Flutuadores*</t>
  </si>
  <si>
    <t>Densidade do Fluido</t>
  </si>
  <si>
    <t>Condição da Linha</t>
  </si>
  <si>
    <t>Condição do Anular</t>
  </si>
  <si>
    <t>Cheia</t>
  </si>
  <si>
    <t>Quantidade de Conjuntos de Boias</t>
  </si>
  <si>
    <t>0 to 152,15</t>
  </si>
  <si>
    <t>0 to 182,15</t>
  </si>
  <si>
    <t>0 to 32,15</t>
  </si>
  <si>
    <t>0 to 50</t>
  </si>
  <si>
    <t xml:space="preserve"> kg</t>
  </si>
  <si>
    <t>Stiffener1</t>
  </si>
  <si>
    <t>Rotation 2 - MCV</t>
  </si>
  <si>
    <t>Depth - Environment</t>
  </si>
  <si>
    <t>Z - Line - End B</t>
  </si>
  <si>
    <t>End Ey-Moment - Line - End B</t>
  </si>
  <si>
    <t>End Ex-Force - Line - End B</t>
  </si>
  <si>
    <t>End Ez-Force - Line - End B</t>
  </si>
  <si>
    <t>Bend Radius - Line</t>
  </si>
  <si>
    <t>Bend Radius - Stiffener1</t>
  </si>
  <si>
    <t>Bend Moment - Stiffener1</t>
  </si>
  <si>
    <t>Shear Force - Stiffener1</t>
  </si>
  <si>
    <t>EndBZ - Cabrestante 1</t>
  </si>
  <si>
    <t>EndBZ - Cabrestante 2</t>
  </si>
  <si>
    <t>StageValue[1] - A/R</t>
  </si>
  <si>
    <t>Length - Cabrestante 1</t>
  </si>
  <si>
    <t>Length - Cabrestante 2</t>
  </si>
  <si>
    <t>Min - Vertical Sb Clearance (Line and BR)</t>
  </si>
  <si>
    <t>StageValue[3] - A/R</t>
  </si>
  <si>
    <t>NumberOfAttachments - Line</t>
  </si>
  <si>
    <t>Tension - Cabrestante 1</t>
  </si>
  <si>
    <t>Tension - Cabrestante 2</t>
  </si>
  <si>
    <t>MBR Linha - Min (Estático, Dinâmico)</t>
  </si>
  <si>
    <t>MBR Vértebra - Min (Estático, Dinâmico)</t>
  </si>
  <si>
    <t>End Ey-Moment - Line</t>
  </si>
  <si>
    <t>Dist. Boias de Cont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</si>
  <si>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</si>
  <si>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</si>
  <si>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</si>
  <si>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</si>
  <si>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Peso Morto 
ou Boia</t>
  </si>
  <si>
    <t>X - Line - End B</t>
  </si>
  <si>
    <t>X - Line - Touchdown</t>
  </si>
  <si>
    <t>Arc Length - Line - End B</t>
  </si>
  <si>
    <t>Arc Length - Line - Touchdown</t>
  </si>
  <si>
    <t>Comp. de flexível suspenso entre o TDP e o flange</t>
  </si>
  <si>
    <t>Attachmentz[3] - Line</t>
  </si>
  <si>
    <t>Vertical Seabed Clearance Max -21 to -24 - Line</t>
  </si>
  <si>
    <t>Curva de Lançamento</t>
  </si>
  <si>
    <t>Curva de Teste</t>
  </si>
  <si>
    <t>Curva de Operação</t>
  </si>
  <si>
    <t>Estatico.sim</t>
  </si>
  <si>
    <t>##################################INICIO INPUT#################################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</si>
  <si>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</si>
  <si>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</si>
  <si>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</si>
  <si>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</si>
  <si>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</si>
  <si>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</si>
  <si>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</si>
  <si>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</si>
  <si>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</si>
  <si>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</si>
  <si>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</si>
  <si>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</si>
  <si>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</si>
  <si>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</si>
  <si>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</si>
  <si>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</si>
  <si>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</si>
  <si>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</si>
  <si>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</si>
  <si>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</si>
  <si>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</si>
  <si>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</si>
  <si>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</si>
  <si>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</si>
  <si>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</si>
  <si>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</si>
  <si>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</si>
  <si>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</si>
  <si>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</si>
  <si>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</si>
  <si>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</si>
  <si>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</si>
  <si>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</si>
  <si>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</si>
  <si>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</si>
  <si>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</si>
  <si>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</si>
  <si>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</si>
  <si>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</si>
  <si>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</si>
  <si>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</si>
  <si>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</si>
  <si>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</si>
  <si>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 xml:space="preserve">    return max_values_index, min_values_index</t>
  </si>
  <si>
    <t>#----Recognize Crane Wire-----------------------------------------------------#</t>
  </si>
  <si>
    <t>Crane = model["Guindaste"]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</si>
  <si>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</si>
  <si>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</si>
  <si>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</si>
  <si>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</si>
  <si>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</si>
  <si>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</si>
  <si>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</si>
  <si>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</si>
  <si>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</si>
  <si>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</si>
  <si>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</si>
  <si>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</si>
  <si>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</si>
  <si>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</si>
  <si>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</si>
  <si>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</si>
  <si>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</si>
  <si>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</si>
  <si>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</si>
  <si>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</si>
  <si>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</si>
  <si>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    if sag_pos&gt;=line1.CumulativeNumberOfSegments[i-1] and sag_pos&lt;line1.CumulativeNumberOfSegments[i]:</t>
  </si>
  <si>
    <t xml:space="preserve">                sag_diameter=linetype.OD</t>
  </si>
  <si>
    <t xml:space="preserve">                line_dia=linetype.OD</t>
  </si>
  <si>
    <t xml:space="preserve">                sag_diameter=linetype.ContactDiameter</t>
  </si>
  <si>
    <t xml:space="preserve">                line_dia=linetype.ContactDiameter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</si>
  <si>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</si>
  <si>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</si>
  <si>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</si>
  <si>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</si>
  <si>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</si>
  <si>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</si>
  <si>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</si>
  <si>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</si>
  <si>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</si>
  <si>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</si>
  <si>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</si>
  <si>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</si>
  <si>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</si>
  <si>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</si>
  <si>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</si>
  <si>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for j in range(0,len(all_vertical_seabed_clearance_z)):</t>
  </si>
  <si>
    <t xml:space="preserve">    min_all.append(min(all_vertical_seabed_clearance_z[j]))</t>
  </si>
  <si>
    <t>#----Minimum Height above seabed calculation----------------------------------#</t>
  </si>
  <si>
    <t>maxi, mini1 = extremas(all_vertical_seabed_clearance_z[line_w_seabd_clear])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</si>
  <si>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</si>
  <si>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</si>
  <si>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</si>
  <si>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</si>
  <si>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</si>
  <si>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</si>
  <si>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</si>
  <si>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</si>
  <si>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 xml:space="preserve">    xy=(x_min_height_above_seabed+mov_x_1,sag_seabed), </t>
  </si>
  <si>
    <t>ax.plot([x_min_height_above_seabed,x_min_height_above_seabed+mov_x_1],[sag_seabed,sag_seabed],'k-')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</si>
  <si>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</si>
  <si>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</si>
  <si>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            xytext=(x_buoy[j]+(mov_x_10*j),z_buoy[j]+3+(mov_z_10*j)), </t>
  </si>
  <si>
    <t xml:space="preserve">                    val2=att_diameter[itera]/2+0.25</t>
  </si>
  <si>
    <t xml:space="preserve">                            val2=diameter[itera1]/2+0.25</t>
  </si>
  <si>
    <t xml:space="preserve">    peso_txt = str(round(peso_total,2))+'kg'</t>
  </si>
  <si>
    <t xml:space="preserve">            xytext=(x_buoy[int(len(x_buoy)/2)]+3+(mov_x_10*j),z_buoy[int(len(z_buoy)/2)]+3+(mov_z_10*j)), </t>
  </si>
  <si>
    <t>#layer das cotas</t>
  </si>
  <si>
    <t>cota1_x=[]</t>
  </si>
  <si>
    <t>cota1_z=[]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</si>
  <si>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</si>
  <si>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</si>
  <si>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</si>
  <si>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</si>
  <si>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</si>
  <si>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</si>
  <si>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</si>
  <si>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</si>
  <si>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</si>
  <si>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</si>
  <si>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</si>
  <si>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</si>
  <si>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>#----cota do comprimento do ponto minimo da linha ao outro lado da flange-----#</t>
  </si>
  <si>
    <t>for i in range(other_point_i,mini+1):</t>
  </si>
  <si>
    <t xml:space="preserve">    xycoords='data',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</si>
  <si>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</si>
  <si>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</si>
  <si>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</si>
  <si>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</si>
  <si>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</si>
  <si>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</si>
  <si>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</si>
  <si>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</si>
  <si>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</si>
  <si>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</si>
  <si>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</si>
  <si>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</si>
  <si>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</si>
  <si>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</si>
  <si>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</si>
  <si>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</si>
  <si>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</si>
  <si>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</si>
  <si>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</si>
  <si>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</si>
  <si>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</si>
  <si>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</si>
  <si>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</si>
  <si>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</si>
  <si>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</si>
  <si>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</si>
  <si>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</si>
  <si>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for i in range(other_point_j,other_point_i+1):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</si>
  <si>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</si>
  <si>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</si>
  <si>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</si>
  <si>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</si>
  <si>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</si>
  <si>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</si>
  <si>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</si>
  <si>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</si>
  <si>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</si>
  <si>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</si>
  <si>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</si>
  <si>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 xml:space="preserve">    #----Dragagem - Cota Horizontal ------------------------------------------#</t>
  </si>
  <si>
    <t xml:space="preserve">        xy=(o_x+min(dred_dist),min(dred_z)-1+mov_z_12), </t>
  </si>
  <si>
    <t xml:space="preserve">        xytext=(o_x+max(dred_dist),min(dred_z)-1+mov_z_12),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</si>
  <si>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</si>
  <si>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</si>
  <si>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xy=(o_x+np.mean(dred_dist)-2.25+mov_x_12,min(dred_z)-1.25+mov_z_12), </t>
  </si>
  <si>
    <t xml:space="preserve">        xy=(o_x+max(dred_dist)+1+mov_x_13,min(dred_z)), </t>
  </si>
  <si>
    <t xml:space="preserve">        xytext=(o_x+max(dred_dist)+1+mov_x_13,min(dred_z)-1),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</si>
  <si>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</si>
  <si>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</si>
  <si>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</si>
  <si>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xy=(o_x+max(dred_dist)+1+mov_x_13,min(dred_z)-1+mov_z_13), 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</si>
  <si>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</si>
  <si>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</si>
  <si>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</si>
  <si>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</si>
  <si>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</si>
  <si>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</si>
  <si>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</si>
  <si>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</si>
  <si>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</si>
  <si>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</si>
  <si>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# Movimentar em X o texto da cota horizontal da flange ao outro lado do duto [m]</t>
  </si>
  <si>
    <t># Movimentar em Z a cota horizontal da flange ao outro lado do duto [m]</t>
  </si>
  <si>
    <t># Movimentar em X o texto da cota linha no solo [m]</t>
  </si>
  <si>
    <t>mov_x_2 = 0.0</t>
  </si>
  <si>
    <t># Movimentar em Z a cota linha no solo [m]</t>
  </si>
  <si>
    <t>font_size = '24'</t>
  </si>
  <si>
    <t>vert = model[att_lines[0]]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</si>
  <si>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</si>
  <si>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</si>
  <si>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</si>
  <si>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</si>
  <si>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</si>
  <si>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</si>
  <si>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</si>
  <si>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</si>
  <si>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</si>
  <si>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</si>
  <si>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</si>
  <si>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</si>
  <si>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</si>
  <si>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</si>
  <si>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</si>
  <si>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</si>
  <si>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</si>
  <si>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</si>
  <si>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</si>
  <si>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</si>
  <si>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</si>
  <si>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</si>
  <si>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</si>
  <si>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</si>
  <si>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</si>
  <si>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</si>
  <si>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</si>
  <si>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        xytext=(x_buoy[j],z_buoy[j]+3), </t>
  </si>
  <si>
    <t xml:space="preserve">                    textcoords='data',</t>
  </si>
  <si>
    <t xml:space="preserve">            ax.add_patch(r6)     </t>
  </si>
  <si>
    <t xml:space="preserve">plt.ylim(round(min(seabed_z)-2.0,0)+z_min_lim,round(line_z.Mean[-1]+8,0)+z_max_lim) </t>
  </si>
  <si>
    <t>import os</t>
  </si>
  <si>
    <t>import glob</t>
  </si>
  <si>
    <t>filename_static = os.path.abspath(glob.glob(fr"..\{filename_static}")[0])</t>
  </si>
  <si>
    <t>filename_cont = os.path.abspath(glob.glob(fr"..\{filename_cont}")[0])</t>
  </si>
  <si>
    <t>filename_hmax = os.path.abspath(glob.glob(fr"..\{filename_hmax}")[0])</t>
  </si>
  <si>
    <t>filename_puxada = os.path.abspath(glob.glob(fr"..\{filename_puxada}")[0])</t>
  </si>
  <si>
    <t>B41</t>
  </si>
  <si>
    <t>WSI 152.2547-RD-4042-X</t>
  </si>
  <si>
    <t>2</t>
  </si>
  <si>
    <t>CB-BR1522543-00-01</t>
  </si>
  <si>
    <t>1</t>
  </si>
  <si>
    <t>Aço</t>
  </si>
  <si>
    <t>CB-EF1522543-00-04</t>
  </si>
  <si>
    <t>FD-3A00.00-1514-276-PEK-001</t>
  </si>
  <si>
    <t>TechnipFMC</t>
  </si>
  <si>
    <t>P7000048060 / 'DU700154300 Rev. C</t>
  </si>
  <si>
    <t>Manifold</t>
  </si>
  <si>
    <t>MSIAG-03</t>
  </si>
  <si>
    <t>BERBIGÃO</t>
  </si>
  <si>
    <t>DTW</t>
  </si>
  <si>
    <t>S55095-RT-5801-IAS-284</t>
  </si>
  <si>
    <t>RL-3A52.00-1500-94G-PZ9-038</t>
  </si>
  <si>
    <t>Duto de injeção de água do poço I-SRR-011B da P-68 (Lado Manifold) - Análise de esforços em equip. Sub. (MCV)</t>
  </si>
  <si>
    <t>RT-2517</t>
  </si>
  <si>
    <t>Estudo de CVD de 1° no Manifold MSIAG-03</t>
  </si>
  <si>
    <t>NSI</t>
  </si>
  <si>
    <t>Carlos Gonçalves</t>
  </si>
  <si>
    <t>Tadeu Porto</t>
  </si>
  <si>
    <t>Coral do Atlântico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</si>
</sst>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6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</fills>
  <borders count="1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20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9" xfId="0" applyFont="1" applyFill="1" applyBorder="1" applyAlignment="1">
      <alignment horizontal="center" vertical="center"/>
    </xf>
    <xf numFmtId="0" fontId="9" fillId="4" borderId="13" xfId="0" applyFont="1" applyFill="1" applyBorder="1" applyAlignment="1">
      <alignment horizontal="center" vertical="center"/>
    </xf>
    <xf numFmtId="0" fontId="9" fillId="0" borderId="24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9" xfId="3" applyFill="1" applyBorder="1"/>
    <xf numFmtId="0" fontId="10" fillId="6" borderId="14" xfId="3" applyFill="1" applyBorder="1"/>
    <xf numFmtId="0" fontId="10" fillId="6" borderId="11" xfId="3" applyFill="1" applyBorder="1"/>
    <xf numFmtId="0" fontId="10" fillId="6" borderId="10" xfId="3" applyFill="1" applyBorder="1"/>
    <xf numFmtId="0" fontId="10" fillId="4" borderId="22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8" xfId="3" applyFill="1" applyBorder="1"/>
    <xf numFmtId="0" fontId="10" fillId="0" borderId="0" xfId="3" applyAlignment="1">
      <alignment horizontal="left" vertical="top"/>
    </xf>
    <xf numFmtId="0" fontId="10" fillId="6" borderId="12" xfId="3" applyFill="1" applyBorder="1" applyAlignment="1">
      <alignment horizontal="center" vertical="center" wrapText="1"/>
    </xf>
    <xf numFmtId="0" fontId="10" fillId="6" borderId="85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9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10" xfId="3" applyFont="1" applyFill="1" applyBorder="1" applyAlignment="1">
      <alignment vertical="top" wrapText="1"/>
    </xf>
    <xf numFmtId="0" fontId="22" fillId="6" borderId="14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4" borderId="100" xfId="0" applyFont="1" applyFill="1" applyBorder="1" applyAlignment="1">
      <alignment horizontal="center" vertical="center"/>
    </xf>
    <xf numFmtId="0" fontId="9" fillId="4" borderId="101" xfId="0" applyFont="1" applyFill="1" applyBorder="1" applyAlignment="1">
      <alignment horizontal="center" vertical="center"/>
    </xf>
    <xf numFmtId="0" fontId="9" fillId="4" borderId="102" xfId="0" applyFont="1" applyFill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0" fontId="10" fillId="6" borderId="0" xfId="0" applyFont="1" applyFill="1"/>
    <xf numFmtId="0" fontId="10" fillId="0" borderId="9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8" xfId="0" applyFont="1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10" fillId="4" borderId="24" xfId="3" applyFill="1" applyBorder="1" applyAlignment="1">
      <alignment horizontal="center" vertical="center" wrapText="1"/>
    </xf>
    <xf numFmtId="0" fontId="10" fillId="4" borderId="24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5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4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9" xfId="0" applyFont="1" applyFill="1" applyBorder="1" applyAlignment="1">
      <alignment vertical="center"/>
    </xf>
    <xf numFmtId="0" fontId="10" fillId="7" borderId="0" xfId="3" applyFill="1"/>
    <xf numFmtId="0" fontId="10" fillId="6" borderId="10" xfId="3" applyFill="1" applyBorder="1" applyAlignment="1">
      <alignment vertical="center"/>
    </xf>
    <xf numFmtId="0" fontId="10" fillId="6" borderId="14" xfId="3" applyFill="1" applyBorder="1" applyAlignment="1">
      <alignment vertical="center"/>
    </xf>
    <xf numFmtId="0" fontId="10" fillId="6" borderId="60" xfId="3" applyFill="1" applyBorder="1" applyAlignment="1">
      <alignment vertical="center"/>
    </xf>
    <xf numFmtId="0" fontId="9" fillId="0" borderId="62" xfId="3" applyFont="1" applyBorder="1" applyAlignment="1">
      <alignment horizontal="center"/>
    </xf>
    <xf numFmtId="0" fontId="9" fillId="0" borderId="61" xfId="3" applyFont="1" applyBorder="1" applyAlignment="1">
      <alignment horizontal="center"/>
    </xf>
    <xf numFmtId="0" fontId="9" fillId="6" borderId="98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10" xfId="3" applyFont="1" applyFill="1" applyBorder="1"/>
    <xf numFmtId="0" fontId="10" fillId="4" borderId="21" xfId="3" applyFill="1" applyBorder="1" applyAlignment="1">
      <alignment horizontal="center"/>
    </xf>
    <xf numFmtId="0" fontId="10" fillId="4" borderId="10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4" xfId="3" applyFill="1" applyBorder="1" applyAlignment="1">
      <alignment vertical="center"/>
    </xf>
    <xf numFmtId="0" fontId="10" fillId="6" borderId="29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9" fillId="4" borderId="8" xfId="0" applyFont="1" applyFill="1" applyBorder="1" applyAlignment="1">
      <alignment horizontal="center" vertical="center"/>
    </xf>
    <xf numFmtId="0" fontId="10" fillId="0" borderId="94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168" fontId="9" fillId="14" borderId="112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5" borderId="26" xfId="0" applyFont="1" applyFill="1" applyBorder="1" applyAlignment="1">
      <alignment horizontal="center" vertical="center" wrapText="1"/>
    </xf>
    <xf numFmtId="0" fontId="21" fillId="15" borderId="11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12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21" fillId="15" borderId="111" xfId="0" applyFont="1" applyFill="1" applyBorder="1" applyAlignment="1">
      <alignment horizontal="center" vertical="center" wrapText="1"/>
    </xf>
    <xf numFmtId="0" fontId="21" fillId="15" borderId="112" xfId="0" applyFont="1" applyFill="1" applyBorder="1" applyAlignment="1">
      <alignment horizontal="center" vertical="center" wrapText="1"/>
    </xf>
    <xf numFmtId="0" fontId="21" fillId="15" borderId="113" xfId="0" applyFont="1" applyFill="1" applyBorder="1" applyAlignment="1">
      <alignment horizontal="center" vertical="center" wrapText="1"/>
    </xf>
    <xf numFmtId="0" fontId="21" fillId="15" borderId="115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/>
    </xf>
    <xf numFmtId="2" fontId="10" fillId="0" borderId="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10" fillId="0" borderId="68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0" fontId="10" fillId="6" borderId="75" xfId="0" applyFont="1" applyFill="1" applyBorder="1" applyAlignment="1">
      <alignment vertical="center"/>
    </xf>
    <xf numFmtId="2" fontId="10" fillId="0" borderId="56" xfId="0" applyNumberFormat="1" applyFont="1" applyBorder="1" applyAlignment="1">
      <alignment horizontal="center" vertical="center"/>
    </xf>
    <xf numFmtId="2" fontId="10" fillId="0" borderId="71" xfId="0" applyNumberFormat="1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2" fontId="10" fillId="0" borderId="76" xfId="0" applyNumberFormat="1" applyFont="1" applyBorder="1" applyAlignment="1">
      <alignment horizontal="center" vertical="center"/>
    </xf>
    <xf numFmtId="2" fontId="10" fillId="0" borderId="82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0" fontId="9" fillId="4" borderId="99" xfId="0" applyFont="1" applyFill="1" applyBorder="1" applyAlignment="1">
      <alignment horizontal="center" vertical="center"/>
    </xf>
    <xf numFmtId="2" fontId="20" fillId="0" borderId="18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64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75" xfId="0" applyNumberFormat="1" applyFont="1" applyBorder="1" applyAlignment="1">
      <alignment horizontal="center" vertical="center"/>
    </xf>
    <xf numFmtId="2" fontId="20" fillId="0" borderId="110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7" borderId="109" xfId="3" applyFont="1" applyFill="1" applyBorder="1" applyAlignment="1">
      <alignment horizontal="center"/>
    </xf>
    <xf numFmtId="0" fontId="10" fillId="0" borderId="22" xfId="3" applyBorder="1" applyAlignment="1">
      <alignment horizontal="center"/>
    </xf>
    <xf numFmtId="0" fontId="20" fillId="6" borderId="22" xfId="3" applyFont="1" applyFill="1" applyBorder="1" applyAlignment="1">
      <alignment horizontal="center"/>
    </xf>
    <xf numFmtId="0" fontId="39" fillId="6" borderId="22" xfId="3" applyFont="1" applyFill="1" applyBorder="1" applyAlignment="1">
      <alignment horizontal="center"/>
    </xf>
    <xf numFmtId="0" fontId="10" fillId="0" borderId="24" xfId="3" applyBorder="1" applyAlignment="1">
      <alignment horizontal="center"/>
    </xf>
    <xf numFmtId="0" fontId="20" fillId="6" borderId="24" xfId="3" applyFont="1" applyFill="1" applyBorder="1" applyAlignment="1">
      <alignment horizontal="center"/>
    </xf>
    <xf numFmtId="0" fontId="39" fillId="6" borderId="24" xfId="3" applyFont="1" applyFill="1" applyBorder="1" applyAlignment="1">
      <alignment horizont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10" fillId="5" borderId="67" xfId="1" applyNumberFormat="1" applyFont="1" applyFill="1" applyBorder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0" fontId="10" fillId="6" borderId="0" xfId="2" applyFont="1" applyFill="1" applyAlignment="1">
      <alignment horizontal="left" vertical="center"/>
    </xf>
    <xf numFmtId="1" fontId="10" fillId="5" borderId="24" xfId="1" applyNumberFormat="1" applyFont="1" applyFill="1" applyBorder="1" applyAlignment="1">
      <alignment horizontal="center" vertical="center"/>
    </xf>
    <xf numFmtId="0" fontId="39" fillId="0" borderId="24" xfId="2" applyFont="1" applyBorder="1" applyAlignment="1">
      <alignment vertical="center"/>
    </xf>
    <xf numFmtId="0" fontId="39" fillId="0" borderId="24" xfId="2" applyFont="1" applyBorder="1" applyAlignment="1">
      <alignment vertical="center" wrapText="1"/>
    </xf>
    <xf numFmtId="0" fontId="39" fillId="6" borderId="22" xfId="2" applyFont="1" applyFill="1" applyBorder="1" applyAlignment="1">
      <alignment vertical="center"/>
    </xf>
    <xf numFmtId="0" fontId="39" fillId="6" borderId="22" xfId="2" applyFont="1" applyFill="1" applyBorder="1" applyAlignment="1">
      <alignment horizontal="center" vertical="center"/>
    </xf>
    <xf numFmtId="1" fontId="39" fillId="6" borderId="22" xfId="2" applyNumberFormat="1" applyFont="1" applyFill="1" applyBorder="1" applyAlignment="1">
      <alignment horizontal="center" vertical="center"/>
    </xf>
    <xf numFmtId="0" fontId="39" fillId="6" borderId="24" xfId="2" applyFont="1" applyFill="1" applyBorder="1" applyAlignment="1">
      <alignment horizontal="center" vertical="center"/>
    </xf>
    <xf numFmtId="168" fontId="9" fillId="6" borderId="55" xfId="1" applyNumberFormat="1" applyFont="1" applyFill="1" applyBorder="1" applyAlignment="1">
      <alignment horizontal="right" vertical="center"/>
    </xf>
    <xf numFmtId="168" fontId="10" fillId="5" borderId="27" xfId="1" applyNumberFormat="1" applyFont="1" applyFill="1" applyBorder="1" applyAlignment="1">
      <alignment horizontal="right" vertical="center"/>
    </xf>
    <xf numFmtId="11" fontId="20" fillId="0" borderId="27" xfId="2" applyNumberFormat="1" applyFont="1" applyBorder="1" applyAlignment="1">
      <alignment horizontal="right" vertical="center"/>
    </xf>
    <xf numFmtId="165" fontId="20" fillId="0" borderId="27" xfId="2" applyNumberFormat="1" applyFont="1" applyBorder="1" applyAlignment="1">
      <alignment horizontal="right" vertical="center"/>
    </xf>
    <xf numFmtId="0" fontId="39" fillId="0" borderId="25" xfId="24" applyFont="1" applyBorder="1" applyAlignment="1">
      <alignment horizontal="center" vertical="center"/>
    </xf>
    <xf numFmtId="0" fontId="39" fillId="0" borderId="49" xfId="24" applyFont="1" applyBorder="1" applyAlignment="1">
      <alignment horizontal="center" vertical="center"/>
    </xf>
    <xf numFmtId="0" fontId="39" fillId="0" borderId="57" xfId="24" applyFont="1" applyBorder="1" applyAlignment="1">
      <alignment horizontal="center" vertical="center"/>
    </xf>
    <xf numFmtId="0" fontId="39" fillId="0" borderId="28" xfId="24" applyFont="1" applyBorder="1" applyAlignment="1">
      <alignment vertical="center"/>
    </xf>
    <xf numFmtId="0" fontId="39" fillId="0" borderId="28" xfId="24" applyFont="1" applyBorder="1" applyAlignment="1">
      <alignment horizontal="left" vertical="center"/>
    </xf>
    <xf numFmtId="0" fontId="39" fillId="0" borderId="97" xfId="24" applyFont="1" applyBorder="1" applyAlignment="1">
      <alignment vertical="center"/>
    </xf>
    <xf numFmtId="0" fontId="39" fillId="4" borderId="79" xfId="24" applyFont="1" applyFill="1" applyBorder="1" applyAlignment="1">
      <alignment horizontal="center" vertical="center"/>
    </xf>
    <xf numFmtId="0" fontId="39" fillId="6" borderId="78" xfId="24" applyFont="1" applyFill="1" applyBorder="1" applyAlignment="1">
      <alignment horizontal="center" vertical="center"/>
    </xf>
    <xf numFmtId="0" fontId="39" fillId="6" borderId="25" xfId="24" applyFont="1" applyFill="1" applyBorder="1" applyAlignment="1">
      <alignment horizontal="center" vertical="center"/>
    </xf>
    <xf numFmtId="0" fontId="39" fillId="6" borderId="49" xfId="24" applyFont="1" applyFill="1" applyBorder="1" applyAlignment="1">
      <alignment horizontal="center" vertical="center"/>
    </xf>
    <xf numFmtId="0" fontId="39" fillId="6" borderId="57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39" fillId="6" borderId="67" xfId="24" applyFont="1" applyFill="1" applyBorder="1" applyAlignment="1">
      <alignment vertical="center"/>
    </xf>
    <xf numFmtId="0" fontId="20" fillId="6" borderId="0" xfId="24" applyFont="1" applyFill="1" applyAlignment="1">
      <alignment vertical="center"/>
    </xf>
    <xf numFmtId="0" fontId="39" fillId="6" borderId="24" xfId="24" applyFont="1" applyFill="1" applyBorder="1" applyAlignment="1">
      <alignment vertical="center"/>
    </xf>
    <xf numFmtId="0" fontId="10" fillId="7" borderId="24" xfId="0" applyFont="1" applyFill="1" applyBorder="1" applyAlignment="1">
      <alignment vertical="center"/>
    </xf>
    <xf numFmtId="0" fontId="39" fillId="7" borderId="24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2" fontId="10" fillId="12" borderId="37" xfId="3" applyNumberFormat="1" applyFill="1" applyBorder="1" applyAlignment="1" applyProtection="1">
      <alignment horizontal="right" vertical="center"/>
      <protection hidden="1"/>
    </xf>
    <xf numFmtId="165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39" xfId="3" applyNumberFormat="1" applyFill="1" applyBorder="1" applyAlignment="1" applyProtection="1">
      <alignment horizontal="right" vertical="center"/>
      <protection hidden="1"/>
    </xf>
    <xf numFmtId="167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2" fontId="10" fillId="6" borderId="24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3" xfId="0" applyFont="1" applyFill="1" applyBorder="1" applyAlignment="1">
      <alignment horizontal="center" vertical="center"/>
    </xf>
    <xf numFmtId="0" fontId="9" fillId="4" borderId="75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3" xfId="0" applyFill="1" applyBorder="1" applyAlignment="1">
      <alignment horizontal="center" vertical="center"/>
    </xf>
    <xf numFmtId="0" fontId="10" fillId="6" borderId="63" xfId="0" quotePrefix="1" applyFont="1" applyFill="1" applyBorder="1" applyAlignment="1">
      <alignment horizontal="center" vertical="center"/>
    </xf>
    <xf numFmtId="0" fontId="0" fillId="6" borderId="64" xfId="0" applyFill="1" applyBorder="1" applyAlignment="1">
      <alignment vertical="center"/>
    </xf>
    <xf numFmtId="1" fontId="0" fillId="6" borderId="63" xfId="0" applyNumberFormat="1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9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9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5" xfId="0" applyFill="1" applyBorder="1" applyAlignment="1">
      <alignment vertical="center"/>
    </xf>
    <xf numFmtId="0" fontId="0" fillId="6" borderId="63" xfId="0" applyFill="1" applyBorder="1" applyAlignment="1">
      <alignment vertical="center"/>
    </xf>
    <xf numFmtId="0" fontId="10" fillId="6" borderId="0" xfId="3" applyFill="1" applyAlignment="1">
      <alignment horizontal="left" vertical="center"/>
    </xf>
    <xf numFmtId="0" fontId="10" fillId="0" borderId="24" xfId="3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9" borderId="24" xfId="3" applyFill="1" applyBorder="1" applyAlignment="1">
      <alignment horizontal="left" vertical="center"/>
    </xf>
    <xf numFmtId="0" fontId="9" fillId="9" borderId="24" xfId="3" applyFont="1" applyFill="1" applyBorder="1" applyAlignment="1">
      <alignment horizontal="left" vertical="center"/>
    </xf>
    <xf numFmtId="0" fontId="10" fillId="9" borderId="24" xfId="0" applyFont="1" applyFill="1" applyBorder="1" applyAlignment="1">
      <alignment horizontal="left" vertical="center"/>
    </xf>
    <xf numFmtId="0" fontId="15" fillId="0" borderId="24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1" fontId="10" fillId="0" borderId="24" xfId="3" applyNumberFormat="1" applyBorder="1" applyAlignment="1">
      <alignment horizontal="center" vertical="center"/>
    </xf>
    <xf numFmtId="0" fontId="10" fillId="0" borderId="24" xfId="3" applyBorder="1" applyAlignment="1">
      <alignment vertical="center"/>
    </xf>
    <xf numFmtId="0" fontId="9" fillId="8" borderId="25" xfId="0" applyFont="1" applyFill="1" applyBorder="1" applyAlignment="1">
      <alignment vertical="center"/>
    </xf>
    <xf numFmtId="0" fontId="10" fillId="0" borderId="0" xfId="3" applyAlignment="1">
      <alignment horizontal="left"/>
    </xf>
    <xf numFmtId="2" fontId="10" fillId="0" borderId="24" xfId="3" applyNumberFormat="1" applyBorder="1" applyAlignment="1">
      <alignment horizontal="left" vertical="center"/>
    </xf>
    <xf numFmtId="0" fontId="10" fillId="6" borderId="0" xfId="3" applyFill="1" applyAlignment="1">
      <alignment wrapText="1"/>
    </xf>
    <xf numFmtId="0" fontId="10" fillId="6" borderId="28" xfId="3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0" fontId="9" fillId="6" borderId="28" xfId="3" applyFont="1" applyFill="1" applyBorder="1" applyAlignment="1">
      <alignment horizontal="center" wrapText="1"/>
    </xf>
    <xf numFmtId="0" fontId="10" fillId="6" borderId="28" xfId="3" applyFill="1" applyBorder="1" applyAlignment="1">
      <alignment horizontal="center" wrapText="1"/>
    </xf>
    <xf numFmtId="0" fontId="9" fillId="6" borderId="28" xfId="3" applyFont="1" applyFill="1" applyBorder="1"/>
    <xf numFmtId="0" fontId="9" fillId="8" borderId="49" xfId="0" applyFont="1" applyFill="1" applyBorder="1" applyAlignment="1">
      <alignment vertical="center"/>
    </xf>
    <xf numFmtId="1" fontId="10" fillId="6" borderId="24" xfId="3" applyNumberFormat="1" applyFill="1" applyBorder="1" applyAlignment="1">
      <alignment horizontal="center" vertical="center"/>
    </xf>
    <xf numFmtId="0" fontId="10" fillId="6" borderId="24" xfId="3" applyFill="1" applyBorder="1" applyAlignment="1">
      <alignment horizontal="center"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0" borderId="24" xfId="3" applyFont="1" applyFill="1" applyBorder="1" applyAlignment="1">
      <alignment horizontal="left" vertical="center"/>
    </xf>
    <xf numFmtId="0" fontId="10" fillId="0" borderId="24" xfId="3" applyFill="1" applyBorder="1" applyAlignment="1">
      <alignment horizontal="left" vertical="center"/>
    </xf>
    <xf numFmtId="0" fontId="10" fillId="7" borderId="0" xfId="3" applyFill="1" applyAlignment="1">
      <alignment horizontal="center" vertical="center"/>
    </xf>
    <xf numFmtId="0" fontId="20" fillId="4" borderId="154" xfId="2" applyFont="1" applyFill="1" applyBorder="1" applyAlignment="1">
      <alignment horizontal="center" vertical="center"/>
    </xf>
    <xf numFmtId="0" fontId="39" fillId="24" borderId="0" xfId="2" applyFont="1" applyFill="1" applyAlignment="1">
      <alignment vertical="center"/>
    </xf>
    <xf numFmtId="0" fontId="39" fillId="6" borderId="0" xfId="2" applyFont="1" applyFill="1" applyBorder="1" applyAlignment="1">
      <alignment horizontal="left" vertical="center"/>
    </xf>
    <xf numFmtId="167" fontId="10" fillId="6" borderId="0" xfId="3" applyNumberFormat="1" applyFont="1" applyFill="1" applyAlignment="1">
      <alignment horizontal="center" vertical="center"/>
    </xf>
    <xf numFmtId="0" fontId="10" fillId="24" borderId="0" xfId="0" applyFont="1" applyFill="1" applyAlignment="1">
      <alignment vertical="center"/>
    </xf>
    <xf numFmtId="0" fontId="20" fillId="24" borderId="0" xfId="2" applyFont="1" applyFill="1" applyAlignment="1">
      <alignment vertical="center"/>
    </xf>
    <xf numFmtId="167" fontId="39" fillId="6" borderId="155" xfId="2" applyNumberFormat="1" applyFont="1" applyFill="1" applyBorder="1" applyAlignment="1">
      <alignment horizontal="center" vertical="center"/>
    </xf>
    <xf numFmtId="167" fontId="39" fillId="6" borderId="27" xfId="2" applyNumberFormat="1" applyFont="1" applyFill="1" applyBorder="1" applyAlignment="1">
      <alignment horizontal="center" vertical="center"/>
    </xf>
    <xf numFmtId="0" fontId="20" fillId="4" borderId="113" xfId="2" applyFont="1" applyFill="1" applyBorder="1" applyAlignment="1">
      <alignment horizontal="center" vertical="center"/>
    </xf>
    <xf numFmtId="167" fontId="39" fillId="6" borderId="51" xfId="2" applyNumberFormat="1" applyFont="1" applyFill="1" applyBorder="1" applyAlignment="1">
      <alignment horizontal="center" vertical="center"/>
    </xf>
    <xf numFmtId="167" fontId="39" fillId="6" borderId="67" xfId="2" applyNumberFormat="1" applyFont="1" applyFill="1" applyBorder="1" applyAlignment="1">
      <alignment horizontal="center" vertical="center"/>
    </xf>
    <xf numFmtId="167" fontId="10" fillId="6" borderId="28" xfId="3" applyNumberFormat="1" applyFont="1" applyFill="1" applyBorder="1" applyAlignment="1">
      <alignment horizontal="center" vertical="center"/>
    </xf>
    <xf numFmtId="167" fontId="39" fillId="6" borderId="53" xfId="2" applyNumberFormat="1" applyFont="1" applyFill="1" applyBorder="1" applyAlignment="1">
      <alignment horizontal="center" vertical="center"/>
    </xf>
    <xf numFmtId="167" fontId="10" fillId="6" borderId="29" xfId="3" applyNumberFormat="1" applyFont="1" applyFill="1" applyBorder="1" applyAlignment="1">
      <alignment horizontal="center" vertical="center"/>
    </xf>
    <xf numFmtId="167" fontId="10" fillId="6" borderId="51" xfId="3" applyNumberFormat="1" applyFont="1" applyFill="1" applyBorder="1" applyAlignment="1">
      <alignment horizontal="center" vertical="center"/>
    </xf>
    <xf numFmtId="167" fontId="39" fillId="5" borderId="29" xfId="3" applyNumberFormat="1" applyFont="1" applyFill="1" applyBorder="1" applyAlignment="1">
      <alignment horizontal="center" vertical="center"/>
    </xf>
    <xf numFmtId="167" fontId="10" fillId="6" borderId="6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167" fontId="10" fillId="6" borderId="29" xfId="0" applyNumberFormat="1" applyFont="1" applyFill="1" applyBorder="1" applyAlignment="1">
      <alignment horizontal="center" vertical="center"/>
    </xf>
    <xf numFmtId="0" fontId="10" fillId="7" borderId="24" xfId="3" applyFill="1" applyBorder="1" applyAlignment="1">
      <alignment horizontal="center" vertical="center"/>
    </xf>
    <xf numFmtId="1" fontId="10" fillId="7" borderId="22" xfId="3" applyNumberFormat="1" applyFill="1" applyBorder="1" applyAlignment="1">
      <alignment horizontal="center" vertical="center"/>
    </xf>
    <xf numFmtId="0" fontId="10" fillId="7" borderId="109" xfId="3" applyFill="1" applyBorder="1" applyAlignment="1">
      <alignment horizontal="center" vertical="center"/>
    </xf>
    <xf numFmtId="2" fontId="10" fillId="7" borderId="13" xfId="3" applyNumberFormat="1" applyFill="1" applyBorder="1" applyAlignment="1">
      <alignment horizontal="center" vertical="center"/>
    </xf>
    <xf numFmtId="0" fontId="10" fillId="7" borderId="22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3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2" xfId="3" quotePrefix="1" applyFill="1" applyBorder="1" applyAlignment="1">
      <alignment horizontal="right" vertical="center"/>
    </xf>
    <xf numFmtId="0" fontId="10" fillId="7" borderId="30" xfId="3" quotePrefix="1" applyFill="1" applyBorder="1" applyAlignment="1">
      <alignment horizontal="right" vertical="center"/>
    </xf>
    <xf numFmtId="2" fontId="10" fillId="11" borderId="26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left" vertical="center"/>
    </xf>
    <xf numFmtId="2" fontId="10" fillId="11" borderId="11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right" vertical="center"/>
    </xf>
    <xf numFmtId="0" fontId="10" fillId="7" borderId="10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30" xfId="3" applyFill="1" applyBorder="1" applyAlignment="1">
      <alignment horizontal="left" vertical="center"/>
    </xf>
    <xf numFmtId="0" fontId="10" fillId="11" borderId="30" xfId="3" applyFill="1" applyBorder="1" applyAlignment="1">
      <alignment horizontal="right" vertical="center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2" fontId="10" fillId="12" borderId="32" xfId="3" applyNumberFormat="1" applyFill="1" applyBorder="1" applyAlignment="1" applyProtection="1">
      <alignment horizontal="right" vertical="center"/>
      <protection hidden="1"/>
    </xf>
    <xf numFmtId="0" fontId="10" fillId="12" borderId="32" xfId="3" applyFill="1" applyBorder="1" applyAlignment="1" applyProtection="1">
      <alignment vertical="center"/>
      <protection hidden="1"/>
    </xf>
    <xf numFmtId="0" fontId="10" fillId="12" borderId="33" xfId="3" applyFill="1" applyBorder="1" applyAlignment="1" applyProtection="1">
      <alignment horizontal="right" vertical="center"/>
      <protection hidden="1"/>
    </xf>
    <xf numFmtId="0" fontId="10" fillId="6" borderId="34" xfId="3" applyFill="1" applyBorder="1" applyAlignment="1" applyProtection="1">
      <alignment horizontal="right" vertical="center"/>
      <protection locked="0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vertical="center"/>
      <protection hidden="1"/>
    </xf>
    <xf numFmtId="0" fontId="10" fillId="12" borderId="37" xfId="3" applyFill="1" applyBorder="1" applyAlignment="1" applyProtection="1">
      <alignment horizontal="right" vertical="center"/>
      <protection hidden="1"/>
    </xf>
    <xf numFmtId="0" fontId="10" fillId="7" borderId="38" xfId="3" applyFill="1" applyBorder="1" applyAlignment="1" applyProtection="1">
      <alignment horizontal="right" vertical="center"/>
      <protection hidden="1"/>
    </xf>
    <xf numFmtId="2" fontId="10" fillId="7" borderId="10" xfId="3" applyNumberFormat="1" applyFill="1" applyBorder="1" applyAlignment="1">
      <alignment horizontal="right" vertical="center"/>
    </xf>
    <xf numFmtId="2" fontId="10" fillId="7" borderId="38" xfId="3" applyNumberFormat="1" applyFill="1" applyBorder="1" applyAlignment="1" applyProtection="1">
      <alignment horizontal="right" vertical="center"/>
      <protection hidden="1"/>
    </xf>
    <xf numFmtId="167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3" xfId="3" applyNumberFormat="1" applyFill="1" applyBorder="1" applyAlignment="1" applyProtection="1">
      <alignment horizontal="right" vertical="center"/>
      <protection hidden="1"/>
    </xf>
    <xf numFmtId="165" fontId="10" fillId="7" borderId="44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40" xfId="3" applyNumberFormat="1" applyFill="1" applyBorder="1" applyAlignment="1" applyProtection="1">
      <alignment horizontal="right" vertical="center"/>
      <protection hidden="1"/>
    </xf>
    <xf numFmtId="2" fontId="10" fillId="7" borderId="45" xfId="3" applyNumberFormat="1" applyFill="1" applyBorder="1" applyAlignment="1" applyProtection="1">
      <alignment horizontal="right" vertical="center"/>
      <protection hidden="1"/>
    </xf>
    <xf numFmtId="1" fontId="10" fillId="7" borderId="40" xfId="3" applyNumberFormat="1" applyFill="1" applyBorder="1" applyAlignment="1" applyProtection="1">
      <alignment horizontal="right" vertical="center"/>
      <protection hidden="1"/>
    </xf>
    <xf numFmtId="0" fontId="10" fillId="7" borderId="40" xfId="3" applyFill="1" applyBorder="1" applyAlignment="1" applyProtection="1">
      <alignment horizontal="right" vertical="center"/>
      <protection hidden="1"/>
    </xf>
    <xf numFmtId="164" fontId="10" fillId="7" borderId="40" xfId="3" applyNumberFormat="1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vertical="center"/>
      <protection hidden="1"/>
    </xf>
    <xf numFmtId="0" fontId="10" fillId="12" borderId="48" xfId="3" applyFill="1" applyBorder="1" applyAlignment="1" applyProtection="1">
      <alignment horizontal="right" vertical="center"/>
      <protection hidden="1"/>
    </xf>
    <xf numFmtId="0" fontId="10" fillId="6" borderId="49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4" xfId="3" applyFill="1" applyBorder="1" applyAlignment="1">
      <alignment vertical="center"/>
    </xf>
    <xf numFmtId="0" fontId="10" fillId="7" borderId="22" xfId="3" applyFill="1" applyBorder="1" applyAlignment="1">
      <alignment vertical="center"/>
    </xf>
    <xf numFmtId="2" fontId="10" fillId="7" borderId="0" xfId="3" applyNumberFormat="1" applyFill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9" fillId="6" borderId="0" xfId="24" applyFont="1" applyFill="1" applyAlignment="1">
      <alignment vertical="center"/>
    </xf>
    <xf numFmtId="0" fontId="49" fillId="25" borderId="0" xfId="0" applyFont="1" applyFill="1" applyAlignment="1">
      <alignment horizontal="center" vertical="center"/>
    </xf>
    <xf numFmtId="0" fontId="31" fillId="6" borderId="0" xfId="3" applyFont="1" applyFill="1" applyAlignment="1" applyProtection="1">
      <alignment vertical="center"/>
      <protection locked="0"/>
    </xf>
    <xf numFmtId="0" fontId="10" fillId="6" borderId="0" xfId="3" applyFill="1" applyAlignment="1">
      <alignment horizontal="left" vertical="center"/>
    </xf>
    <xf numFmtId="2" fontId="10" fillId="6" borderId="0" xfId="0" applyNumberFormat="1" applyFont="1" applyFill="1" applyBorder="1" applyAlignment="1">
      <alignment horizontal="center" vertical="center"/>
    </xf>
    <xf numFmtId="0" fontId="10" fillId="6" borderId="54" xfId="0" applyFont="1" applyFill="1" applyBorder="1" applyAlignment="1">
      <alignment vertical="center"/>
    </xf>
    <xf numFmtId="0" fontId="39" fillId="6" borderId="54" xfId="24" applyFont="1" applyFill="1" applyBorder="1" applyAlignment="1">
      <alignment vertical="center"/>
    </xf>
    <xf numFmtId="0" fontId="10" fillId="8" borderId="54" xfId="0" applyFont="1" applyFill="1" applyBorder="1" applyAlignment="1">
      <alignment vertical="center"/>
    </xf>
    <xf numFmtId="0" fontId="10" fillId="7" borderId="54" xfId="0" applyFont="1" applyFill="1" applyBorder="1" applyAlignment="1">
      <alignment vertical="center"/>
    </xf>
    <xf numFmtId="0" fontId="39" fillId="8" borderId="54" xfId="24" applyFont="1" applyFill="1" applyBorder="1" applyAlignment="1">
      <alignment vertical="center"/>
    </xf>
    <xf numFmtId="0" fontId="39" fillId="7" borderId="54" xfId="24" applyFont="1" applyFill="1" applyBorder="1" applyAlignment="1">
      <alignment vertical="center"/>
    </xf>
    <xf numFmtId="0" fontId="10" fillId="6" borderId="27" xfId="0" applyFont="1" applyFill="1" applyBorder="1" applyAlignment="1">
      <alignment vertical="center"/>
    </xf>
    <xf numFmtId="0" fontId="39" fillId="6" borderId="27" xfId="24" applyFont="1" applyFill="1" applyBorder="1" applyAlignment="1">
      <alignment vertical="center"/>
    </xf>
    <xf numFmtId="0" fontId="10" fillId="7" borderId="27" xfId="0" applyFont="1" applyFill="1" applyBorder="1" applyAlignment="1">
      <alignment vertical="center"/>
    </xf>
    <xf numFmtId="0" fontId="39" fillId="7" borderId="27" xfId="24" applyFont="1" applyFill="1" applyBorder="1" applyAlignment="1">
      <alignment vertical="center"/>
    </xf>
    <xf numFmtId="0" fontId="39" fillId="7" borderId="52" xfId="24" applyFont="1" applyFill="1" applyBorder="1" applyAlignment="1">
      <alignment vertical="center"/>
    </xf>
    <xf numFmtId="0" fontId="39" fillId="7" borderId="20" xfId="24" applyFont="1" applyFill="1" applyBorder="1" applyAlignment="1">
      <alignment vertical="center"/>
    </xf>
    <xf numFmtId="0" fontId="39" fillId="7" borderId="51" xfId="24" applyFont="1" applyFill="1" applyBorder="1" applyAlignment="1">
      <alignment vertical="center"/>
    </xf>
    <xf numFmtId="0" fontId="20" fillId="4" borderId="82" xfId="24" applyFont="1" applyFill="1" applyBorder="1" applyAlignment="1">
      <alignment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53" xfId="0" applyFont="1" applyFill="1" applyBorder="1" applyAlignment="1">
      <alignment horizontal="center" vertical="center"/>
    </xf>
    <xf numFmtId="0" fontId="9" fillId="23" borderId="24" xfId="3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59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10" fillId="6" borderId="22" xfId="0" applyFont="1" applyFill="1" applyBorder="1" applyAlignment="1">
      <alignment vertical="center"/>
    </xf>
    <xf numFmtId="0" fontId="9" fillId="6" borderId="24" xfId="0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vertical="center"/>
    </xf>
    <xf numFmtId="0" fontId="10" fillId="4" borderId="157" xfId="0" applyFont="1" applyFill="1" applyBorder="1" applyAlignment="1">
      <alignment vertical="center"/>
    </xf>
    <xf numFmtId="0" fontId="10" fillId="4" borderId="109" xfId="0" applyFont="1" applyFill="1" applyBorder="1" applyAlignment="1">
      <alignment vertical="center"/>
    </xf>
    <xf numFmtId="0" fontId="10" fillId="4" borderId="156" xfId="0" applyFont="1" applyFill="1" applyBorder="1" applyAlignment="1">
      <alignment vertical="center"/>
    </xf>
    <xf numFmtId="0" fontId="10" fillId="6" borderId="78" xfId="0" applyFont="1" applyFill="1" applyBorder="1" applyAlignment="1">
      <alignment vertical="center"/>
    </xf>
    <xf numFmtId="0" fontId="10" fillId="6" borderId="25" xfId="0" applyFont="1" applyFill="1" applyBorder="1" applyAlignment="1">
      <alignment vertical="center"/>
    </xf>
    <xf numFmtId="0" fontId="9" fillId="6" borderId="61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8" xfId="0" applyFont="1" applyFill="1" applyBorder="1" applyAlignment="1">
      <alignment vertical="center"/>
    </xf>
    <xf numFmtId="0" fontId="10" fillId="4" borderId="70" xfId="0" applyFont="1" applyFill="1" applyBorder="1" applyAlignment="1">
      <alignment vertical="center"/>
    </xf>
    <xf numFmtId="0" fontId="10" fillId="4" borderId="57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6" borderId="0" xfId="0" applyFont="1" applyFill="1" applyBorder="1" applyAlignment="1">
      <alignment vertical="center"/>
    </xf>
    <xf numFmtId="0" fontId="9" fillId="4" borderId="24" xfId="0" applyFont="1" applyFill="1" applyBorder="1" applyAlignment="1">
      <alignment vertical="center"/>
    </xf>
    <xf numFmtId="0" fontId="10" fillId="0" borderId="24" xfId="0" applyFont="1" applyBorder="1" applyAlignment="1">
      <alignment vertical="center"/>
    </xf>
    <xf numFmtId="166" fontId="10" fillId="0" borderId="24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4" xfId="0" applyNumberFormat="1" applyFont="1" applyFill="1" applyBorder="1" applyAlignment="1">
      <alignment vertical="center"/>
    </xf>
    <xf numFmtId="2" fontId="9" fillId="4" borderId="24" xfId="0" applyNumberFormat="1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/>
    </xf>
    <xf numFmtId="2" fontId="10" fillId="0" borderId="24" xfId="0" applyNumberFormat="1" applyFont="1" applyBorder="1" applyAlignment="1">
      <alignment vertical="center"/>
    </xf>
    <xf numFmtId="0" fontId="10" fillId="0" borderId="24" xfId="0" applyFont="1" applyBorder="1" applyAlignment="1">
      <alignment horizontal="center" vertical="center"/>
    </xf>
    <xf numFmtId="166" fontId="10" fillId="6" borderId="24" xfId="0" applyNumberFormat="1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2" fontId="10" fillId="6" borderId="0" xfId="0" applyNumberFormat="1" applyFont="1" applyFill="1" applyBorder="1" applyAlignment="1">
      <alignment vertical="center"/>
    </xf>
    <xf numFmtId="0" fontId="10" fillId="6" borderId="0" xfId="3" applyFill="1" applyAlignment="1">
      <alignment horizontal="center" vertical="center"/>
    </xf>
    <xf numFmtId="0" fontId="0" fillId="0" borderId="24" xfId="0" applyBorder="1" applyAlignment="1">
      <alignment vertical="center"/>
    </xf>
    <xf numFmtId="0" fontId="10" fillId="6" borderId="24" xfId="0" quotePrefix="1" applyFont="1" applyFill="1" applyBorder="1" applyAlignment="1">
      <alignment vertical="center"/>
    </xf>
    <xf numFmtId="0" fontId="10" fillId="6" borderId="24" xfId="3" applyFill="1" applyBorder="1" applyAlignment="1">
      <alignment horizontal="left" vertical="center"/>
    </xf>
    <xf numFmtId="0" fontId="10" fillId="6" borderId="24" xfId="0" applyFont="1" applyFill="1" applyBorder="1" applyAlignment="1">
      <alignment horizontal="left" vertical="center"/>
    </xf>
    <xf numFmtId="0" fontId="10" fillId="4" borderId="24" xfId="3" applyFill="1" applyBorder="1" applyAlignment="1">
      <alignment horizontal="left" vertical="center"/>
    </xf>
    <xf numFmtId="0" fontId="10" fillId="8" borderId="24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3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97" xfId="0" applyFont="1" applyFill="1" applyBorder="1" applyAlignment="1">
      <alignment horizontal="center" vertical="center" wrapText="1"/>
    </xf>
    <xf numFmtId="0" fontId="10" fillId="5" borderId="67" xfId="0" applyFont="1" applyFill="1" applyBorder="1" applyAlignment="1">
      <alignment horizontal="center" vertical="center" wrapText="1"/>
    </xf>
    <xf numFmtId="0" fontId="10" fillId="5" borderId="29" xfId="0" quotePrefix="1" applyFont="1" applyFill="1" applyBorder="1" applyAlignment="1">
      <alignment horizontal="center" vertical="center" wrapText="1"/>
    </xf>
    <xf numFmtId="0" fontId="10" fillId="5" borderId="97" xfId="0" quotePrefix="1" applyFont="1" applyFill="1" applyBorder="1" applyAlignment="1">
      <alignment horizontal="center" vertical="center" wrapText="1"/>
    </xf>
    <xf numFmtId="0" fontId="10" fillId="5" borderId="71" xfId="0" quotePrefix="1" applyFont="1" applyFill="1" applyBorder="1" applyAlignment="1">
      <alignment horizontal="center" vertical="center" wrapText="1"/>
    </xf>
    <xf numFmtId="0" fontId="10" fillId="5" borderId="54" xfId="0" quotePrefix="1" applyFont="1" applyFill="1" applyBorder="1" applyAlignment="1">
      <alignment horizontal="center" vertical="center" wrapText="1"/>
    </xf>
    <xf numFmtId="0" fontId="10" fillId="5" borderId="52" xfId="0" quotePrefix="1" applyFont="1" applyFill="1" applyBorder="1" applyAlignment="1">
      <alignment horizontal="center" vertical="center" wrapText="1"/>
    </xf>
    <xf numFmtId="0" fontId="10" fillId="5" borderId="76" xfId="0" quotePrefix="1" applyFont="1" applyFill="1" applyBorder="1" applyAlignment="1">
      <alignment horizontal="center" vertical="center" wrapText="1"/>
    </xf>
    <xf numFmtId="0" fontId="10" fillId="5" borderId="82" xfId="0" quotePrefix="1" applyFont="1" applyFill="1" applyBorder="1" applyAlignment="1">
      <alignment horizontal="center" vertical="center" wrapText="1"/>
    </xf>
    <xf numFmtId="0" fontId="10" fillId="5" borderId="52" xfId="0" applyFont="1" applyFill="1" applyBorder="1" applyAlignment="1">
      <alignment horizontal="center" vertical="center" wrapText="1"/>
    </xf>
    <xf numFmtId="0" fontId="10" fillId="5" borderId="76" xfId="0" applyFont="1" applyFill="1" applyBorder="1" applyAlignment="1">
      <alignment horizontal="center" vertical="center" wrapText="1"/>
    </xf>
    <xf numFmtId="0" fontId="10" fillId="5" borderId="71" xfId="0" applyFont="1" applyFill="1" applyBorder="1" applyAlignment="1">
      <alignment horizontal="center" vertical="center" wrapText="1"/>
    </xf>
    <xf numFmtId="0" fontId="10" fillId="5" borderId="82" xfId="0" applyFont="1" applyFill="1" applyBorder="1" applyAlignment="1">
      <alignment horizontal="center" vertical="center" wrapText="1"/>
    </xf>
    <xf numFmtId="0" fontId="10" fillId="6" borderId="24" xfId="3" applyNumberFormat="1" applyFill="1" applyBorder="1" applyAlignment="1" applyProtection="1">
      <alignment horizontal="center" vertical="center"/>
      <protection locked="0"/>
    </xf>
    <xf numFmtId="0" fontId="10" fillId="24" borderId="0" xfId="0" applyNumberFormat="1" applyFont="1" applyFill="1" applyAlignment="1">
      <alignment horizontal="center" vertical="center"/>
    </xf>
    <xf numFmtId="0" fontId="50" fillId="6" borderId="0" xfId="0" applyNumberFormat="1" applyFont="1" applyFill="1" applyAlignment="1">
      <alignment vertical="center"/>
    </xf>
    <xf numFmtId="0" fontId="50" fillId="6" borderId="0" xfId="0" applyNumberFormat="1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Alignment="1">
      <alignment horizontal="center" vertical="center" wrapText="1"/>
    </xf>
    <xf numFmtId="0" fontId="10" fillId="4" borderId="24" xfId="0" applyNumberFormat="1" applyFont="1" applyFill="1" applyBorder="1" applyAlignment="1">
      <alignment horizontal="center" vertical="center" wrapText="1"/>
    </xf>
    <xf numFmtId="0" fontId="10" fillId="6" borderId="0" xfId="0" applyNumberFormat="1" applyFont="1" applyFill="1" applyAlignment="1">
      <alignment horizontal="center" vertical="center" wrapText="1"/>
    </xf>
    <xf numFmtId="0" fontId="10" fillId="26" borderId="24" xfId="0" applyNumberFormat="1" applyFont="1" applyFill="1" applyBorder="1" applyAlignment="1">
      <alignment horizontal="left" vertical="center"/>
    </xf>
    <xf numFmtId="0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26" borderId="24" xfId="3" applyNumberFormat="1" applyFont="1" applyFill="1" applyBorder="1" applyAlignment="1" applyProtection="1">
      <alignment horizontal="left" vertical="center"/>
      <protection locked="0"/>
    </xf>
    <xf numFmtId="0" fontId="10" fillId="26" borderId="24" xfId="0" applyNumberFormat="1" applyFont="1" applyFill="1" applyBorder="1" applyAlignment="1">
      <alignment horizontal="center" vertical="center"/>
    </xf>
    <xf numFmtId="0" fontId="10" fillId="26" borderId="24" xfId="3" applyNumberFormat="1" applyFill="1" applyBorder="1" applyAlignment="1" applyProtection="1">
      <alignment horizontal="center" vertical="center"/>
      <protection locked="0"/>
    </xf>
    <xf numFmtId="0" fontId="10" fillId="26" borderId="24" xfId="0" applyNumberFormat="1" applyFont="1" applyFill="1" applyBorder="1" applyAlignment="1">
      <alignment vertical="center"/>
    </xf>
    <xf numFmtId="0" fontId="10" fillId="26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6" borderId="24" xfId="3" applyNumberFormat="1" applyFont="1" applyFill="1" applyBorder="1" applyAlignment="1" applyProtection="1">
      <alignment vertical="center"/>
      <protection locked="0"/>
    </xf>
    <xf numFmtId="0" fontId="10" fillId="26" borderId="22" xfId="0" applyNumberFormat="1" applyFont="1" applyFill="1" applyBorder="1" applyAlignment="1">
      <alignment horizontal="left" vertical="center"/>
    </xf>
    <xf numFmtId="0" fontId="10" fillId="26" borderId="20" xfId="3" applyNumberFormat="1" applyFont="1" applyFill="1" applyBorder="1" applyAlignment="1" applyProtection="1">
      <alignment vertical="center"/>
      <protection locked="0"/>
    </xf>
    <xf numFmtId="0" fontId="10" fillId="27" borderId="24" xfId="0" applyNumberFormat="1" applyFont="1" applyFill="1" applyBorder="1" applyAlignment="1">
      <alignment horizontal="left" vertical="center"/>
    </xf>
    <xf numFmtId="0" fontId="10" fillId="27" borderId="24" xfId="0" applyNumberFormat="1" applyFont="1" applyFill="1" applyBorder="1" applyAlignment="1">
      <alignment horizontal="center" vertical="center"/>
    </xf>
    <xf numFmtId="0" fontId="10" fillId="27" borderId="24" xfId="3" applyNumberFormat="1" applyFont="1" applyFill="1" applyBorder="1" applyAlignment="1" applyProtection="1">
      <alignment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7" borderId="24" xfId="3" applyNumberFormat="1" applyFont="1" applyFill="1" applyBorder="1" applyAlignment="1" applyProtection="1">
      <alignment horizontal="left" vertical="center"/>
      <protection locked="0"/>
    </xf>
    <xf numFmtId="0" fontId="10" fillId="27" borderId="22" xfId="0" applyNumberFormat="1" applyFont="1" applyFill="1" applyBorder="1" applyAlignment="1">
      <alignment vertical="center"/>
    </xf>
    <xf numFmtId="0" fontId="10" fillId="27" borderId="22" xfId="3" applyNumberFormat="1" applyFont="1" applyFill="1" applyBorder="1" applyAlignment="1" applyProtection="1">
      <alignment horizontal="left" vertical="center"/>
      <protection locked="0"/>
    </xf>
    <xf numFmtId="0" fontId="10" fillId="6" borderId="0" xfId="0" applyNumberFormat="1" applyFont="1" applyFill="1" applyAlignment="1">
      <alignment horizontal="left" vertical="center"/>
    </xf>
    <xf numFmtId="0" fontId="10" fillId="6" borderId="24" xfId="3" applyNumberFormat="1" applyFont="1" applyFill="1" applyBorder="1" applyAlignment="1" applyProtection="1">
      <alignment vertical="center"/>
      <protection locked="0"/>
    </xf>
    <xf numFmtId="0" fontId="10" fillId="6" borderId="24" xfId="3" applyNumberFormat="1" applyFont="1" applyFill="1" applyBorder="1" applyAlignment="1" applyProtection="1">
      <alignment horizontal="left" vertical="center"/>
      <protection locked="0"/>
    </xf>
    <xf numFmtId="0" fontId="10" fillId="6" borderId="24" xfId="3" applyNumberFormat="1" applyFill="1" applyBorder="1" applyAlignment="1" applyProtection="1">
      <alignment horizontal="left" vertical="center"/>
      <protection locked="0"/>
    </xf>
    <xf numFmtId="0" fontId="10" fillId="6" borderId="24" xfId="0" applyNumberFormat="1" applyFont="1" applyFill="1" applyBorder="1" applyAlignment="1">
      <alignment horizontal="center" vertical="center"/>
    </xf>
    <xf numFmtId="0" fontId="10" fillId="6" borderId="24" xfId="0" applyNumberFormat="1" applyFont="1" applyFill="1" applyBorder="1" applyAlignment="1">
      <alignment horizontal="left" vertical="center"/>
    </xf>
    <xf numFmtId="0" fontId="10" fillId="6" borderId="24" xfId="0" applyNumberFormat="1" applyFont="1" applyFill="1" applyBorder="1" applyAlignment="1">
      <alignment vertical="center"/>
    </xf>
    <xf numFmtId="0" fontId="10" fillId="4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2" xfId="0" applyNumberFormat="1" applyFont="1" applyFill="1" applyBorder="1" applyAlignment="1">
      <alignment horizontal="left" vertical="center"/>
    </xf>
    <xf numFmtId="2" fontId="10" fillId="6" borderId="24" xfId="3" applyNumberFormat="1" applyFill="1" applyBorder="1" applyAlignment="1" applyProtection="1">
      <alignment horizontal="center" vertical="center"/>
      <protection locked="0"/>
    </xf>
    <xf numFmtId="0" fontId="9" fillId="24" borderId="0" xfId="0" applyFont="1" applyFill="1" applyAlignment="1">
      <alignment vertical="center"/>
    </xf>
    <xf numFmtId="2" fontId="9" fillId="6" borderId="24" xfId="0" applyNumberFormat="1" applyFont="1" applyFill="1" applyBorder="1" applyAlignment="1">
      <alignment vertical="center"/>
    </xf>
    <xf numFmtId="0" fontId="10" fillId="6" borderId="24" xfId="0" applyFont="1" applyFill="1" applyBorder="1" applyAlignment="1">
      <alignment horizontal="center" vertical="center"/>
    </xf>
    <xf numFmtId="0" fontId="10" fillId="4" borderId="82" xfId="0" applyNumberFormat="1" applyFont="1" applyFill="1" applyBorder="1" applyAlignment="1">
      <alignment horizontal="center" vertical="center" wrapText="1"/>
    </xf>
    <xf numFmtId="0" fontId="10" fillId="4" borderId="53" xfId="0" applyNumberFormat="1" applyFont="1" applyFill="1" applyBorder="1" applyAlignment="1">
      <alignment horizontal="center" vertical="center" wrapText="1"/>
    </xf>
    <xf numFmtId="2" fontId="10" fillId="0" borderId="72" xfId="0" applyNumberFormat="1" applyFont="1" applyBorder="1" applyAlignment="1">
      <alignment horizontal="center" vertical="center"/>
    </xf>
    <xf numFmtId="2" fontId="10" fillId="0" borderId="27" xfId="0" applyNumberFormat="1" applyFont="1" applyBorder="1" applyAlignment="1">
      <alignment horizontal="center" vertical="center"/>
    </xf>
    <xf numFmtId="2" fontId="10" fillId="0" borderId="58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2" fontId="10" fillId="0" borderId="55" xfId="0" applyNumberFormat="1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110" xfId="0" applyFont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9" fillId="4" borderId="107" xfId="0" applyFont="1" applyFill="1" applyBorder="1" applyAlignment="1">
      <alignment horizontal="center" vertical="center"/>
    </xf>
    <xf numFmtId="2" fontId="10" fillId="7" borderId="0" xfId="3" applyNumberFormat="1" applyFill="1" applyAlignment="1">
      <alignment horizontal="center" vertical="center"/>
    </xf>
    <xf numFmtId="0" fontId="10" fillId="23" borderId="24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8" xfId="3" quotePrefix="1" applyNumberFormat="1" applyFill="1" applyBorder="1" applyAlignment="1" applyProtection="1">
      <alignment horizontal="right" vertical="center"/>
      <protection hidden="1"/>
    </xf>
    <xf numFmtId="2" fontId="10" fillId="7" borderId="158" xfId="3" applyNumberFormat="1" applyFill="1" applyBorder="1" applyAlignment="1" applyProtection="1">
      <alignment horizontal="right" vertical="center"/>
      <protection hidden="1"/>
    </xf>
    <xf numFmtId="164" fontId="10" fillId="7" borderId="40" xfId="3" quotePrefix="1" applyNumberFormat="1" applyFill="1" applyBorder="1" applyAlignment="1" applyProtection="1">
      <alignment horizontal="right" vertical="center"/>
      <protection hidden="1"/>
    </xf>
    <xf numFmtId="0" fontId="10" fillId="7" borderId="0" xfId="3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10" fillId="6" borderId="24" xfId="3" applyNumberFormat="1" applyFill="1" applyBorder="1" applyAlignment="1" applyProtection="1">
      <alignment vertical="center"/>
      <protection locked="0"/>
    </xf>
    <xf numFmtId="0" fontId="9" fillId="4" borderId="109" xfId="3" applyFont="1" applyFill="1" applyBorder="1" applyAlignment="1" applyProtection="1">
      <alignment horizontal="center" vertical="center"/>
      <protection locked="0"/>
    </xf>
    <xf numFmtId="0" fontId="10" fillId="6" borderId="22" xfId="3" applyFill="1" applyBorder="1" applyAlignment="1" applyProtection="1">
      <alignment horizontal="center" vertical="center"/>
      <protection locked="0"/>
    </xf>
    <xf numFmtId="0" fontId="9" fillId="4" borderId="109" xfId="3" applyFont="1" applyFill="1" applyBorder="1" applyAlignment="1" applyProtection="1">
      <alignment horizontal="center" vertical="center" wrapText="1"/>
      <protection locked="0"/>
    </xf>
    <xf numFmtId="0" fontId="9" fillId="6" borderId="22" xfId="3" applyFont="1" applyFill="1" applyBorder="1" applyAlignment="1">
      <alignment vertical="center"/>
    </xf>
    <xf numFmtId="0" fontId="9" fillId="6" borderId="24" xfId="3" applyFont="1" applyFill="1" applyBorder="1" applyAlignment="1">
      <alignment vertical="center"/>
    </xf>
    <xf numFmtId="0" fontId="9" fillId="6" borderId="27" xfId="3" applyFont="1" applyFill="1" applyBorder="1" applyAlignment="1">
      <alignment vertical="center"/>
    </xf>
    <xf numFmtId="0" fontId="10" fillId="6" borderId="22" xfId="3" applyFill="1" applyBorder="1" applyAlignment="1">
      <alignment horizontal="left" vertical="center"/>
    </xf>
    <xf numFmtId="0" fontId="9" fillId="6" borderId="53" xfId="3" applyFont="1" applyFill="1" applyBorder="1" applyAlignment="1">
      <alignment vertical="center"/>
    </xf>
    <xf numFmtId="0" fontId="9" fillId="0" borderId="53" xfId="3" applyFont="1" applyBorder="1" applyAlignment="1">
      <alignment vertical="center"/>
    </xf>
    <xf numFmtId="0" fontId="9" fillId="0" borderId="27" xfId="3" applyFont="1" applyBorder="1" applyAlignment="1">
      <alignment vertical="center"/>
    </xf>
    <xf numFmtId="0" fontId="9" fillId="0" borderId="24" xfId="3" applyFont="1" applyBorder="1" applyAlignment="1">
      <alignment vertical="center"/>
    </xf>
    <xf numFmtId="0" fontId="9" fillId="0" borderId="22" xfId="3" applyFont="1" applyBorder="1" applyAlignment="1">
      <alignment vertical="center"/>
    </xf>
    <xf numFmtId="49" fontId="10" fillId="6" borderId="22" xfId="3" applyNumberFormat="1" applyFill="1" applyBorder="1" applyAlignment="1" applyProtection="1">
      <alignment horizontal="left" vertical="center"/>
      <protection locked="0"/>
    </xf>
    <xf numFmtId="0" fontId="10" fillId="5" borderId="24" xfId="3" applyFill="1" applyBorder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9" fillId="7" borderId="109" xfId="3" applyFont="1" applyFill="1" applyBorder="1" applyAlignment="1" applyProtection="1">
      <alignment horizontal="center" vertical="center"/>
      <protection locked="0"/>
    </xf>
    <xf numFmtId="0" fontId="20" fillId="4" borderId="24" xfId="0" applyFont="1" applyFill="1" applyBorder="1" applyAlignment="1">
      <alignment vertical="center" wrapText="1"/>
    </xf>
    <xf numFmtId="168" fontId="10" fillId="6" borderId="24" xfId="0" applyNumberFormat="1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vertical="center" wrapText="1"/>
    </xf>
    <xf numFmtId="0" fontId="10" fillId="6" borderId="22" xfId="0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0" fontId="20" fillId="4" borderId="161" xfId="2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vertical="center"/>
    </xf>
    <xf numFmtId="0" fontId="20" fillId="4" borderId="22" xfId="0" applyFont="1" applyFill="1" applyBorder="1" applyAlignment="1">
      <alignment horizontal="center" vertical="center"/>
    </xf>
    <xf numFmtId="0" fontId="9" fillId="22" borderId="34" xfId="3" applyFont="1" applyFill="1" applyBorder="1" applyAlignment="1">
      <alignment horizontal="center" vertical="center"/>
    </xf>
    <xf numFmtId="0" fontId="9" fillId="22" borderId="162" xfId="3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left" vertical="center"/>
    </xf>
    <xf numFmtId="0" fontId="10" fillId="6" borderId="54" xfId="3" applyFill="1" applyBorder="1" applyAlignment="1" applyProtection="1">
      <alignment horizontal="center" vertical="center"/>
      <protection locked="0"/>
    </xf>
    <xf numFmtId="166" fontId="9" fillId="6" borderId="24" xfId="3" applyNumberFormat="1" applyFont="1" applyFill="1" applyBorder="1" applyAlignment="1" applyProtection="1">
      <alignment horizontal="left" vertical="center"/>
      <protection locked="0"/>
    </xf>
    <xf numFmtId="0" fontId="9" fillId="6" borderId="22" xfId="0" applyFont="1" applyFill="1" applyBorder="1" applyAlignment="1">
      <alignment horizontal="left" vertical="center"/>
    </xf>
    <xf numFmtId="0" fontId="10" fillId="6" borderId="82" xfId="3" applyFill="1" applyBorder="1" applyAlignment="1" applyProtection="1">
      <alignment horizontal="center" vertical="center"/>
      <protection locked="0"/>
    </xf>
    <xf numFmtId="0" fontId="39" fillId="6" borderId="24" xfId="2" applyFont="1" applyFill="1" applyBorder="1" applyAlignment="1">
      <alignment vertical="center"/>
    </xf>
    <xf numFmtId="0" fontId="39" fillId="6" borderId="54" xfId="2" applyFont="1" applyFill="1" applyBorder="1" applyAlignment="1">
      <alignment horizontal="center" vertical="center"/>
    </xf>
    <xf numFmtId="1" fontId="10" fillId="5" borderId="28" xfId="1" applyNumberFormat="1" applyFont="1" applyFill="1" applyBorder="1" applyAlignment="1">
      <alignment horizontal="center" vertical="center"/>
    </xf>
    <xf numFmtId="165" fontId="10" fillId="5" borderId="28" xfId="1" quotePrefix="1" applyNumberFormat="1" applyFont="1" applyFill="1" applyBorder="1" applyAlignment="1">
      <alignment horizontal="center" vertical="center"/>
    </xf>
    <xf numFmtId="0" fontId="39" fillId="25" borderId="22" xfId="2" applyFont="1" applyFill="1" applyBorder="1" applyAlignment="1">
      <alignment horizontal="center" vertical="center"/>
    </xf>
    <xf numFmtId="0" fontId="39" fillId="25" borderId="24" xfId="2" applyFont="1" applyFill="1" applyBorder="1" applyAlignment="1">
      <alignment horizontal="center" vertical="center"/>
    </xf>
    <xf numFmtId="0" fontId="39" fillId="6" borderId="56" xfId="2" applyFont="1" applyFill="1" applyBorder="1" applyAlignment="1">
      <alignment horizontal="center" vertical="center"/>
    </xf>
    <xf numFmtId="0" fontId="39" fillId="0" borderId="24" xfId="2" applyFont="1" applyBorder="1" applyAlignment="1">
      <alignment horizontal="center" vertical="center"/>
    </xf>
    <xf numFmtId="0" fontId="39" fillId="0" borderId="27" xfId="2" applyFont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right" vertical="center"/>
    </xf>
    <xf numFmtId="2" fontId="39" fillId="6" borderId="22" xfId="2" applyNumberFormat="1" applyFont="1" applyFill="1" applyBorder="1" applyAlignment="1">
      <alignment horizontal="center" vertical="center"/>
    </xf>
    <xf numFmtId="2" fontId="39" fillId="0" borderId="24" xfId="2" applyNumberFormat="1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39" fillId="6" borderId="82" xfId="2" applyFont="1" applyFill="1" applyBorder="1" applyAlignment="1">
      <alignment horizontal="center" vertical="center"/>
    </xf>
    <xf numFmtId="0" fontId="39" fillId="0" borderId="54" xfId="2" applyFont="1" applyBorder="1" applyAlignment="1">
      <alignment horizontal="center" vertical="center"/>
    </xf>
    <xf numFmtId="0" fontId="39" fillId="6" borderId="53" xfId="2" applyFont="1" applyFill="1" applyBorder="1" applyAlignment="1">
      <alignment vertical="center"/>
    </xf>
    <xf numFmtId="0" fontId="39" fillId="0" borderId="53" xfId="2" applyFont="1" applyBorder="1" applyAlignment="1">
      <alignment vertical="center"/>
    </xf>
    <xf numFmtId="168" fontId="10" fillId="6" borderId="161" xfId="1" applyNumberFormat="1" applyFont="1" applyFill="1" applyBorder="1" applyAlignment="1">
      <alignment horizontal="right" vertical="center"/>
    </xf>
    <xf numFmtId="168" fontId="20" fillId="0" borderId="22" xfId="2" applyNumberFormat="1" applyFont="1" applyBorder="1" applyAlignment="1">
      <alignment horizontal="right" vertical="center"/>
    </xf>
    <xf numFmtId="0" fontId="39" fillId="5" borderId="22" xfId="2" applyFont="1" applyFill="1" applyBorder="1" applyAlignment="1">
      <alignment horizontal="center" vertical="center"/>
    </xf>
    <xf numFmtId="0" fontId="39" fillId="5" borderId="24" xfId="2" applyFont="1" applyFill="1" applyBorder="1" applyAlignment="1">
      <alignment horizontal="center" vertical="center"/>
    </xf>
    <xf numFmtId="0" fontId="39" fillId="23" borderId="22" xfId="2" applyFont="1" applyFill="1" applyBorder="1" applyAlignment="1">
      <alignment horizontal="center" vertical="center"/>
    </xf>
    <xf numFmtId="0" fontId="39" fillId="6" borderId="161" xfId="2" applyFont="1" applyFill="1" applyBorder="1" applyAlignment="1">
      <alignment horizontal="center" vertical="center"/>
    </xf>
    <xf numFmtId="167" fontId="39" fillId="5" borderId="51" xfId="3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 wrapText="1"/>
    </xf>
    <xf numFmtId="167" fontId="39" fillId="6" borderId="22" xfId="2" applyNumberFormat="1" applyFont="1" applyFill="1" applyBorder="1" applyAlignment="1">
      <alignment horizontal="center" vertical="center"/>
    </xf>
    <xf numFmtId="167" fontId="39" fillId="6" borderId="24" xfId="2" applyNumberFormat="1" applyFont="1" applyFill="1" applyBorder="1" applyAlignment="1">
      <alignment horizontal="center" vertical="center"/>
    </xf>
    <xf numFmtId="0" fontId="39" fillId="4" borderId="109" xfId="2" applyFont="1" applyFill="1" applyBorder="1" applyAlignment="1">
      <alignment horizontal="center" vertical="center" wrapText="1"/>
    </xf>
    <xf numFmtId="0" fontId="39" fillId="25" borderId="82" xfId="24" applyFont="1" applyFill="1" applyBorder="1" applyAlignment="1">
      <alignment horizontal="center" vertical="center"/>
    </xf>
    <xf numFmtId="0" fontId="39" fillId="25" borderId="54" xfId="24" applyFont="1" applyFill="1" applyBorder="1" applyAlignment="1">
      <alignment horizontal="center" vertical="center"/>
    </xf>
    <xf numFmtId="0" fontId="39" fillId="25" borderId="76" xfId="24" applyFont="1" applyFill="1" applyBorder="1" applyAlignment="1">
      <alignment horizontal="center" vertical="center"/>
    </xf>
    <xf numFmtId="0" fontId="39" fillId="25" borderId="71" xfId="24" applyFont="1" applyFill="1" applyBorder="1" applyAlignment="1">
      <alignment horizontal="center" vertical="center"/>
    </xf>
    <xf numFmtId="0" fontId="39" fillId="25" borderId="28" xfId="24" applyFont="1" applyFill="1" applyBorder="1" applyAlignment="1">
      <alignment horizontal="center" vertical="center"/>
    </xf>
    <xf numFmtId="0" fontId="39" fillId="25" borderId="0" xfId="24" applyFont="1" applyFill="1" applyBorder="1" applyAlignment="1">
      <alignment horizontal="center" vertical="center"/>
    </xf>
    <xf numFmtId="0" fontId="39" fillId="25" borderId="73" xfId="24" applyFont="1" applyFill="1" applyBorder="1" applyAlignment="1">
      <alignment horizontal="center" vertical="center"/>
    </xf>
    <xf numFmtId="0" fontId="39" fillId="25" borderId="97" xfId="24" applyFont="1" applyFill="1" applyBorder="1" applyAlignment="1">
      <alignment horizontal="center" vertical="center"/>
    </xf>
    <xf numFmtId="168" fontId="10" fillId="5" borderId="24" xfId="1" applyNumberFormat="1" applyFont="1" applyFill="1" applyBorder="1" applyAlignment="1">
      <alignment horizontal="right" vertical="center"/>
    </xf>
    <xf numFmtId="2" fontId="10" fillId="5" borderId="24" xfId="1" applyNumberFormat="1" applyFont="1" applyFill="1" applyBorder="1" applyAlignment="1">
      <alignment horizontal="right" vertical="center"/>
    </xf>
    <xf numFmtId="165" fontId="10" fillId="0" borderId="24" xfId="24" applyNumberFormat="1" applyFont="1" applyBorder="1" applyAlignment="1">
      <alignment horizontal="right" vertical="center"/>
    </xf>
    <xf numFmtId="168" fontId="10" fillId="5" borderId="24" xfId="24" applyNumberFormat="1" applyFont="1" applyFill="1" applyBorder="1" applyAlignment="1">
      <alignment horizontal="right" vertical="center"/>
    </xf>
    <xf numFmtId="171" fontId="10" fillId="0" borderId="24" xfId="24" applyNumberFormat="1" applyFont="1" applyBorder="1" applyAlignment="1">
      <alignment horizontal="right" vertical="center"/>
    </xf>
    <xf numFmtId="2" fontId="39" fillId="0" borderId="24" xfId="24" applyNumberFormat="1" applyFont="1" applyBorder="1" applyAlignment="1">
      <alignment horizontal="right" vertical="center" wrapText="1"/>
    </xf>
    <xf numFmtId="2" fontId="10" fillId="6" borderId="24" xfId="24" applyNumberFormat="1" applyFont="1" applyFill="1" applyBorder="1" applyAlignment="1">
      <alignment horizontal="right" vertical="center"/>
    </xf>
    <xf numFmtId="168" fontId="10" fillId="6" borderId="24" xfId="24" applyNumberFormat="1" applyFont="1" applyFill="1" applyBorder="1" applyAlignment="1">
      <alignment horizontal="right" vertical="center"/>
    </xf>
    <xf numFmtId="2" fontId="10" fillId="0" borderId="24" xfId="1" applyNumberFormat="1" applyFont="1" applyFill="1" applyBorder="1" applyAlignment="1">
      <alignment horizontal="right" vertical="center"/>
    </xf>
    <xf numFmtId="2" fontId="10" fillId="6" borderId="24" xfId="24" applyNumberFormat="1" applyFont="1" applyFill="1" applyBorder="1" applyAlignment="1">
      <alignment horizontal="right" vertical="center" wrapText="1"/>
    </xf>
    <xf numFmtId="165" fontId="39" fillId="0" borderId="24" xfId="24" applyNumberFormat="1" applyFont="1" applyBorder="1" applyAlignment="1">
      <alignment horizontal="right" vertical="center"/>
    </xf>
    <xf numFmtId="168" fontId="39" fillId="5" borderId="24" xfId="24" applyNumberFormat="1" applyFont="1" applyFill="1" applyBorder="1" applyAlignment="1">
      <alignment horizontal="right" vertical="center"/>
    </xf>
    <xf numFmtId="2" fontId="39" fillId="6" borderId="24" xfId="24" applyNumberFormat="1" applyFont="1" applyFill="1" applyBorder="1" applyAlignment="1">
      <alignment horizontal="right" vertical="center" wrapText="1"/>
    </xf>
    <xf numFmtId="168" fontId="39" fillId="6" borderId="24" xfId="24" applyNumberFormat="1" applyFont="1" applyFill="1" applyBorder="1" applyAlignment="1">
      <alignment horizontal="right" vertical="center"/>
    </xf>
    <xf numFmtId="0" fontId="20" fillId="4" borderId="109" xfId="24" applyFont="1" applyFill="1" applyBorder="1" applyAlignment="1">
      <alignment horizontal="center" vertical="center"/>
    </xf>
    <xf numFmtId="168" fontId="10" fillId="5" borderId="70" xfId="1" applyNumberFormat="1" applyFont="1" applyFill="1" applyBorder="1" applyAlignment="1">
      <alignment horizontal="right" vertical="center"/>
    </xf>
    <xf numFmtId="2" fontId="10" fillId="0" borderId="68" xfId="24" applyNumberFormat="1" applyFont="1" applyBorder="1" applyAlignment="1">
      <alignment horizontal="right" vertical="center"/>
    </xf>
    <xf numFmtId="2" fontId="10" fillId="5" borderId="70" xfId="1" applyNumberFormat="1" applyFont="1" applyFill="1" applyBorder="1" applyAlignment="1">
      <alignment horizontal="right" vertical="center"/>
    </xf>
    <xf numFmtId="168" fontId="10" fillId="6" borderId="68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vertical="center"/>
    </xf>
    <xf numFmtId="0" fontId="20" fillId="7" borderId="166" xfId="24" applyFont="1" applyFill="1" applyBorder="1" applyAlignment="1">
      <alignment horizontal="center" vertical="center"/>
    </xf>
    <xf numFmtId="0" fontId="39" fillId="7" borderId="59" xfId="24" applyFont="1" applyFill="1" applyBorder="1" applyAlignment="1">
      <alignment horizontal="center" vertical="center" wrapText="1"/>
    </xf>
    <xf numFmtId="49" fontId="10" fillId="5" borderId="59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50" xfId="24" applyFont="1" applyFill="1" applyBorder="1" applyAlignment="1">
      <alignment vertical="center"/>
    </xf>
    <xf numFmtId="0" fontId="20" fillId="7" borderId="62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10" fillId="23" borderId="24" xfId="3" applyFont="1" applyFill="1" applyBorder="1" applyAlignment="1">
      <alignment horizontal="center" vertical="center"/>
    </xf>
    <xf numFmtId="0" fontId="20" fillId="7" borderId="62" xfId="0" applyFont="1" applyFill="1" applyBorder="1" applyAlignment="1">
      <alignment horizontal="center" vertical="center"/>
    </xf>
    <xf numFmtId="0" fontId="20" fillId="7" borderId="167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9" xfId="1" quotePrefix="1" applyNumberFormat="1" applyFont="1" applyFill="1" applyBorder="1" applyAlignment="1">
      <alignment horizontal="center" vertical="center"/>
    </xf>
    <xf numFmtId="2" fontId="10" fillId="7" borderId="0" xfId="3" applyNumberFormat="1" applyFill="1" applyBorder="1" applyAlignment="1">
      <alignment horizontal="right" vertical="center"/>
    </xf>
    <xf numFmtId="0" fontId="10" fillId="7" borderId="0" xfId="3" applyFill="1" applyBorder="1" applyAlignment="1">
      <alignment horizontal="right" vertical="center"/>
    </xf>
    <xf numFmtId="2" fontId="9" fillId="4" borderId="24" xfId="0" applyNumberFormat="1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0" fontId="53" fillId="24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 wrapText="1"/>
    </xf>
    <xf numFmtId="0" fontId="10" fillId="24" borderId="0" xfId="0" applyNumberFormat="1" applyFont="1" applyFill="1" applyAlignment="1">
      <alignment horizontal="left" vertical="center"/>
    </xf>
    <xf numFmtId="2" fontId="9" fillId="4" borderId="24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10" fillId="6" borderId="0" xfId="3" applyFill="1" applyAlignment="1">
      <alignment horizontal="center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161" xfId="3" applyFill="1" applyBorder="1" applyAlignment="1" applyProtection="1">
      <alignment horizontal="left" vertical="center"/>
      <protection locked="0"/>
    </xf>
    <xf numFmtId="2" fontId="10" fillId="6" borderId="24" xfId="3" applyNumberFormat="1" applyFill="1" applyBorder="1" applyAlignment="1">
      <alignment horizontal="left" vertical="center"/>
    </xf>
    <xf numFmtId="168" fontId="10" fillId="5" borderId="161" xfId="3" applyNumberFormat="1" applyFill="1" applyBorder="1" applyAlignment="1">
      <alignment horizontal="left" vertical="center"/>
    </xf>
    <xf numFmtId="168" fontId="10" fillId="5" borderId="24" xfId="3" applyNumberFormat="1" applyFill="1" applyBorder="1" applyAlignment="1">
      <alignment horizontal="left" vertical="center"/>
    </xf>
    <xf numFmtId="0" fontId="9" fillId="24" borderId="0" xfId="3" applyFont="1" applyFill="1" applyAlignment="1">
      <alignment vertical="center"/>
    </xf>
    <xf numFmtId="0" fontId="10" fillId="24" borderId="0" xfId="0" applyFont="1" applyFill="1" applyBorder="1" applyAlignment="1">
      <alignment vertical="center"/>
    </xf>
    <xf numFmtId="0" fontId="10" fillId="6" borderId="22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center" vertical="center"/>
    </xf>
    <xf numFmtId="0" fontId="10" fillId="29" borderId="20" xfId="0" applyFont="1" applyFill="1" applyBorder="1" applyAlignment="1">
      <alignment horizontal="center" vertical="center"/>
    </xf>
    <xf numFmtId="0" fontId="10" fillId="26" borderId="22" xfId="0" applyNumberFormat="1" applyFont="1" applyFill="1" applyBorder="1" applyAlignment="1">
      <alignment horizontal="center" vertical="center"/>
    </xf>
    <xf numFmtId="0" fontId="10" fillId="4" borderId="68" xfId="0" applyNumberFormat="1" applyFont="1" applyFill="1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/>
    </xf>
    <xf numFmtId="0" fontId="10" fillId="4" borderId="22" xfId="0" applyNumberFormat="1" applyFont="1" applyFill="1" applyBorder="1" applyAlignment="1">
      <alignment horizontal="center" vertical="center"/>
    </xf>
    <xf numFmtId="0" fontId="10" fillId="29" borderId="68" xfId="0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/>
    </xf>
    <xf numFmtId="0" fontId="10" fillId="29" borderId="8" xfId="0" applyFont="1" applyFill="1" applyBorder="1" applyAlignment="1">
      <alignment horizontal="center" vertical="center"/>
    </xf>
    <xf numFmtId="0" fontId="10" fillId="26" borderId="70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0" fontId="10" fillId="0" borderId="78" xfId="0" applyFont="1" applyBorder="1" applyAlignment="1">
      <alignment vertical="center"/>
    </xf>
    <xf numFmtId="0" fontId="10" fillId="4" borderId="109" xfId="0" applyNumberFormat="1" applyFont="1" applyFill="1" applyBorder="1" applyAlignment="1">
      <alignment horizontal="center" vertical="center"/>
    </xf>
    <xf numFmtId="0" fontId="10" fillId="22" borderId="109" xfId="0" applyFont="1" applyFill="1" applyBorder="1" applyAlignment="1">
      <alignment horizontal="center" vertical="center" wrapText="1"/>
    </xf>
    <xf numFmtId="0" fontId="10" fillId="4" borderId="22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left" vertical="center"/>
    </xf>
    <xf numFmtId="0" fontId="10" fillId="4" borderId="20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left" vertical="center"/>
    </xf>
    <xf numFmtId="0" fontId="10" fillId="29" borderId="22" xfId="0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2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6" borderId="0" xfId="3" applyFill="1" applyBorder="1" applyAlignment="1" applyProtection="1">
      <alignment vertical="center" wrapText="1"/>
      <protection locked="0"/>
    </xf>
    <xf numFmtId="0" fontId="10" fillId="4" borderId="24" xfId="3" applyFont="1" applyFill="1" applyBorder="1" applyAlignment="1" applyProtection="1">
      <alignment horizontal="center" vertical="center" wrapText="1"/>
      <protection locked="0"/>
    </xf>
    <xf numFmtId="0" fontId="10" fillId="6" borderId="3" xfId="0" applyNumberFormat="1" applyFont="1" applyFill="1" applyBorder="1" applyAlignment="1">
      <alignment horizontal="left" vertical="center"/>
    </xf>
    <xf numFmtId="0" fontId="0" fillId="24" borderId="0" xfId="0" applyFill="1"/>
    <xf numFmtId="0" fontId="39" fillId="6" borderId="0" xfId="24" applyFont="1" applyFill="1" applyAlignment="1">
      <alignment vertical="center"/>
    </xf>
    <xf numFmtId="1" fontId="10" fillId="6" borderId="22" xfId="3" applyNumberFormat="1" applyFill="1" applyBorder="1" applyAlignment="1" applyProtection="1">
      <alignment horizontal="centerContinuous" vertical="center"/>
      <protection locked="0"/>
    </xf>
    <xf numFmtId="167" fontId="10" fillId="26" borderId="24" xfId="3" quotePrefix="1" applyNumberFormat="1" applyFont="1" applyFill="1" applyBorder="1" applyAlignment="1" applyProtection="1">
      <alignment horizontal="center" vertical="center"/>
      <protection locked="0"/>
    </xf>
    <xf numFmtId="167" fontId="10" fillId="26" borderId="24" xfId="3" applyNumberFormat="1" applyFont="1" applyFill="1" applyBorder="1" applyAlignment="1" applyProtection="1">
      <alignment horizontal="center" vertical="center"/>
      <protection locked="0"/>
    </xf>
    <xf numFmtId="167" fontId="10" fillId="31" borderId="24" xfId="0" applyNumberFormat="1" applyFont="1" applyFill="1" applyBorder="1" applyAlignment="1">
      <alignment horizontal="center" vertical="center"/>
    </xf>
    <xf numFmtId="0" fontId="10" fillId="31" borderId="24" xfId="0" applyFont="1" applyFill="1" applyBorder="1" applyAlignment="1">
      <alignment vertical="center"/>
    </xf>
    <xf numFmtId="0" fontId="10" fillId="6" borderId="0" xfId="3" applyFill="1" applyBorder="1" applyAlignment="1">
      <alignment horizontal="center" vertical="center"/>
    </xf>
    <xf numFmtId="0" fontId="15" fillId="6" borderId="0" xfId="3" applyFont="1" applyFill="1" applyBorder="1" applyAlignment="1">
      <alignment vertical="center"/>
    </xf>
    <xf numFmtId="0" fontId="10" fillId="6" borderId="0" xfId="3" applyFill="1" applyBorder="1" applyAlignment="1">
      <alignment vertical="center"/>
    </xf>
    <xf numFmtId="0" fontId="10" fillId="6" borderId="20" xfId="3" applyFill="1" applyBorder="1" applyAlignment="1">
      <alignment horizontal="center" vertical="center"/>
    </xf>
    <xf numFmtId="0" fontId="10" fillId="6" borderId="0" xfId="3" applyFont="1" applyFill="1" applyAlignment="1">
      <alignment vertical="center"/>
    </xf>
    <xf numFmtId="0" fontId="10" fillId="6" borderId="0" xfId="3" applyFont="1" applyFill="1" applyAlignment="1">
      <alignment horizontal="center" vertical="center"/>
    </xf>
    <xf numFmtId="0" fontId="10" fillId="9" borderId="24" xfId="3" applyFont="1" applyFill="1" applyBorder="1" applyAlignment="1">
      <alignment horizontal="left" vertical="center"/>
    </xf>
    <xf numFmtId="0" fontId="10" fillId="0" borderId="24" xfId="3" applyFont="1" applyBorder="1" applyAlignment="1">
      <alignment horizontal="left" vertical="center"/>
    </xf>
    <xf numFmtId="2" fontId="10" fillId="0" borderId="24" xfId="3" applyNumberFormat="1" applyFont="1" applyBorder="1" applyAlignment="1">
      <alignment horizontal="left" vertical="center"/>
    </xf>
    <xf numFmtId="0" fontId="10" fillId="6" borderId="161" xfId="3" applyFont="1" applyFill="1" applyBorder="1" applyAlignment="1" applyProtection="1">
      <alignment horizontal="left" vertical="center"/>
      <protection locked="0"/>
    </xf>
    <xf numFmtId="0" fontId="10" fillId="6" borderId="24" xfId="3" applyFont="1" applyFill="1" applyBorder="1" applyAlignment="1">
      <alignment horizontal="left" vertical="center"/>
    </xf>
    <xf numFmtId="2" fontId="10" fillId="6" borderId="24" xfId="3" applyNumberFormat="1" applyFont="1" applyFill="1" applyBorder="1" applyAlignment="1">
      <alignment horizontal="left" vertical="center"/>
    </xf>
    <xf numFmtId="0" fontId="10" fillId="6" borderId="24" xfId="3" applyFont="1" applyFill="1" applyBorder="1" applyAlignment="1">
      <alignment vertical="center"/>
    </xf>
    <xf numFmtId="0" fontId="10" fillId="6" borderId="0" xfId="3" applyFont="1" applyFill="1" applyBorder="1" applyAlignment="1">
      <alignment vertical="center"/>
    </xf>
    <xf numFmtId="0" fontId="10" fillId="6" borderId="20" xfId="3" applyFont="1" applyFill="1" applyBorder="1" applyAlignment="1">
      <alignment vertical="center"/>
    </xf>
    <xf numFmtId="0" fontId="10" fillId="6" borderId="0" xfId="3" applyFont="1" applyFill="1" applyBorder="1" applyAlignment="1">
      <alignment horizontal="center" vertical="center"/>
    </xf>
    <xf numFmtId="0" fontId="10" fillId="6" borderId="24" xfId="3" applyFont="1" applyFill="1" applyBorder="1" applyAlignment="1">
      <alignment horizontal="center" vertical="center"/>
    </xf>
    <xf numFmtId="0" fontId="10" fillId="6" borderId="0" xfId="3" applyFont="1" applyFill="1" applyAlignment="1">
      <alignment horizontal="left" vertical="center"/>
    </xf>
    <xf numFmtId="0" fontId="9" fillId="2" borderId="24" xfId="3" applyFont="1" applyFill="1" applyBorder="1" applyAlignment="1">
      <alignment horizontal="center" vertical="center"/>
    </xf>
    <xf numFmtId="0" fontId="9" fillId="2" borderId="24" xfId="3" applyFont="1" applyFill="1" applyBorder="1" applyAlignment="1">
      <alignment vertical="center"/>
    </xf>
    <xf numFmtId="0" fontId="0" fillId="32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9" fillId="0" borderId="24" xfId="0" applyFont="1" applyBorder="1" applyAlignment="1">
      <alignment horizontal="center" vertical="center" wrapText="1"/>
    </xf>
    <xf numFmtId="0" fontId="49" fillId="6" borderId="24" xfId="0" applyFont="1" applyFill="1" applyBorder="1" applyAlignment="1">
      <alignment horizontal="center" vertical="center"/>
    </xf>
    <xf numFmtId="0" fontId="49" fillId="6" borderId="24" xfId="0" applyFont="1" applyFill="1" applyBorder="1" applyAlignment="1">
      <alignment horizontal="center" vertical="center" wrapText="1"/>
    </xf>
    <xf numFmtId="0" fontId="31" fillId="0" borderId="24" xfId="0" applyFont="1" applyBorder="1" applyAlignment="1" applyProtection="1">
      <alignment horizontal="center" vertical="center"/>
      <protection locked="0"/>
    </xf>
    <xf numFmtId="169" fontId="31" fillId="0" borderId="22" xfId="0" applyNumberFormat="1" applyFont="1" applyBorder="1" applyAlignment="1" applyProtection="1">
      <alignment vertical="center" shrinkToFit="1"/>
      <protection locked="0"/>
    </xf>
    <xf numFmtId="0" fontId="31" fillId="0" borderId="22" xfId="56" applyFont="1" applyFill="1" applyBorder="1" applyAlignment="1" applyProtection="1">
      <alignment horizontal="center" vertical="center"/>
      <protection locked="0"/>
    </xf>
    <xf numFmtId="170" fontId="31" fillId="0" borderId="22" xfId="0" applyNumberFormat="1" applyFont="1" applyBorder="1" applyAlignment="1" applyProtection="1">
      <alignment horizontal="center" vertical="center"/>
      <protection locked="0"/>
    </xf>
    <xf numFmtId="0" fontId="31" fillId="0" borderId="22" xfId="0" applyFont="1" applyBorder="1" applyAlignment="1" applyProtection="1">
      <alignment horizontal="center" vertical="center" wrapText="1"/>
      <protection locked="0"/>
    </xf>
    <xf numFmtId="14" fontId="31" fillId="0" borderId="24" xfId="0" applyNumberFormat="1" applyFont="1" applyBorder="1" applyAlignment="1" applyProtection="1">
      <alignment horizontal="center" vertical="center"/>
      <protection locked="0"/>
    </xf>
    <xf numFmtId="0" fontId="31" fillId="0" borderId="24" xfId="0" applyFont="1" applyBorder="1" applyAlignment="1">
      <alignment horizontal="center" vertical="center"/>
    </xf>
    <xf numFmtId="14" fontId="31" fillId="0" borderId="24" xfId="0" applyNumberFormat="1" applyFont="1" applyBorder="1" applyAlignment="1">
      <alignment horizontal="center" vertical="center"/>
    </xf>
    <xf numFmtId="0" fontId="31" fillId="6" borderId="0" xfId="0" applyFont="1" applyFill="1" applyBorder="1" applyAlignment="1">
      <alignment horizontal="center" vertical="center"/>
    </xf>
    <xf numFmtId="14" fontId="31" fillId="6" borderId="0" xfId="0" applyNumberFormat="1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vertical="center"/>
    </xf>
    <xf numFmtId="0" fontId="49" fillId="6" borderId="28" xfId="0" applyFont="1" applyFill="1" applyBorder="1" applyAlignment="1">
      <alignment vertical="center"/>
    </xf>
    <xf numFmtId="0" fontId="49" fillId="6" borderId="54" xfId="0" applyFont="1" applyFill="1" applyBorder="1" applyAlignment="1">
      <alignment vertical="center"/>
    </xf>
    <xf numFmtId="0" fontId="31" fillId="6" borderId="0" xfId="0" applyFont="1" applyFill="1" applyBorder="1" applyAlignment="1">
      <alignment vertical="center"/>
    </xf>
    <xf numFmtId="0" fontId="31" fillId="6" borderId="28" xfId="0" applyFont="1" applyFill="1" applyBorder="1" applyAlignment="1">
      <alignment vertical="center"/>
    </xf>
    <xf numFmtId="0" fontId="31" fillId="6" borderId="54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7" borderId="24" xfId="0" applyNumberFormat="1" applyFont="1" applyFill="1" applyBorder="1" applyAlignment="1">
      <alignment horizontal="left" vertical="center"/>
    </xf>
    <xf numFmtId="0" fontId="9" fillId="27" borderId="24" xfId="3" applyNumberFormat="1" applyFont="1" applyFill="1" applyBorder="1" applyAlignment="1" applyProtection="1">
      <alignment horizontal="left" vertical="center"/>
      <protection locked="0"/>
    </xf>
    <xf numFmtId="0" fontId="9" fillId="27" borderId="20" xfId="3" applyNumberFormat="1" applyFont="1" applyFill="1" applyBorder="1" applyAlignment="1" applyProtection="1">
      <alignment horizontal="left" vertical="center"/>
      <protection locked="0"/>
    </xf>
    <xf numFmtId="0" fontId="9" fillId="27" borderId="22" xfId="3" applyNumberFormat="1" applyFont="1" applyFill="1" applyBorder="1" applyAlignment="1" applyProtection="1">
      <alignment horizontal="left" vertical="center"/>
      <protection locked="0"/>
    </xf>
    <xf numFmtId="0" fontId="9" fillId="27" borderId="24" xfId="3" applyNumberFormat="1" applyFont="1" applyFill="1" applyBorder="1" applyAlignment="1" applyProtection="1">
      <alignment vertical="center"/>
      <protection locked="0"/>
    </xf>
    <xf numFmtId="0" fontId="9" fillId="8" borderId="24" xfId="3" applyNumberFormat="1" applyFont="1" applyFill="1" applyBorder="1" applyAlignment="1" applyProtection="1">
      <alignment vertical="center"/>
      <protection locked="0"/>
    </xf>
    <xf numFmtId="0" fontId="9" fillId="26" borderId="24" xfId="0" applyNumberFormat="1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9" fillId="4" borderId="74" xfId="0" applyFont="1" applyFill="1" applyBorder="1" applyAlignment="1">
      <alignment horizontal="center" vertical="center"/>
    </xf>
    <xf numFmtId="167" fontId="39" fillId="5" borderId="0" xfId="3" applyNumberFormat="1" applyFont="1" applyFill="1" applyBorder="1" applyAlignment="1">
      <alignment horizontal="center" vertical="center"/>
    </xf>
    <xf numFmtId="167" fontId="39" fillId="5" borderId="55" xfId="3" applyNumberFormat="1" applyFont="1" applyFill="1" applyBorder="1" applyAlignment="1">
      <alignment horizontal="center" vertical="center"/>
    </xf>
    <xf numFmtId="0" fontId="20" fillId="4" borderId="113" xfId="0" applyFont="1" applyFill="1" applyBorder="1" applyAlignment="1">
      <alignment horizontal="center" vertical="center" wrapText="1"/>
    </xf>
    <xf numFmtId="0" fontId="20" fillId="4" borderId="154" xfId="2" applyNumberFormat="1" applyFont="1" applyFill="1" applyBorder="1" applyAlignment="1">
      <alignment horizontal="center" vertical="center" wrapText="1"/>
    </xf>
    <xf numFmtId="0" fontId="39" fillId="6" borderId="164" xfId="24" applyFont="1" applyFill="1" applyBorder="1" applyAlignment="1">
      <alignment horizontal="center" vertical="center"/>
    </xf>
    <xf numFmtId="0" fontId="39" fillId="0" borderId="54" xfId="24" applyFont="1" applyBorder="1" applyAlignment="1">
      <alignment horizontal="center" vertical="center"/>
    </xf>
    <xf numFmtId="0" fontId="15" fillId="0" borderId="54" xfId="24" applyFont="1" applyBorder="1" applyAlignment="1">
      <alignment horizontal="center" vertical="center" wrapText="1"/>
    </xf>
    <xf numFmtId="0" fontId="39" fillId="0" borderId="76" xfId="24" applyFont="1" applyBorder="1" applyAlignment="1">
      <alignment horizontal="center" vertical="center"/>
    </xf>
    <xf numFmtId="0" fontId="39" fillId="0" borderId="71" xfId="24" applyFont="1" applyBorder="1" applyAlignment="1">
      <alignment horizontal="center" vertical="center"/>
    </xf>
    <xf numFmtId="165" fontId="10" fillId="0" borderId="54" xfId="1" applyNumberFormat="1" applyFont="1" applyFill="1" applyBorder="1" applyAlignment="1">
      <alignment horizontal="center" vertical="center"/>
    </xf>
    <xf numFmtId="166" fontId="39" fillId="0" borderId="71" xfId="24" applyNumberFormat="1" applyFont="1" applyBorder="1" applyAlignment="1">
      <alignment horizontal="center" vertical="center"/>
    </xf>
    <xf numFmtId="166" fontId="39" fillId="0" borderId="54" xfId="24" applyNumberFormat="1" applyFont="1" applyBorder="1" applyAlignment="1">
      <alignment horizontal="center" vertical="center"/>
    </xf>
    <xf numFmtId="165" fontId="39" fillId="0" borderId="54" xfId="24" applyNumberFormat="1" applyFont="1" applyBorder="1" applyAlignment="1">
      <alignment horizontal="center" vertical="center"/>
    </xf>
    <xf numFmtId="164" fontId="39" fillId="0" borderId="54" xfId="24" applyNumberFormat="1" applyFont="1" applyBorder="1" applyAlignment="1">
      <alignment horizontal="center" vertical="center"/>
    </xf>
    <xf numFmtId="166" fontId="39" fillId="0" borderId="76" xfId="24" applyNumberFormat="1" applyFont="1" applyBorder="1" applyAlignment="1">
      <alignment horizontal="center" vertical="center"/>
    </xf>
    <xf numFmtId="168" fontId="10" fillId="5" borderId="161" xfId="1" applyNumberFormat="1" applyFont="1" applyFill="1" applyBorder="1" applyAlignment="1">
      <alignment horizontal="right" vertical="center"/>
    </xf>
    <xf numFmtId="165" fontId="10" fillId="0" borderId="24" xfId="1" applyNumberFormat="1" applyFont="1" applyFill="1" applyBorder="1" applyAlignment="1">
      <alignment horizontal="right" vertical="center"/>
    </xf>
    <xf numFmtId="0" fontId="39" fillId="0" borderId="73" xfId="24" applyFont="1" applyBorder="1" applyAlignment="1">
      <alignment vertical="center"/>
    </xf>
    <xf numFmtId="0" fontId="39" fillId="0" borderId="28" xfId="24" applyFont="1" applyBorder="1" applyAlignment="1">
      <alignment vertical="center" wrapText="1"/>
    </xf>
    <xf numFmtId="0" fontId="39" fillId="0" borderId="30" xfId="24" applyFont="1" applyBorder="1" applyAlignment="1">
      <alignment vertical="center"/>
    </xf>
    <xf numFmtId="2" fontId="39" fillId="5" borderId="24" xfId="0" applyNumberFormat="1" applyFont="1" applyFill="1" applyBorder="1" applyAlignment="1">
      <alignment horizontal="right" vertical="center"/>
    </xf>
    <xf numFmtId="171" fontId="10" fillId="5" borderId="24" xfId="24" applyNumberFormat="1" applyFont="1" applyFill="1" applyBorder="1" applyAlignment="1">
      <alignment horizontal="right" vertical="center"/>
    </xf>
    <xf numFmtId="168" fontId="10" fillId="5" borderId="20" xfId="24" applyNumberFormat="1" applyFont="1" applyFill="1" applyBorder="1" applyAlignment="1">
      <alignment horizontal="right" vertical="center"/>
    </xf>
    <xf numFmtId="166" fontId="10" fillId="5" borderId="24" xfId="1" applyNumberFormat="1" applyFont="1" applyFill="1" applyBorder="1" applyAlignment="1">
      <alignment horizontal="right" vertical="center"/>
    </xf>
    <xf numFmtId="0" fontId="20" fillId="4" borderId="100" xfId="2" applyNumberFormat="1" applyFont="1" applyFill="1" applyBorder="1" applyAlignment="1">
      <alignment horizontal="center" vertical="center" wrapText="1"/>
    </xf>
    <xf numFmtId="0" fontId="10" fillId="23" borderId="161" xfId="3" applyFill="1" applyBorder="1" applyAlignment="1">
      <alignment horizontal="left" vertical="center"/>
    </xf>
    <xf numFmtId="17" fontId="10" fillId="5" borderId="24" xfId="3" applyNumberFormat="1" applyFill="1" applyBorder="1" applyAlignment="1">
      <alignment horizontal="left" vertical="center"/>
    </xf>
    <xf numFmtId="49" fontId="10" fillId="5" borderId="24" xfId="3" applyNumberFormat="1" applyFill="1" applyBorder="1" applyAlignment="1" applyProtection="1">
      <alignment horizontal="left" vertical="center"/>
      <protection locked="0"/>
    </xf>
    <xf numFmtId="49" fontId="10" fillId="5" borderId="22" xfId="3" applyNumberFormat="1" applyFill="1" applyBorder="1" applyAlignment="1" applyProtection="1">
      <alignment horizontal="left" vertical="center"/>
      <protection locked="0"/>
    </xf>
    <xf numFmtId="0" fontId="10" fillId="5" borderId="22" xfId="3" applyFill="1" applyBorder="1" applyAlignment="1" applyProtection="1">
      <alignment horizontal="left" vertical="center"/>
      <protection locked="0"/>
    </xf>
    <xf numFmtId="0" fontId="9" fillId="6" borderId="13" xfId="3" applyFont="1" applyFill="1" applyBorder="1" applyAlignment="1" applyProtection="1">
      <alignment horizontal="center" vertical="center"/>
      <protection locked="0"/>
    </xf>
    <xf numFmtId="0" fontId="10" fillId="0" borderId="24" xfId="0" applyFont="1" applyFill="1" applyBorder="1" applyAlignment="1">
      <alignment vertical="center"/>
    </xf>
    <xf numFmtId="0" fontId="10" fillId="0" borderId="68" xfId="0" applyFont="1" applyFill="1" applyBorder="1" applyAlignment="1">
      <alignment vertical="center"/>
    </xf>
    <xf numFmtId="0" fontId="9" fillId="8" borderId="24" xfId="0" applyFont="1" applyFill="1" applyBorder="1" applyAlignment="1">
      <alignment vertical="center"/>
    </xf>
    <xf numFmtId="0" fontId="9" fillId="8" borderId="22" xfId="0" applyFont="1" applyFill="1" applyBorder="1" applyAlignment="1">
      <alignment vertical="center"/>
    </xf>
    <xf numFmtId="49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>
      <alignment horizontal="left" vertical="center"/>
    </xf>
    <xf numFmtId="0" fontId="10" fillId="6" borderId="0" xfId="3" applyFill="1" applyBorder="1" applyAlignment="1" applyProtection="1">
      <alignment horizontal="center" vertical="center"/>
      <protection locked="0"/>
    </xf>
    <xf numFmtId="0" fontId="20" fillId="6" borderId="0" xfId="2" applyFont="1" applyFill="1" applyBorder="1" applyAlignment="1">
      <alignment horizontal="center" vertical="center"/>
    </xf>
    <xf numFmtId="17" fontId="10" fillId="6" borderId="0" xfId="3" applyNumberFormat="1" applyFill="1" applyBorder="1" applyAlignment="1">
      <alignment horizontal="left" vertical="center"/>
    </xf>
    <xf numFmtId="168" fontId="10" fillId="6" borderId="0" xfId="3" applyNumberFormat="1" applyFill="1" applyBorder="1" applyAlignment="1">
      <alignment horizontal="left" vertical="center"/>
    </xf>
    <xf numFmtId="0" fontId="9" fillId="33" borderId="0" xfId="3" applyFont="1" applyFill="1" applyBorder="1" applyAlignment="1">
      <alignment horizontal="center" vertical="center"/>
    </xf>
    <xf numFmtId="0" fontId="9" fillId="4" borderId="99" xfId="3" applyFont="1" applyFill="1" applyBorder="1" applyAlignment="1">
      <alignment vertical="center"/>
    </xf>
    <xf numFmtId="0" fontId="54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5" xfId="3" applyFill="1" applyBorder="1" applyAlignment="1">
      <alignment vertical="center"/>
    </xf>
    <xf numFmtId="0" fontId="10" fillId="6" borderId="64" xfId="3" applyFill="1" applyBorder="1" applyAlignment="1">
      <alignment vertical="center"/>
    </xf>
    <xf numFmtId="1" fontId="10" fillId="6" borderId="63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9" xfId="3" applyNumberFormat="1" applyFont="1" applyFill="1" applyBorder="1" applyAlignment="1">
      <alignment vertical="center"/>
    </xf>
    <xf numFmtId="0" fontId="10" fillId="6" borderId="3" xfId="3" applyNumberFormat="1" applyFill="1" applyBorder="1" applyAlignment="1">
      <alignment horizontal="left" vertical="center"/>
    </xf>
    <xf numFmtId="2" fontId="10" fillId="6" borderId="63" xfId="3" applyNumberFormat="1" applyFill="1" applyBorder="1" applyAlignment="1">
      <alignment vertical="center"/>
    </xf>
    <xf numFmtId="0" fontId="10" fillId="4" borderId="13" xfId="0" applyFont="1" applyFill="1" applyBorder="1" applyAlignment="1">
      <alignment horizontal="right" vertical="center"/>
    </xf>
    <xf numFmtId="0" fontId="10" fillId="6" borderId="18" xfId="0" applyFont="1" applyFill="1" applyBorder="1" applyAlignment="1">
      <alignment horizontal="right" vertical="center"/>
    </xf>
    <xf numFmtId="0" fontId="0" fillId="6" borderId="18" xfId="0" applyFill="1" applyBorder="1" applyAlignment="1">
      <alignment horizontal="right" vertical="center"/>
    </xf>
    <xf numFmtId="0" fontId="10" fillId="30" borderId="24" xfId="0" applyNumberFormat="1" applyFont="1" applyFill="1" applyBorder="1" applyAlignment="1">
      <alignment vertical="center"/>
    </xf>
    <xf numFmtId="1" fontId="10" fillId="5" borderId="67" xfId="1" applyNumberFormat="1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6" borderId="28" xfId="0" applyFont="1" applyFill="1" applyBorder="1" applyAlignment="1">
      <alignment horizontal="center" vertical="center"/>
    </xf>
    <xf numFmtId="0" fontId="31" fillId="6" borderId="54" xfId="0" applyFont="1" applyFill="1" applyBorder="1" applyAlignment="1">
      <alignment horizontal="center" vertical="center"/>
    </xf>
    <xf numFmtId="0" fontId="49" fillId="4" borderId="24" xfId="0" applyFont="1" applyFill="1" applyBorder="1" applyAlignment="1">
      <alignment horizontal="center" vertical="center"/>
    </xf>
    <xf numFmtId="0" fontId="49" fillId="6" borderId="28" xfId="0" applyFont="1" applyFill="1" applyBorder="1" applyAlignment="1">
      <alignment horizontal="center" vertical="center"/>
    </xf>
    <xf numFmtId="0" fontId="49" fillId="6" borderId="54" xfId="0" applyFont="1" applyFill="1" applyBorder="1" applyAlignment="1">
      <alignment horizontal="center" vertical="center"/>
    </xf>
    <xf numFmtId="0" fontId="49" fillId="13" borderId="24" xfId="0" applyFont="1" applyFill="1" applyBorder="1" applyAlignment="1">
      <alignment horizontal="center" vertical="center"/>
    </xf>
    <xf numFmtId="0" fontId="31" fillId="6" borderId="24" xfId="0" applyFont="1" applyFill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28" xfId="3" applyFont="1" applyBorder="1" applyAlignment="1">
      <alignment horizontal="center" vertical="center"/>
    </xf>
    <xf numFmtId="0" fontId="31" fillId="0" borderId="54" xfId="3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 wrapText="1"/>
    </xf>
    <xf numFmtId="0" fontId="31" fillId="0" borderId="28" xfId="3" applyFont="1" applyBorder="1" applyAlignment="1">
      <alignment horizontal="center" vertical="center" wrapText="1"/>
    </xf>
    <xf numFmtId="0" fontId="31" fillId="0" borderId="54" xfId="3" applyFont="1" applyBorder="1" applyAlignment="1">
      <alignment horizontal="center" vertical="center" wrapText="1"/>
    </xf>
    <xf numFmtId="0" fontId="31" fillId="0" borderId="2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horizontal="center" vertical="center"/>
    </xf>
    <xf numFmtId="0" fontId="40" fillId="4" borderId="24" xfId="24" applyFont="1" applyFill="1" applyBorder="1" applyAlignment="1">
      <alignment horizontal="center" vertical="center"/>
    </xf>
    <xf numFmtId="0" fontId="20" fillId="4" borderId="109" xfId="24" applyFont="1" applyFill="1" applyBorder="1" applyAlignment="1">
      <alignment horizontal="center" vertical="center"/>
    </xf>
    <xf numFmtId="0" fontId="39" fillId="0" borderId="20" xfId="2" applyFont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0" borderId="22" xfId="2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63" xfId="2" applyFont="1" applyFill="1" applyBorder="1" applyAlignment="1">
      <alignment horizontal="center" vertical="center"/>
    </xf>
    <xf numFmtId="0" fontId="20" fillId="4" borderId="160" xfId="2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39" fillId="6" borderId="27" xfId="2" applyFont="1" applyFill="1" applyBorder="1" applyAlignment="1">
      <alignment horizontal="left" vertical="center"/>
    </xf>
    <xf numFmtId="0" fontId="39" fillId="6" borderId="54" xfId="2" applyFont="1" applyFill="1" applyBorder="1" applyAlignment="1">
      <alignment horizontal="left" vertical="center"/>
    </xf>
    <xf numFmtId="0" fontId="39" fillId="6" borderId="155" xfId="2" applyFont="1" applyFill="1" applyBorder="1" applyAlignment="1">
      <alignment horizontal="center" vertical="center"/>
    </xf>
    <xf numFmtId="0" fontId="39" fillId="6" borderId="164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4" borderId="159" xfId="2" applyFont="1" applyFill="1" applyBorder="1" applyAlignment="1">
      <alignment horizontal="center" vertical="center"/>
    </xf>
    <xf numFmtId="0" fontId="39" fillId="4" borderId="163" xfId="2" applyFont="1" applyFill="1" applyBorder="1" applyAlignment="1">
      <alignment horizontal="center" vertical="center"/>
    </xf>
    <xf numFmtId="0" fontId="39" fillId="4" borderId="160" xfId="2" applyFont="1" applyFill="1" applyBorder="1" applyAlignment="1">
      <alignment horizontal="center" vertical="center"/>
    </xf>
    <xf numFmtId="0" fontId="39" fillId="6" borderId="24" xfId="2" applyFont="1" applyFill="1" applyBorder="1" applyAlignment="1">
      <alignment horizontal="left" vertical="center"/>
    </xf>
    <xf numFmtId="0" fontId="20" fillId="6" borderId="0" xfId="2" applyFont="1" applyFill="1" applyAlignment="1">
      <alignment horizontal="center" vertical="center"/>
    </xf>
    <xf numFmtId="0" fontId="39" fillId="6" borderId="22" xfId="2" applyFont="1" applyFill="1" applyBorder="1" applyAlignment="1">
      <alignment horizontal="left" vertical="center"/>
    </xf>
    <xf numFmtId="0" fontId="10" fillId="6" borderId="24" xfId="3" applyFont="1" applyFill="1" applyBorder="1" applyAlignment="1">
      <alignment horizontal="center" vertical="center"/>
    </xf>
    <xf numFmtId="1" fontId="10" fillId="6" borderId="27" xfId="3" applyNumberFormat="1" applyFill="1" applyBorder="1" applyAlignment="1">
      <alignment horizontal="center" vertical="center"/>
    </xf>
    <xf numFmtId="1" fontId="10" fillId="6" borderId="28" xfId="3" applyNumberFormat="1" applyFill="1" applyBorder="1" applyAlignment="1">
      <alignment horizontal="center" vertical="center"/>
    </xf>
    <xf numFmtId="1" fontId="10" fillId="6" borderId="54" xfId="3" applyNumberForma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4" borderId="27" xfId="0" applyNumberFormat="1" applyFont="1" applyFill="1" applyBorder="1" applyAlignment="1">
      <alignment horizontal="center" vertical="center"/>
    </xf>
    <xf numFmtId="0" fontId="10" fillId="4" borderId="54" xfId="0" applyNumberFormat="1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 textRotation="90"/>
    </xf>
    <xf numFmtId="0" fontId="10" fillId="26" borderId="5" xfId="0" applyNumberFormat="1" applyFont="1" applyFill="1" applyBorder="1" applyAlignment="1">
      <alignment horizontal="center" vertical="center" textRotation="90"/>
    </xf>
    <xf numFmtId="0" fontId="10" fillId="26" borderId="22" xfId="0" applyNumberFormat="1" applyFont="1" applyFill="1" applyBorder="1" applyAlignment="1">
      <alignment horizontal="center" vertical="center" textRotation="90"/>
    </xf>
    <xf numFmtId="0" fontId="10" fillId="4" borderId="24" xfId="0" applyNumberFormat="1" applyFont="1" applyFill="1" applyBorder="1" applyAlignment="1">
      <alignment horizontal="center" vertical="center"/>
    </xf>
    <xf numFmtId="0" fontId="10" fillId="4" borderId="28" xfId="0" applyNumberFormat="1" applyFont="1" applyFill="1" applyBorder="1" applyAlignment="1">
      <alignment horizontal="center" vertical="center"/>
    </xf>
    <xf numFmtId="0" fontId="10" fillId="27" borderId="24" xfId="0" applyNumberFormat="1" applyFont="1" applyFill="1" applyBorder="1" applyAlignment="1">
      <alignment horizontal="center" vertical="center" textRotation="90"/>
    </xf>
    <xf numFmtId="0" fontId="10" fillId="27" borderId="5" xfId="0" applyNumberFormat="1" applyFont="1" applyFill="1" applyBorder="1" applyAlignment="1">
      <alignment horizontal="center" vertical="center" textRotation="90"/>
    </xf>
    <xf numFmtId="0" fontId="10" fillId="27" borderId="22" xfId="0" applyNumberFormat="1" applyFont="1" applyFill="1" applyBorder="1" applyAlignment="1">
      <alignment horizontal="center" vertical="center" textRotation="90"/>
    </xf>
    <xf numFmtId="0" fontId="10" fillId="6" borderId="162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20" fillId="4" borderId="109" xfId="2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10" fillId="6" borderId="29" xfId="3" applyFill="1" applyBorder="1" applyAlignment="1" applyProtection="1">
      <alignment horizontal="center" vertical="center" wrapText="1"/>
      <protection locked="0"/>
    </xf>
    <xf numFmtId="0" fontId="10" fillId="6" borderId="0" xfId="3" applyFill="1" applyBorder="1" applyAlignment="1" applyProtection="1">
      <alignment horizontal="center" vertical="center" wrapText="1"/>
      <protection locked="0"/>
    </xf>
    <xf numFmtId="0" fontId="9" fillId="4" borderId="105" xfId="0" applyFont="1" applyFill="1" applyBorder="1" applyAlignment="1">
      <alignment horizontal="center" vertical="center" wrapText="1"/>
    </xf>
    <xf numFmtId="0" fontId="9" fillId="4" borderId="106" xfId="0" applyFont="1" applyFill="1" applyBorder="1" applyAlignment="1">
      <alignment horizontal="center" vertical="center" wrapText="1"/>
    </xf>
    <xf numFmtId="0" fontId="9" fillId="4" borderId="107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6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10" fillId="0" borderId="61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75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78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10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9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81" xfId="0" applyFont="1" applyBorder="1" applyAlignment="1">
      <alignment horizontal="center" vertical="center" wrapText="1"/>
    </xf>
    <xf numFmtId="0" fontId="10" fillId="28" borderId="74" xfId="0" applyFont="1" applyFill="1" applyBorder="1" applyAlignment="1">
      <alignment horizontal="center" vertical="center" wrapText="1"/>
    </xf>
    <xf numFmtId="0" fontId="10" fillId="28" borderId="64" xfId="0" applyFont="1" applyFill="1" applyBorder="1" applyAlignment="1">
      <alignment horizontal="center" vertical="center" wrapText="1"/>
    </xf>
    <xf numFmtId="0" fontId="10" fillId="28" borderId="63" xfId="0" applyFont="1" applyFill="1" applyBorder="1" applyAlignment="1">
      <alignment horizontal="center" vertical="center" wrapText="1"/>
    </xf>
    <xf numFmtId="0" fontId="10" fillId="28" borderId="62" xfId="0" applyFont="1" applyFill="1" applyBorder="1" applyAlignment="1">
      <alignment horizontal="center" vertical="center" wrapText="1"/>
    </xf>
    <xf numFmtId="0" fontId="10" fillId="28" borderId="57" xfId="0" applyFont="1" applyFill="1" applyBorder="1" applyAlignment="1">
      <alignment horizontal="center" vertical="center" wrapText="1"/>
    </xf>
    <xf numFmtId="0" fontId="10" fillId="28" borderId="59" xfId="0" applyFont="1" applyFill="1" applyBorder="1" applyAlignment="1">
      <alignment horizontal="center" vertical="center" wrapText="1"/>
    </xf>
    <xf numFmtId="0" fontId="10" fillId="28" borderId="25" xfId="0" applyFont="1" applyFill="1" applyBorder="1" applyAlignment="1">
      <alignment horizontal="center" vertical="center" wrapText="1"/>
    </xf>
    <xf numFmtId="0" fontId="10" fillId="28" borderId="61" xfId="0" applyFont="1" applyFill="1" applyBorder="1" applyAlignment="1">
      <alignment horizontal="center" vertical="center" wrapText="1"/>
    </xf>
    <xf numFmtId="0" fontId="10" fillId="28" borderId="49" xfId="0" applyFont="1" applyFill="1" applyBorder="1" applyAlignment="1">
      <alignment horizontal="center" vertical="center" wrapText="1"/>
    </xf>
    <xf numFmtId="0" fontId="9" fillId="4" borderId="74" xfId="0" applyFont="1" applyFill="1" applyBorder="1" applyAlignment="1">
      <alignment horizontal="center" vertical="center"/>
    </xf>
    <xf numFmtId="0" fontId="9" fillId="4" borderId="104" xfId="0" applyFont="1" applyFill="1" applyBorder="1" applyAlignment="1">
      <alignment horizontal="center" vertical="center"/>
    </xf>
    <xf numFmtId="0" fontId="10" fillId="28" borderId="94" xfId="0" applyFont="1" applyFill="1" applyBorder="1" applyAlignment="1">
      <alignment horizontal="center" vertical="center" wrapText="1"/>
    </xf>
    <xf numFmtId="0" fontId="10" fillId="28" borderId="65" xfId="0" applyFont="1" applyFill="1" applyBorder="1" applyAlignment="1">
      <alignment horizontal="center" vertical="center" wrapText="1"/>
    </xf>
    <xf numFmtId="0" fontId="10" fillId="28" borderId="77" xfId="0" applyFont="1" applyFill="1" applyBorder="1" applyAlignment="1">
      <alignment horizontal="center" vertical="center" wrapText="1"/>
    </xf>
    <xf numFmtId="0" fontId="10" fillId="28" borderId="21" xfId="0" applyFont="1" applyFill="1" applyBorder="1" applyAlignment="1">
      <alignment horizontal="center" vertical="center" wrapText="1"/>
    </xf>
    <xf numFmtId="0" fontId="10" fillId="28" borderId="78" xfId="0" applyFont="1" applyFill="1" applyBorder="1" applyAlignment="1">
      <alignment horizontal="center" vertical="center" wrapText="1"/>
    </xf>
    <xf numFmtId="0" fontId="9" fillId="16" borderId="146" xfId="0" applyFont="1" applyFill="1" applyBorder="1" applyAlignment="1">
      <alignment horizontal="center" vertical="center" wrapText="1"/>
    </xf>
    <xf numFmtId="0" fontId="9" fillId="16" borderId="144" xfId="0" applyFont="1" applyFill="1" applyBorder="1" applyAlignment="1">
      <alignment horizontal="center" vertical="center" wrapText="1"/>
    </xf>
    <xf numFmtId="0" fontId="9" fillId="16" borderId="145" xfId="0" applyFont="1" applyFill="1" applyBorder="1" applyAlignment="1">
      <alignment horizontal="center" vertical="center" wrapText="1"/>
    </xf>
    <xf numFmtId="2" fontId="33" fillId="16" borderId="134" xfId="0" applyNumberFormat="1" applyFont="1" applyFill="1" applyBorder="1" applyAlignment="1">
      <alignment horizontal="center" vertical="center" wrapText="1"/>
    </xf>
    <xf numFmtId="0" fontId="33" fillId="16" borderId="133" xfId="0" applyFont="1" applyFill="1" applyBorder="1" applyAlignment="1">
      <alignment horizontal="center" vertical="center" wrapText="1"/>
    </xf>
    <xf numFmtId="0" fontId="33" fillId="16" borderId="117" xfId="0" applyFont="1" applyFill="1" applyBorder="1" applyAlignment="1">
      <alignment horizontal="center" vertical="center" wrapText="1"/>
    </xf>
    <xf numFmtId="2" fontId="33" fillId="16" borderId="116" xfId="0" applyNumberFormat="1" applyFont="1" applyFill="1" applyBorder="1" applyAlignment="1">
      <alignment horizontal="center" vertical="center" wrapText="1"/>
    </xf>
    <xf numFmtId="0" fontId="9" fillId="16" borderId="143" xfId="0" applyFont="1" applyFill="1" applyBorder="1" applyAlignment="1">
      <alignment horizontal="center" vertical="center" wrapText="1"/>
    </xf>
    <xf numFmtId="0" fontId="21" fillId="15" borderId="143" xfId="0" applyFont="1" applyFill="1" applyBorder="1" applyAlignment="1">
      <alignment horizontal="center" vertical="center" wrapText="1"/>
    </xf>
    <xf numFmtId="0" fontId="21" fillId="15" borderId="145" xfId="0" applyFont="1" applyFill="1" applyBorder="1" applyAlignment="1">
      <alignment horizontal="center" vertical="center" wrapText="1"/>
    </xf>
    <xf numFmtId="0" fontId="21" fillId="15" borderId="116" xfId="0" applyFont="1" applyFill="1" applyBorder="1" applyAlignment="1">
      <alignment horizontal="center" vertical="center" wrapText="1"/>
    </xf>
    <xf numFmtId="0" fontId="21" fillId="15" borderId="117" xfId="0" applyFont="1" applyFill="1" applyBorder="1" applyAlignment="1">
      <alignment horizontal="center" vertical="center" wrapText="1"/>
    </xf>
    <xf numFmtId="0" fontId="21" fillId="15" borderId="147" xfId="0" applyFont="1" applyFill="1" applyBorder="1" applyAlignment="1">
      <alignment horizontal="center" vertical="center" wrapText="1"/>
    </xf>
    <xf numFmtId="0" fontId="21" fillId="15" borderId="149" xfId="0" applyFont="1" applyFill="1" applyBorder="1" applyAlignment="1">
      <alignment horizontal="center" vertical="center" wrapText="1"/>
    </xf>
    <xf numFmtId="2" fontId="33" fillId="16" borderId="146" xfId="0" applyNumberFormat="1" applyFont="1" applyFill="1" applyBorder="1" applyAlignment="1">
      <alignment horizontal="center" vertical="center" wrapText="1"/>
    </xf>
    <xf numFmtId="0" fontId="33" fillId="16" borderId="144" xfId="0" applyFont="1" applyFill="1" applyBorder="1" applyAlignment="1">
      <alignment horizontal="center" vertical="center" wrapText="1"/>
    </xf>
    <xf numFmtId="0" fontId="33" fillId="16" borderId="145" xfId="0" applyFont="1" applyFill="1" applyBorder="1" applyAlignment="1">
      <alignment horizontal="center" vertical="center" wrapText="1"/>
    </xf>
    <xf numFmtId="2" fontId="9" fillId="16" borderId="146" xfId="0" applyNumberFormat="1" applyFont="1" applyFill="1" applyBorder="1" applyAlignment="1">
      <alignment horizontal="center" vertical="center" wrapText="1"/>
    </xf>
    <xf numFmtId="0" fontId="9" fillId="16" borderId="150" xfId="0" applyFont="1" applyFill="1" applyBorder="1" applyAlignment="1">
      <alignment horizontal="center" vertical="center" wrapText="1"/>
    </xf>
    <xf numFmtId="0" fontId="9" fillId="16" borderId="148" xfId="0" applyFont="1" applyFill="1" applyBorder="1" applyAlignment="1">
      <alignment horizontal="center" vertical="center" wrapText="1"/>
    </xf>
    <xf numFmtId="0" fontId="9" fillId="16" borderId="149" xfId="0" applyFont="1" applyFill="1" applyBorder="1" applyAlignment="1">
      <alignment horizontal="center" vertical="center" wrapText="1"/>
    </xf>
    <xf numFmtId="0" fontId="9" fillId="16" borderId="147" xfId="0" applyFont="1" applyFill="1" applyBorder="1" applyAlignment="1">
      <alignment horizontal="center" vertical="center" wrapText="1"/>
    </xf>
    <xf numFmtId="0" fontId="21" fillId="15" borderId="133" xfId="0" applyFont="1" applyFill="1" applyBorder="1" applyAlignment="1">
      <alignment horizontal="center" vertical="center" wrapText="1"/>
    </xf>
    <xf numFmtId="2" fontId="33" fillId="16" borderId="125" xfId="0" applyNumberFormat="1" applyFont="1" applyFill="1" applyBorder="1" applyAlignment="1">
      <alignment horizontal="center" vertical="center" wrapText="1"/>
    </xf>
    <xf numFmtId="0" fontId="33" fillId="16" borderId="128" xfId="0" applyFont="1" applyFill="1" applyBorder="1" applyAlignment="1">
      <alignment horizontal="center" vertical="center" wrapText="1"/>
    </xf>
    <xf numFmtId="0" fontId="33" fillId="16" borderId="126" xfId="0" applyFont="1" applyFill="1" applyBorder="1" applyAlignment="1">
      <alignment horizontal="center" vertical="center" wrapText="1"/>
    </xf>
    <xf numFmtId="2" fontId="9" fillId="16" borderId="143" xfId="0" applyNumberFormat="1" applyFont="1" applyFill="1" applyBorder="1" applyAlignment="1">
      <alignment horizontal="center" vertical="center" wrapText="1"/>
    </xf>
    <xf numFmtId="2" fontId="9" fillId="16" borderId="150" xfId="0" applyNumberFormat="1" applyFont="1" applyFill="1" applyBorder="1" applyAlignment="1">
      <alignment horizontal="center" vertical="center" wrapText="1"/>
    </xf>
    <xf numFmtId="2" fontId="33" fillId="16" borderId="143" xfId="0" applyNumberFormat="1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5" borderId="134" xfId="0" applyFont="1" applyFill="1" applyBorder="1" applyAlignment="1">
      <alignment horizontal="center" vertical="center" wrapText="1"/>
    </xf>
    <xf numFmtId="2" fontId="33" fillId="16" borderId="127" xfId="0" applyNumberFormat="1" applyFont="1" applyFill="1" applyBorder="1" applyAlignment="1">
      <alignment horizontal="center" vertical="center" wrapText="1"/>
    </xf>
    <xf numFmtId="2" fontId="9" fillId="16" borderId="147" xfId="0" applyNumberFormat="1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/>
    </xf>
    <xf numFmtId="0" fontId="21" fillId="14" borderId="118" xfId="0" applyFont="1" applyFill="1" applyBorder="1" applyAlignment="1">
      <alignment horizontal="center" vertical="center"/>
    </xf>
    <xf numFmtId="0" fontId="21" fillId="14" borderId="140" xfId="0" applyFont="1" applyFill="1" applyBorder="1" applyAlignment="1">
      <alignment horizontal="center" vertical="center"/>
    </xf>
    <xf numFmtId="0" fontId="21" fillId="15" borderId="144" xfId="0" applyFont="1" applyFill="1" applyBorder="1" applyAlignment="1">
      <alignment horizontal="center" vertical="center" wrapText="1"/>
    </xf>
    <xf numFmtId="0" fontId="21" fillId="15" borderId="151" xfId="0" applyFont="1" applyFill="1" applyBorder="1" applyAlignment="1">
      <alignment horizontal="center" vertical="center" wrapText="1"/>
    </xf>
    <xf numFmtId="0" fontId="21" fillId="15" borderId="152" xfId="0" applyFont="1" applyFill="1" applyBorder="1" applyAlignment="1">
      <alignment horizontal="center" vertical="center" wrapText="1"/>
    </xf>
    <xf numFmtId="0" fontId="21" fillId="15" borderId="148" xfId="0" applyFont="1" applyFill="1" applyBorder="1" applyAlignment="1">
      <alignment horizontal="center" vertical="center" wrapText="1"/>
    </xf>
    <xf numFmtId="0" fontId="21" fillId="15" borderId="153" xfId="0" applyFont="1" applyFill="1" applyBorder="1" applyAlignment="1">
      <alignment horizontal="center" vertical="center" wrapText="1"/>
    </xf>
    <xf numFmtId="0" fontId="21" fillId="14" borderId="136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/>
    </xf>
    <xf numFmtId="0" fontId="21" fillId="14" borderId="139" xfId="0" applyFont="1" applyFill="1" applyBorder="1" applyAlignment="1">
      <alignment horizontal="center" vertical="center"/>
    </xf>
    <xf numFmtId="0" fontId="21" fillId="15" borderId="124" xfId="0" applyFont="1" applyFill="1" applyBorder="1" applyAlignment="1">
      <alignment horizontal="center" vertical="center" wrapText="1"/>
    </xf>
    <xf numFmtId="0" fontId="21" fillId="15" borderId="119" xfId="0" applyFont="1" applyFill="1" applyBorder="1" applyAlignment="1">
      <alignment horizontal="center" vertical="center" wrapText="1"/>
    </xf>
    <xf numFmtId="0" fontId="21" fillId="15" borderId="120" xfId="0" applyFont="1" applyFill="1" applyBorder="1" applyAlignment="1">
      <alignment horizontal="center" vertical="center" wrapText="1"/>
    </xf>
    <xf numFmtId="0" fontId="21" fillId="15" borderId="131" xfId="0" applyFont="1" applyFill="1" applyBorder="1" applyAlignment="1">
      <alignment horizontal="center" vertical="center" wrapText="1"/>
    </xf>
    <xf numFmtId="0" fontId="21" fillId="15" borderId="122" xfId="0" applyFont="1" applyFill="1" applyBorder="1" applyAlignment="1">
      <alignment horizontal="center" vertical="center" wrapText="1"/>
    </xf>
    <xf numFmtId="0" fontId="21" fillId="15" borderId="123" xfId="0" applyFont="1" applyFill="1" applyBorder="1" applyAlignment="1">
      <alignment horizontal="center" vertical="center" wrapText="1"/>
    </xf>
    <xf numFmtId="0" fontId="21" fillId="15" borderId="136" xfId="0" applyFont="1" applyFill="1" applyBorder="1" applyAlignment="1">
      <alignment horizontal="center" vertical="center" wrapText="1"/>
    </xf>
    <xf numFmtId="0" fontId="21" fillId="15" borderId="137" xfId="0" applyFont="1" applyFill="1" applyBorder="1" applyAlignment="1">
      <alignment horizontal="center" vertical="center" wrapText="1"/>
    </xf>
    <xf numFmtId="0" fontId="21" fillId="15" borderId="139" xfId="0" applyFont="1" applyFill="1" applyBorder="1" applyAlignment="1">
      <alignment horizontal="center" vertical="center" wrapText="1"/>
    </xf>
    <xf numFmtId="0" fontId="21" fillId="15" borderId="138" xfId="0" applyFont="1" applyFill="1" applyBorder="1" applyAlignment="1">
      <alignment horizontal="center" vertical="center" wrapText="1"/>
    </xf>
    <xf numFmtId="0" fontId="21" fillId="15" borderId="129" xfId="0" applyFont="1" applyFill="1" applyBorder="1" applyAlignment="1">
      <alignment horizontal="center" vertical="center" wrapText="1"/>
    </xf>
    <xf numFmtId="0" fontId="21" fillId="15" borderId="130" xfId="0" applyFont="1" applyFill="1" applyBorder="1" applyAlignment="1">
      <alignment horizontal="center" vertical="center" wrapText="1"/>
    </xf>
    <xf numFmtId="0" fontId="21" fillId="15" borderId="83" xfId="0" applyFont="1" applyFill="1" applyBorder="1" applyAlignment="1">
      <alignment horizontal="center" vertical="center" wrapText="1"/>
    </xf>
    <xf numFmtId="0" fontId="21" fillId="15" borderId="12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/>
    </xf>
    <xf numFmtId="0" fontId="21" fillId="15" borderId="141" xfId="0" applyFont="1" applyFill="1" applyBorder="1" applyAlignment="1">
      <alignment horizontal="center" vertical="center" wrapText="1"/>
    </xf>
    <xf numFmtId="0" fontId="21" fillId="15" borderId="135" xfId="0" applyFont="1" applyFill="1" applyBorder="1" applyAlignment="1">
      <alignment horizontal="center" vertical="center" wrapText="1"/>
    </xf>
    <xf numFmtId="0" fontId="21" fillId="15" borderId="142" xfId="0" applyFont="1" applyFill="1" applyBorder="1" applyAlignment="1">
      <alignment horizontal="center" vertical="center" wrapText="1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31" fillId="6" borderId="26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4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4" xfId="3" applyFont="1" applyFill="1" applyBorder="1" applyAlignment="1">
      <alignment horizontal="left" vertical="center" wrapText="1"/>
    </xf>
    <xf numFmtId="0" fontId="32" fillId="6" borderId="10" xfId="3" applyFont="1" applyFill="1" applyBorder="1" applyAlignment="1">
      <alignment horizontal="left" vertical="top" wrapText="1"/>
    </xf>
    <xf numFmtId="0" fontId="31" fillId="6" borderId="12" xfId="3" applyFont="1" applyFill="1" applyBorder="1" applyAlignment="1">
      <alignment horizontal="left" vertical="top" wrapText="1"/>
    </xf>
    <xf numFmtId="0" fontId="31" fillId="6" borderId="30" xfId="3" applyFont="1" applyFill="1" applyBorder="1" applyAlignment="1">
      <alignment horizontal="left" vertical="top" wrapText="1"/>
    </xf>
    <xf numFmtId="0" fontId="31" fillId="6" borderId="60" xfId="3" applyFont="1" applyFill="1" applyBorder="1" applyAlignment="1">
      <alignment horizontal="left" vertical="top" wrapText="1"/>
    </xf>
    <xf numFmtId="0" fontId="10" fillId="0" borderId="55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14" xfId="3" applyBorder="1" applyAlignment="1">
      <alignment horizontal="center" vertical="center" wrapText="1"/>
    </xf>
    <xf numFmtId="0" fontId="10" fillId="0" borderId="56" xfId="3" applyBorder="1" applyAlignment="1">
      <alignment horizontal="center" vertical="center" wrapText="1"/>
    </xf>
    <xf numFmtId="0" fontId="10" fillId="6" borderId="10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4" xfId="3" applyFill="1" applyBorder="1" applyAlignment="1">
      <alignment horizontal="center" wrapText="1"/>
    </xf>
    <xf numFmtId="0" fontId="10" fillId="6" borderId="12" xfId="3" applyFill="1" applyBorder="1" applyAlignment="1">
      <alignment horizontal="center" wrapText="1"/>
    </xf>
    <xf numFmtId="0" fontId="10" fillId="6" borderId="30" xfId="3" applyFill="1" applyBorder="1" applyAlignment="1">
      <alignment horizontal="center" wrapText="1"/>
    </xf>
    <xf numFmtId="0" fontId="10" fillId="6" borderId="60" xfId="3" applyFill="1" applyBorder="1" applyAlignment="1">
      <alignment horizontal="center" wrapText="1"/>
    </xf>
    <xf numFmtId="0" fontId="10" fillId="20" borderId="10" xfId="3" applyFill="1" applyBorder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10" fillId="20" borderId="14" xfId="3" applyFill="1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5" xfId="3" applyBorder="1" applyAlignment="1">
      <alignment horizontal="center" vertical="center" wrapText="1"/>
    </xf>
    <xf numFmtId="0" fontId="10" fillId="0" borderId="50" xfId="3" applyBorder="1" applyAlignment="1">
      <alignment horizontal="center" vertical="center" wrapText="1"/>
    </xf>
    <xf numFmtId="0" fontId="10" fillId="0" borderId="7" xfId="3" applyBorder="1" applyAlignment="1">
      <alignment horizontal="center" vertical="center" wrapText="1"/>
    </xf>
    <xf numFmtId="0" fontId="10" fillId="0" borderId="6" xfId="3" applyBorder="1" applyAlignment="1">
      <alignment horizontal="center" vertical="center" wrapText="1"/>
    </xf>
    <xf numFmtId="0" fontId="10" fillId="0" borderId="80" xfId="3" applyBorder="1" applyAlignment="1">
      <alignment horizontal="center" vertical="center" wrapText="1"/>
    </xf>
    <xf numFmtId="0" fontId="9" fillId="17" borderId="10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14" xfId="3" applyFont="1" applyFill="1" applyBorder="1" applyAlignment="1">
      <alignment horizontal="center" vertical="center" wrapText="1"/>
    </xf>
    <xf numFmtId="0" fontId="26" fillId="18" borderId="0" xfId="3" applyFont="1" applyFill="1" applyAlignment="1">
      <alignment horizontal="center" vertical="center"/>
    </xf>
    <xf numFmtId="0" fontId="9" fillId="17" borderId="26" xfId="3" applyFont="1" applyFill="1" applyBorder="1" applyAlignment="1">
      <alignment horizontal="center" vertical="center" wrapText="1"/>
    </xf>
    <xf numFmtId="0" fontId="9" fillId="17" borderId="11" xfId="3" applyFont="1" applyFill="1" applyBorder="1" applyAlignment="1">
      <alignment horizontal="center" vertical="center" wrapText="1"/>
    </xf>
    <xf numFmtId="0" fontId="9" fillId="17" borderId="2" xfId="3" applyFont="1" applyFill="1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27" xfId="3" applyBorder="1" applyAlignment="1">
      <alignment horizontal="center" vertical="center"/>
    </xf>
    <xf numFmtId="0" fontId="10" fillId="0" borderId="28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10" fillId="0" borderId="19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10" fillId="0" borderId="67" xfId="3" applyBorder="1" applyAlignment="1">
      <alignment horizontal="center" vertical="center" wrapText="1"/>
    </xf>
    <xf numFmtId="0" fontId="10" fillId="0" borderId="82" xfId="3" applyBorder="1" applyAlignment="1">
      <alignment horizontal="center" vertical="center" wrapText="1"/>
    </xf>
    <xf numFmtId="0" fontId="10" fillId="0" borderId="51" xfId="3" applyNumberFormat="1" applyBorder="1" applyAlignment="1">
      <alignment horizontal="center" vertical="center"/>
    </xf>
    <xf numFmtId="0" fontId="10" fillId="0" borderId="29" xfId="3" applyNumberFormat="1" applyBorder="1" applyAlignment="1">
      <alignment horizontal="center" vertical="center"/>
    </xf>
    <xf numFmtId="0" fontId="10" fillId="0" borderId="52" xfId="3" applyNumberFormat="1" applyBorder="1" applyAlignment="1">
      <alignment horizontal="center" vertical="center"/>
    </xf>
    <xf numFmtId="0" fontId="10" fillId="0" borderId="53" xfId="3" applyNumberFormat="1" applyBorder="1" applyAlignment="1">
      <alignment horizontal="center" vertical="center"/>
    </xf>
    <xf numFmtId="0" fontId="10" fillId="0" borderId="67" xfId="3" applyNumberFormat="1" applyBorder="1" applyAlignment="1">
      <alignment horizontal="center" vertical="center"/>
    </xf>
    <xf numFmtId="0" fontId="10" fillId="0" borderId="82" xfId="3" applyNumberFormat="1" applyBorder="1" applyAlignment="1">
      <alignment horizontal="center" vertical="center"/>
    </xf>
    <xf numFmtId="0" fontId="10" fillId="0" borderId="27" xfId="3" applyNumberFormat="1" applyBorder="1" applyAlignment="1">
      <alignment horizontal="center" vertical="center"/>
    </xf>
    <xf numFmtId="0" fontId="10" fillId="0" borderId="28" xfId="3" applyNumberFormat="1" applyBorder="1" applyAlignment="1">
      <alignment horizontal="center" vertical="center"/>
    </xf>
    <xf numFmtId="0" fontId="10" fillId="0" borderId="65" xfId="3" applyNumberFormat="1" applyBorder="1" applyAlignment="1">
      <alignment horizontal="center" vertical="center"/>
    </xf>
    <xf numFmtId="0" fontId="10" fillId="6" borderId="85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92" xfId="3" applyFont="1" applyFill="1" applyBorder="1" applyAlignment="1">
      <alignment horizontal="center" vertical="center"/>
    </xf>
    <xf numFmtId="0" fontId="9" fillId="19" borderId="16" xfId="3" applyFont="1" applyFill="1" applyBorder="1" applyAlignment="1">
      <alignment horizontal="center" vertical="center" wrapText="1"/>
    </xf>
    <xf numFmtId="0" fontId="9" fillId="19" borderId="17" xfId="3" applyFont="1" applyFill="1" applyBorder="1" applyAlignment="1">
      <alignment horizontal="center" vertical="center" wrapText="1"/>
    </xf>
    <xf numFmtId="0" fontId="9" fillId="19" borderId="15" xfId="3" applyFont="1" applyFill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3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/>
    </xf>
    <xf numFmtId="0" fontId="10" fillId="0" borderId="73" xfId="3" applyBorder="1" applyAlignment="1">
      <alignment horizontal="center" vertical="center"/>
    </xf>
    <xf numFmtId="0" fontId="10" fillId="0" borderId="71" xfId="3" applyBorder="1" applyAlignment="1">
      <alignment horizontal="center" vertical="center"/>
    </xf>
    <xf numFmtId="0" fontId="10" fillId="0" borderId="66" xfId="3" applyBorder="1" applyAlignment="1">
      <alignment horizontal="center" vertical="center"/>
    </xf>
    <xf numFmtId="0" fontId="9" fillId="17" borderId="26" xfId="3" applyFont="1" applyFill="1" applyBorder="1" applyAlignment="1">
      <alignment horizontal="center" vertical="top" wrapText="1"/>
    </xf>
    <xf numFmtId="0" fontId="9" fillId="17" borderId="11" xfId="3" applyFont="1" applyFill="1" applyBorder="1" applyAlignment="1">
      <alignment horizontal="center" vertical="top" wrapText="1"/>
    </xf>
    <xf numFmtId="0" fontId="9" fillId="17" borderId="2" xfId="3" applyFont="1" applyFill="1" applyBorder="1" applyAlignment="1">
      <alignment horizontal="center" vertical="top" wrapText="1"/>
    </xf>
    <xf numFmtId="0" fontId="10" fillId="17" borderId="69" xfId="3" applyFill="1" applyBorder="1" applyAlignment="1">
      <alignment horizontal="center" vertical="center" wrapText="1"/>
    </xf>
    <xf numFmtId="0" fontId="10" fillId="17" borderId="73" xfId="3" applyFill="1" applyBorder="1" applyAlignment="1">
      <alignment horizontal="center" vertical="center" wrapText="1"/>
    </xf>
    <xf numFmtId="0" fontId="10" fillId="17" borderId="71" xfId="3" applyFill="1" applyBorder="1" applyAlignment="1">
      <alignment horizontal="center" vertical="center" wrapText="1"/>
    </xf>
    <xf numFmtId="0" fontId="10" fillId="17" borderId="73" xfId="3" applyFill="1" applyBorder="1" applyAlignment="1">
      <alignment horizontal="center" vertical="center"/>
    </xf>
    <xf numFmtId="0" fontId="10" fillId="17" borderId="66" xfId="3" applyFill="1" applyBorder="1" applyAlignment="1">
      <alignment horizontal="center" vertical="center"/>
    </xf>
    <xf numFmtId="0" fontId="10" fillId="6" borderId="29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0" fontId="9" fillId="6" borderId="10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10" fillId="6" borderId="0" xfId="3" applyFill="1" applyAlignment="1">
      <alignment horizontal="center" vertical="center" wrapText="1"/>
    </xf>
    <xf numFmtId="0" fontId="10" fillId="6" borderId="56" xfId="3" applyFill="1" applyBorder="1" applyAlignment="1">
      <alignment horizontal="center" vertical="center" wrapText="1"/>
    </xf>
    <xf numFmtId="0" fontId="10" fillId="6" borderId="14" xfId="3" applyFill="1" applyBorder="1" applyAlignment="1">
      <alignment horizontal="center" vertical="center" wrapText="1"/>
    </xf>
    <xf numFmtId="0" fontId="9" fillId="4" borderId="10" xfId="3" applyFont="1" applyFill="1" applyBorder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0" fontId="10" fillId="4" borderId="10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6" borderId="67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0" fontId="9" fillId="17" borderId="23" xfId="3" applyFont="1" applyFill="1" applyBorder="1" applyAlignment="1">
      <alignment horizontal="center" vertical="center"/>
    </xf>
    <xf numFmtId="0" fontId="9" fillId="17" borderId="28" xfId="3" applyFont="1" applyFill="1" applyBorder="1" applyAlignment="1">
      <alignment horizontal="center" vertical="center"/>
    </xf>
    <xf numFmtId="0" fontId="9" fillId="17" borderId="65" xfId="3" applyFont="1" applyFill="1" applyBorder="1" applyAlignment="1">
      <alignment horizontal="center" vertical="center"/>
    </xf>
    <xf numFmtId="0" fontId="10" fillId="4" borderId="53" xfId="3" applyFill="1" applyBorder="1" applyAlignment="1">
      <alignment horizontal="center" vertical="center"/>
    </xf>
    <xf numFmtId="0" fontId="10" fillId="4" borderId="67" xfId="3" applyFill="1" applyBorder="1" applyAlignment="1">
      <alignment horizontal="center" vertical="center"/>
    </xf>
    <xf numFmtId="0" fontId="10" fillId="4" borderId="82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28" xfId="3" applyFill="1" applyBorder="1" applyAlignment="1">
      <alignment horizontal="center" vertical="center"/>
    </xf>
    <xf numFmtId="0" fontId="10" fillId="4" borderId="65" xfId="3" applyFill="1" applyBorder="1" applyAlignment="1">
      <alignment horizontal="center" vertical="center"/>
    </xf>
    <xf numFmtId="0" fontId="9" fillId="6" borderId="10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17" borderId="72" xfId="3" applyFill="1" applyBorder="1" applyAlignment="1">
      <alignment horizontal="center" vertical="center" wrapText="1"/>
    </xf>
    <xf numFmtId="0" fontId="10" fillId="17" borderId="66" xfId="3" applyFill="1" applyBorder="1" applyAlignment="1">
      <alignment horizontal="center" vertical="center" wrapText="1"/>
    </xf>
    <xf numFmtId="0" fontId="10" fillId="6" borderId="98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10" xfId="3" applyFill="1" applyBorder="1" applyAlignment="1">
      <alignment horizontal="left" vertical="top" wrapText="1"/>
    </xf>
    <xf numFmtId="0" fontId="10" fillId="6" borderId="0" xfId="3" applyFill="1" applyAlignment="1">
      <alignment horizontal="left" vertical="top" wrapText="1"/>
    </xf>
    <xf numFmtId="0" fontId="10" fillId="6" borderId="56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53" xfId="3" applyFill="1" applyBorder="1" applyAlignment="1">
      <alignment horizontal="center" vertical="center" wrapText="1"/>
    </xf>
    <xf numFmtId="0" fontId="10" fillId="6" borderId="82" xfId="3" applyFill="1" applyBorder="1" applyAlignment="1">
      <alignment horizontal="center" vertical="center" wrapText="1"/>
    </xf>
    <xf numFmtId="1" fontId="10" fillId="6" borderId="20" xfId="3" applyNumberFormat="1" applyFill="1" applyBorder="1" applyAlignment="1">
      <alignment horizontal="center" vertical="center" wrapText="1"/>
    </xf>
    <xf numFmtId="1" fontId="10" fillId="6" borderId="22" xfId="3" applyNumberForma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10" fillId="6" borderId="60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17" borderId="11" xfId="3" applyFill="1" applyBorder="1" applyAlignment="1">
      <alignment horizontal="center" vertical="center" wrapText="1"/>
    </xf>
    <xf numFmtId="0" fontId="28" fillId="6" borderId="10" xfId="3" applyFont="1" applyFill="1" applyBorder="1" applyAlignment="1">
      <alignment horizontal="left" vertical="top" wrapText="1"/>
    </xf>
    <xf numFmtId="0" fontId="10" fillId="6" borderId="14" xfId="3" applyFill="1" applyBorder="1" applyAlignment="1">
      <alignment horizontal="left" vertical="top" wrapText="1"/>
    </xf>
    <xf numFmtId="0" fontId="10" fillId="6" borderId="12" xfId="3" applyFill="1" applyBorder="1" applyAlignment="1">
      <alignment horizontal="left" vertical="top" wrapText="1"/>
    </xf>
    <xf numFmtId="0" fontId="10" fillId="6" borderId="30" xfId="3" applyFill="1" applyBorder="1" applyAlignment="1">
      <alignment horizontal="left" vertical="top" wrapText="1"/>
    </xf>
    <xf numFmtId="0" fontId="10" fillId="6" borderId="60" xfId="3" applyFill="1" applyBorder="1" applyAlignment="1">
      <alignment horizontal="left" vertical="top" wrapText="1"/>
    </xf>
    <xf numFmtId="2" fontId="10" fillId="6" borderId="0" xfId="3" applyNumberFormat="1" applyFill="1" applyAlignment="1">
      <alignment horizontal="center" vertical="center" wrapText="1"/>
    </xf>
    <xf numFmtId="0" fontId="10" fillId="4" borderId="12" xfId="3" applyFill="1" applyBorder="1" applyAlignment="1">
      <alignment horizontal="center" vertical="center" wrapText="1"/>
    </xf>
    <xf numFmtId="0" fontId="10" fillId="4" borderId="30" xfId="3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2" fontId="10" fillId="6" borderId="58" xfId="3" applyNumberFormat="1" applyFill="1" applyBorder="1" applyAlignment="1">
      <alignment horizontal="center" vertical="center" wrapText="1"/>
    </xf>
    <xf numFmtId="2" fontId="10" fillId="6" borderId="97" xfId="3" applyNumberFormat="1" applyFill="1" applyBorder="1" applyAlignment="1">
      <alignment horizontal="center" vertical="center" wrapText="1"/>
    </xf>
    <xf numFmtId="2" fontId="10" fillId="6" borderId="76" xfId="3" applyNumberFormat="1" applyFill="1" applyBorder="1" applyAlignment="1">
      <alignment horizontal="center" vertic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65" xfId="3" applyFill="1" applyBorder="1" applyAlignment="1">
      <alignment horizontal="center" vertical="center" wrapText="1"/>
    </xf>
    <xf numFmtId="0" fontId="10" fillId="6" borderId="97" xfId="3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2" fontId="10" fillId="6" borderId="22" xfId="3" applyNumberFormat="1" applyFill="1" applyBorder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0" fontId="10" fillId="6" borderId="22" xfId="3" applyFill="1" applyBorder="1" applyAlignment="1">
      <alignment horizontal="center" vertical="center" wrapText="1"/>
    </xf>
    <xf numFmtId="0" fontId="10" fillId="6" borderId="20" xfId="3" applyFill="1" applyBorder="1" applyAlignment="1">
      <alignment horizontal="center" vertical="center" wrapText="1"/>
    </xf>
    <xf numFmtId="0" fontId="10" fillId="6" borderId="78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10" fillId="0" borderId="51" xfId="3" quotePrefix="1" applyBorder="1" applyAlignment="1">
      <alignment horizontal="center" vertical="center" wrapText="1"/>
    </xf>
    <xf numFmtId="0" fontId="10" fillId="0" borderId="29" xfId="3" quotePrefix="1" applyBorder="1" applyAlignment="1">
      <alignment horizontal="center" vertical="center" wrapText="1"/>
    </xf>
    <xf numFmtId="0" fontId="10" fillId="0" borderId="95" xfId="3" quotePrefix="1" applyBorder="1" applyAlignment="1">
      <alignment horizontal="center" vertical="center" wrapText="1"/>
    </xf>
    <xf numFmtId="0" fontId="10" fillId="0" borderId="55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4" xfId="3" quotePrefix="1" applyBorder="1" applyAlignment="1">
      <alignment horizontal="center" vertical="center" wrapText="1"/>
    </xf>
    <xf numFmtId="0" fontId="10" fillId="0" borderId="53" xfId="3" quotePrefix="1" applyBorder="1" applyAlignment="1">
      <alignment horizontal="center" vertical="center" wrapText="1"/>
    </xf>
    <xf numFmtId="0" fontId="10" fillId="0" borderId="67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8" xfId="3" applyBorder="1" applyAlignment="1">
      <alignment horizontal="center" vertical="center" wrapText="1"/>
    </xf>
    <xf numFmtId="0" fontId="10" fillId="0" borderId="97" xfId="3" applyBorder="1" applyAlignment="1">
      <alignment horizontal="center" vertical="center" wrapText="1"/>
    </xf>
    <xf numFmtId="0" fontId="10" fillId="0" borderId="77" xfId="3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2" fontId="10" fillId="6" borderId="67" xfId="3" applyNumberFormat="1" applyFill="1" applyBorder="1" applyAlignment="1">
      <alignment horizontal="center" vertical="center" wrapText="1"/>
    </xf>
    <xf numFmtId="2" fontId="10" fillId="6" borderId="82" xfId="3" applyNumberFormat="1" applyFill="1" applyBorder="1" applyAlignment="1">
      <alignment horizontal="center" vertical="center" wrapText="1"/>
    </xf>
    <xf numFmtId="0" fontId="9" fillId="19" borderId="10" xfId="3" applyFont="1" applyFill="1" applyBorder="1" applyAlignment="1">
      <alignment horizontal="center" vertical="center" wrapText="1"/>
    </xf>
    <xf numFmtId="0" fontId="9" fillId="19" borderId="0" xfId="3" applyFont="1" applyFill="1" applyAlignment="1">
      <alignment horizontal="center" vertical="center" wrapText="1"/>
    </xf>
    <xf numFmtId="0" fontId="9" fillId="19" borderId="14" xfId="3" applyFont="1" applyFill="1" applyBorder="1" applyAlignment="1">
      <alignment horizontal="center" vertical="center" wrapText="1"/>
    </xf>
    <xf numFmtId="0" fontId="10" fillId="6" borderId="26" xfId="3" applyFill="1" applyBorder="1" applyAlignment="1">
      <alignment horizontal="center" vertical="center" wrapText="1"/>
    </xf>
    <xf numFmtId="0" fontId="10" fillId="6" borderId="11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9" fillId="17" borderId="12" xfId="3" applyFont="1" applyFill="1" applyBorder="1" applyAlignment="1">
      <alignment horizontal="center" vertical="center" wrapText="1"/>
    </xf>
    <xf numFmtId="0" fontId="9" fillId="17" borderId="30" xfId="3" applyFont="1" applyFill="1" applyBorder="1" applyAlignment="1">
      <alignment horizontal="center" vertical="center" wrapText="1"/>
    </xf>
    <xf numFmtId="0" fontId="9" fillId="17" borderId="60" xfId="3" applyFont="1" applyFill="1" applyBorder="1" applyAlignment="1">
      <alignment horizontal="center" vertical="center" wrapText="1"/>
    </xf>
    <xf numFmtId="0" fontId="10" fillId="21" borderId="10" xfId="3" applyFill="1" applyBorder="1" applyAlignment="1">
      <alignment horizontal="center" vertical="center" wrapText="1"/>
    </xf>
    <xf numFmtId="0" fontId="10" fillId="21" borderId="0" xfId="3" applyFill="1" applyAlignment="1">
      <alignment horizontal="center" vertical="center" wrapText="1"/>
    </xf>
    <xf numFmtId="0" fontId="10" fillId="21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0" fontId="30" fillId="6" borderId="10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4" xfId="3" applyFont="1" applyFill="1" applyBorder="1" applyAlignment="1">
      <alignment horizontal="center" vertical="center" wrapText="1"/>
    </xf>
    <xf numFmtId="0" fontId="30" fillId="6" borderId="12" xfId="3" applyFont="1" applyFill="1" applyBorder="1" applyAlignment="1">
      <alignment horizontal="center" vertical="center" wrapText="1"/>
    </xf>
    <xf numFmtId="0" fontId="30" fillId="6" borderId="30" xfId="3" applyFont="1" applyFill="1" applyBorder="1" applyAlignment="1">
      <alignment horizontal="center" vertical="center" wrapText="1"/>
    </xf>
    <xf numFmtId="0" fontId="30" fillId="6" borderId="60" xfId="3" applyFont="1" applyFill="1" applyBorder="1" applyAlignment="1">
      <alignment horizontal="center" vertical="center" wrapText="1"/>
    </xf>
    <xf numFmtId="0" fontId="9" fillId="6" borderId="10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4" xfId="3" applyFont="1" applyFill="1" applyBorder="1" applyAlignment="1">
      <alignment horizontal="center" vertical="center" wrapText="1"/>
    </xf>
    <xf numFmtId="0" fontId="9" fillId="6" borderId="12" xfId="3" applyFont="1" applyFill="1" applyBorder="1" applyAlignment="1">
      <alignment horizontal="center" vertical="center" wrapText="1"/>
    </xf>
    <xf numFmtId="0" fontId="9" fillId="6" borderId="30" xfId="3" applyFont="1" applyFill="1" applyBorder="1" applyAlignment="1">
      <alignment horizontal="center" vertical="center" wrapText="1"/>
    </xf>
    <xf numFmtId="0" fontId="9" fillId="6" borderId="60" xfId="3" applyFont="1" applyFill="1" applyBorder="1" applyAlignment="1">
      <alignment horizontal="center" vertical="center" wrapText="1"/>
    </xf>
    <xf numFmtId="0" fontId="9" fillId="19" borderId="26" xfId="3" applyFont="1" applyFill="1" applyBorder="1" applyAlignment="1">
      <alignment horizontal="center" vertical="center" wrapText="1"/>
    </xf>
    <xf numFmtId="0" fontId="9" fillId="19" borderId="11" xfId="3" applyFont="1" applyFill="1" applyBorder="1" applyAlignment="1">
      <alignment horizontal="center" vertical="center" wrapText="1"/>
    </xf>
    <xf numFmtId="0" fontId="9" fillId="19" borderId="2" xfId="3" applyFont="1" applyFill="1" applyBorder="1" applyAlignment="1">
      <alignment horizontal="center" vertical="center" wrapText="1"/>
    </xf>
    <xf numFmtId="0" fontId="30" fillId="18" borderId="0" xfId="3" applyFont="1" applyFill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10" fillId="17" borderId="24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10" fillId="4" borderId="82" xfId="3" applyFill="1" applyBorder="1" applyAlignment="1">
      <alignment horizontal="center" vertical="center" wrapText="1"/>
    </xf>
    <xf numFmtId="0" fontId="9" fillId="19" borderId="24" xfId="3" applyFont="1" applyFill="1" applyBorder="1" applyAlignment="1">
      <alignment horizontal="center" vertical="center" wrapText="1"/>
    </xf>
    <xf numFmtId="0" fontId="10" fillId="4" borderId="24" xfId="3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9" fillId="18" borderId="67" xfId="3" applyFont="1" applyFill="1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2" fontId="10" fillId="0" borderId="24" xfId="3" applyNumberFormat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28" xfId="3" applyNumberFormat="1" applyFill="1" applyBorder="1" applyAlignment="1">
      <alignment horizontal="center" vertical="center" wrapText="1"/>
    </xf>
    <xf numFmtId="2" fontId="10" fillId="4" borderId="54" xfId="3" applyNumberFormat="1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4" borderId="54" xfId="3" applyFill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2" fontId="10" fillId="0" borderId="29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53" xfId="3" applyNumberFormat="1" applyBorder="1" applyAlignment="1">
      <alignment horizontal="center" vertical="center" wrapText="1"/>
    </xf>
    <xf numFmtId="2" fontId="10" fillId="0" borderId="67" xfId="3" applyNumberFormat="1" applyBorder="1" applyAlignment="1">
      <alignment horizontal="center" vertical="center" wrapText="1"/>
    </xf>
    <xf numFmtId="2" fontId="10" fillId="0" borderId="82" xfId="3" applyNumberFormat="1" applyBorder="1" applyAlignment="1">
      <alignment horizontal="center" vertical="center" wrapText="1"/>
    </xf>
    <xf numFmtId="2" fontId="10" fillId="17" borderId="27" xfId="3" applyNumberFormat="1" applyFill="1" applyBorder="1" applyAlignment="1">
      <alignment horizontal="center" vertical="center" wrapText="1"/>
    </xf>
    <xf numFmtId="2" fontId="10" fillId="17" borderId="28" xfId="3" applyNumberFormat="1" applyFill="1" applyBorder="1" applyAlignment="1">
      <alignment horizontal="center" vertical="center" wrapText="1"/>
    </xf>
    <xf numFmtId="2" fontId="10" fillId="17" borderId="54" xfId="3" applyNumberFormat="1" applyFill="1" applyBorder="1" applyAlignment="1">
      <alignment horizontal="center" vertical="center" wrapText="1"/>
    </xf>
    <xf numFmtId="0" fontId="10" fillId="4" borderId="24" xfId="3" applyFill="1" applyBorder="1" applyAlignment="1">
      <alignment horizontal="left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22" xfId="3" applyBorder="1" applyAlignment="1">
      <alignment horizontal="center" vertical="center" wrapText="1"/>
    </xf>
    <xf numFmtId="0" fontId="10" fillId="19" borderId="24" xfId="3" applyFill="1" applyBorder="1" applyAlignment="1">
      <alignment horizontal="center" vertical="center" wrapText="1"/>
    </xf>
    <xf numFmtId="0" fontId="9" fillId="19" borderId="27" xfId="3" applyFont="1" applyFill="1" applyBorder="1" applyAlignment="1">
      <alignment horizontal="center" vertical="center" wrapText="1"/>
    </xf>
    <xf numFmtId="0" fontId="9" fillId="19" borderId="28" xfId="3" applyFont="1" applyFill="1" applyBorder="1" applyAlignment="1">
      <alignment horizontal="center" vertical="center" wrapText="1"/>
    </xf>
    <xf numFmtId="0" fontId="9" fillId="19" borderId="54" xfId="3" applyFont="1" applyFill="1" applyBorder="1" applyAlignment="1">
      <alignment horizontal="center" vertical="center" wrapText="1"/>
    </xf>
    <xf numFmtId="0" fontId="10" fillId="17" borderId="27" xfId="3" applyFill="1" applyBorder="1" applyAlignment="1">
      <alignment horizontal="center" vertical="center" wrapText="1"/>
    </xf>
    <xf numFmtId="0" fontId="10" fillId="17" borderId="28" xfId="3" applyFill="1" applyBorder="1" applyAlignment="1">
      <alignment horizontal="center" vertical="center" wrapText="1"/>
    </xf>
    <xf numFmtId="0" fontId="10" fillId="17" borderId="54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0" fontId="10" fillId="4" borderId="67" xfId="3" applyFill="1" applyBorder="1" applyAlignment="1">
      <alignment horizontal="center" vertical="center" wrapText="1"/>
    </xf>
    <xf numFmtId="0" fontId="10" fillId="0" borderId="24" xfId="3" applyBorder="1" applyAlignment="1">
      <alignment horizontal="left" vertical="top" wrapText="1"/>
    </xf>
    <xf numFmtId="0" fontId="10" fillId="0" borderId="51" xfId="3" applyBorder="1" applyAlignment="1">
      <alignment horizontal="left" vertical="center" wrapText="1"/>
    </xf>
    <xf numFmtId="0" fontId="10" fillId="0" borderId="29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53" xfId="3" applyBorder="1" applyAlignment="1">
      <alignment horizontal="left" vertical="center" wrapText="1"/>
    </xf>
    <xf numFmtId="0" fontId="10" fillId="0" borderId="67" xfId="3" applyBorder="1" applyAlignment="1">
      <alignment horizontal="left" vertical="center" wrapText="1"/>
    </xf>
    <xf numFmtId="0" fontId="10" fillId="0" borderId="82" xfId="3" applyBorder="1" applyAlignment="1">
      <alignment horizontal="left" vertical="center" wrapText="1"/>
    </xf>
    <xf numFmtId="0" fontId="10" fillId="0" borderId="24" xfId="3" applyBorder="1" applyAlignment="1">
      <alignment horizontal="left" vertical="center" wrapText="1"/>
    </xf>
    <xf numFmtId="0" fontId="10" fillId="0" borderId="24" xfId="3" applyFont="1" applyBorder="1" applyAlignment="1">
      <alignment horizontal="center" vertical="center" wrapText="1"/>
    </xf>
    <xf numFmtId="0" fontId="10" fillId="0" borderId="24" xfId="3" applyFont="1" applyBorder="1" applyAlignment="1">
      <alignment horizontal="left" vertical="center" wrapText="1"/>
    </xf>
    <xf numFmtId="0" fontId="10" fillId="4" borderId="24" xfId="3" applyFill="1" applyBorder="1" applyAlignment="1">
      <alignment horizontal="center" wrapText="1"/>
    </xf>
    <xf numFmtId="0" fontId="10" fillId="17" borderId="24" xfId="3" applyFill="1" applyBorder="1" applyAlignment="1">
      <alignment horizontal="center" wrapText="1"/>
    </xf>
    <xf numFmtId="0" fontId="9" fillId="0" borderId="24" xfId="3" applyFont="1" applyBorder="1" applyAlignment="1">
      <alignment horizontal="left" vertical="center" wrapText="1"/>
    </xf>
    <xf numFmtId="0" fontId="9" fillId="0" borderId="27" xfId="3" applyFont="1" applyBorder="1" applyAlignment="1">
      <alignment horizontal="left" wrapText="1"/>
    </xf>
    <xf numFmtId="0" fontId="9" fillId="0" borderId="54" xfId="3" applyFont="1" applyBorder="1" applyAlignment="1">
      <alignment horizontal="left" wrapText="1"/>
    </xf>
    <xf numFmtId="0" fontId="10" fillId="0" borderId="11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30" xfId="3" applyBorder="1" applyAlignment="1">
      <alignment horizontal="center" vertical="center" wrapText="1"/>
    </xf>
    <xf numFmtId="0" fontId="10" fillId="0" borderId="60" xfId="3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12" xfId="3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0" borderId="24" xfId="3" applyFont="1" applyBorder="1" applyAlignment="1">
      <alignment horizontal="center" wrapText="1"/>
    </xf>
    <xf numFmtId="14" fontId="10" fillId="0" borderId="24" xfId="3" applyNumberFormat="1" applyBorder="1" applyAlignment="1">
      <alignment horizontal="center" vertical="center" wrapText="1"/>
    </xf>
    <xf numFmtId="0" fontId="10" fillId="0" borderId="24" xfId="3" applyNumberFormat="1" applyBorder="1" applyAlignment="1">
      <alignment horizontal="center" vertical="center" wrapText="1"/>
    </xf>
    <xf numFmtId="0" fontId="10" fillId="0" borderId="27" xfId="3" applyBorder="1" applyAlignment="1">
      <alignment horizontal="center" wrapText="1"/>
    </xf>
    <xf numFmtId="0" fontId="10" fillId="0" borderId="28" xfId="3" applyBorder="1" applyAlignment="1">
      <alignment horizontal="center" wrapText="1"/>
    </xf>
    <xf numFmtId="0" fontId="10" fillId="0" borderId="54" xfId="3" applyBorder="1" applyAlignment="1">
      <alignment horizontal="center" wrapText="1"/>
    </xf>
    <xf numFmtId="0" fontId="10" fillId="6" borderId="55" xfId="3" applyFill="1" applyBorder="1" applyAlignment="1">
      <alignment horizontal="left" vertical="top" wrapText="1"/>
    </xf>
    <xf numFmtId="0" fontId="10" fillId="18" borderId="0" xfId="3" applyFill="1" applyAlignment="1">
      <alignment horizontal="center" vertical="center" wrapText="1"/>
    </xf>
    <xf numFmtId="0" fontId="9" fillId="17" borderId="24" xfId="3" applyFont="1" applyFill="1" applyBorder="1" applyAlignment="1">
      <alignment horizontal="center" vertical="center" wrapText="1"/>
    </xf>
    <xf numFmtId="0" fontId="10" fillId="6" borderId="53" xfId="3" applyFill="1" applyBorder="1" applyAlignment="1">
      <alignment horizontal="left" vertical="top" wrapText="1"/>
    </xf>
    <xf numFmtId="0" fontId="10" fillId="6" borderId="67" xfId="3" applyFill="1" applyBorder="1" applyAlignment="1">
      <alignment horizontal="left" vertical="top" wrapText="1"/>
    </xf>
    <xf numFmtId="0" fontId="10" fillId="6" borderId="82" xfId="3" applyFill="1" applyBorder="1" applyAlignment="1">
      <alignment horizontal="left" vertical="top" wrapText="1"/>
    </xf>
    <xf numFmtId="0" fontId="9" fillId="4" borderId="14" xfId="3" applyFont="1" applyFill="1" applyBorder="1" applyAlignment="1">
      <alignment horizontal="center" vertical="center" wrapText="1"/>
    </xf>
    <xf numFmtId="0" fontId="9" fillId="18" borderId="114" xfId="3" applyFont="1" applyFill="1" applyBorder="1" applyAlignment="1">
      <alignment horizontal="center" vertical="center" wrapText="1"/>
    </xf>
    <xf numFmtId="0" fontId="9" fillId="18" borderId="108" xfId="3" applyFont="1" applyFill="1" applyBorder="1" applyAlignment="1">
      <alignment horizontal="center" vertical="center" wrapText="1"/>
    </xf>
    <xf numFmtId="0" fontId="9" fillId="18" borderId="106" xfId="3" applyFont="1" applyFill="1" applyBorder="1" applyAlignment="1">
      <alignment horizontal="center" vertical="center" wrapText="1"/>
    </xf>
    <xf numFmtId="0" fontId="10" fillId="20" borderId="10" xfId="3" applyFill="1" applyBorder="1" applyAlignment="1">
      <alignment horizontal="left" vertical="center" wrapText="1"/>
    </xf>
    <xf numFmtId="0" fontId="10" fillId="20" borderId="0" xfId="3" applyFill="1" applyAlignment="1">
      <alignment horizontal="left" vertical="center" wrapText="1"/>
    </xf>
    <xf numFmtId="0" fontId="10" fillId="20" borderId="14" xfId="3" applyFill="1" applyBorder="1" applyAlignment="1">
      <alignment horizontal="left" vertical="center" wrapText="1"/>
    </xf>
    <xf numFmtId="0" fontId="10" fillId="30" borderId="0" xfId="3" applyFill="1" applyAlignment="1">
      <alignment horizontal="center" vertical="center" wrapText="1"/>
    </xf>
    <xf numFmtId="0" fontId="10" fillId="30" borderId="14" xfId="3" applyFill="1" applyBorder="1" applyAlignment="1">
      <alignment horizontal="center" vertical="center" wrapText="1"/>
    </xf>
    <xf numFmtId="2" fontId="10" fillId="6" borderId="10" xfId="3" applyNumberFormat="1" applyFill="1" applyBorder="1" applyAlignment="1">
      <alignment horizontal="center" vertical="center" wrapText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33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Z:\10-Transfer\GAntunes\Testes_Relat&#243;rio_CVD2\Puxad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48809" y="3324223"/>
          <a:ext cx="11589974" cy="1080000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300-000010EC0000}"/>
            </a:ext>
          </a:extLst>
        </xdr:cNvPr>
        <xdr:cNvGrpSpPr/>
      </xdr:nvGrpSpPr>
      <xdr:grpSpPr>
        <a:xfrm>
          <a:off x="13563600" y="85725"/>
          <a:ext cx="9700534" cy="2097729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3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3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300-00000DEC0000}"/>
            </a:ext>
          </a:extLst>
        </xdr:cNvPr>
        <xdr:cNvGrpSpPr/>
      </xdr:nvGrpSpPr>
      <xdr:grpSpPr>
        <a:xfrm>
          <a:off x="13595919" y="2247900"/>
          <a:ext cx="5514975" cy="1160106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0349822" y="3170464"/>
          <a:ext cx="2274095" cy="2379695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300-000011EC0000}"/>
            </a:ext>
          </a:extLst>
        </xdr:cNvPr>
        <xdr:cNvGrpSpPr/>
      </xdr:nvGrpSpPr>
      <xdr:grpSpPr>
        <a:xfrm>
          <a:off x="13601701" y="3486150"/>
          <a:ext cx="8858249" cy="3333750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3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300-000012EC0000}"/>
            </a:ext>
          </a:extLst>
        </xdr:cNvPr>
        <xdr:cNvGrpSpPr/>
      </xdr:nvGrpSpPr>
      <xdr:grpSpPr>
        <a:xfrm>
          <a:off x="13630957" y="6924675"/>
          <a:ext cx="8365567" cy="7752285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3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300-000013EC0000}"/>
            </a:ext>
          </a:extLst>
        </xdr:cNvPr>
        <xdr:cNvGrpSpPr/>
      </xdr:nvGrpSpPr>
      <xdr:grpSpPr>
        <a:xfrm>
          <a:off x="13658850" y="15030450"/>
          <a:ext cx="7550921" cy="4177503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3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3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3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3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3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3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3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3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3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3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3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295674</xdr:colOff>
      <xdr:row>0</xdr:row>
      <xdr:rowOff>176894</xdr:rowOff>
    </xdr:from>
    <xdr:to>
      <xdr:col>12</xdr:col>
      <xdr:colOff>51967</xdr:colOff>
      <xdr:row>15</xdr:row>
      <xdr:rowOff>150250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53549" y="176894"/>
          <a:ext cx="5137918" cy="3688106"/>
        </a:xfrm>
        <a:prstGeom prst="rect">
          <a:avLst/>
        </a:prstGeom>
      </xdr:spPr>
    </xdr:pic>
    <xdr:clientData/>
  </xdr:twoCellAnchor>
  <xdr:twoCellAnchor editAs="oneCell">
    <xdr:from>
      <xdr:col>5</xdr:col>
      <xdr:colOff>271426</xdr:colOff>
      <xdr:row>16</xdr:row>
      <xdr:rowOff>20065</xdr:rowOff>
    </xdr:from>
    <xdr:to>
      <xdr:col>11</xdr:col>
      <xdr:colOff>503950</xdr:colOff>
      <xdr:row>38</xdr:row>
      <xdr:rowOff>90220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77051" y="3982465"/>
          <a:ext cx="3947274" cy="5432730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6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1981200</xdr:colOff>
          <xdr:row>2</xdr:row>
          <xdr:rowOff>38100</xdr:rowOff>
        </xdr:from>
        <xdr:to>
          <xdr:col>10</xdr:col>
          <xdr:colOff>238125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8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8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8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8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4</xdr:row>
      <xdr:rowOff>161925</xdr:rowOff>
    </xdr:from>
    <xdr:to>
      <xdr:col>5</xdr:col>
      <xdr:colOff>57150</xdr:colOff>
      <xdr:row>5</xdr:row>
      <xdr:rowOff>190500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49026</xdr:colOff>
      <xdr:row>21</xdr:row>
      <xdr:rowOff>96080</xdr:rowOff>
    </xdr:from>
    <xdr:to>
      <xdr:col>13</xdr:col>
      <xdr:colOff>549088</xdr:colOff>
      <xdr:row>37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193026" y="10230680"/>
          <a:ext cx="7815262" cy="266112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7" totalsRowShown="0" headerRowDxfId="230" headerRowBorderDxfId="229" tableBorderDxfId="228" totalsRowBorderDxfId="227">
  <autoFilter ref="Z2:AC47" xr:uid="{5A6D1AF3-6749-4AE2-8399-B74E7D4D9DA4}"/>
  <tableColumns count="4">
    <tableColumn id="1" xr3:uid="{E6578463-229C-4268-99EB-1B35E6F66BDF}" name="Descrição" dataDxfId="226" dataCellStyle="Normal 9"/>
    <tableColumn id="2" xr3:uid="{B4D920DD-B269-4A5F-9520-7B9BBD5CF01A}" name="De" dataDxfId="225" dataCellStyle="Normal 9"/>
    <tableColumn id="3" xr3:uid="{794616BD-8035-49CC-A8DA-B36FD8D7D653}" name="Aba" dataDxfId="224" dataCellStyle="Normal 9"/>
    <tableColumn id="4" xr3:uid="{2888ED87-BB5C-4374-82C2-75C4C6788E7F}" name="Para" dataDxfId="223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16" headerRowBorderDxfId="215" tableBorderDxfId="214" headerRowCellStyle="Normal 2">
  <autoFilter ref="F17:G57" xr:uid="{21B201E2-04A9-47B4-8BD6-C434A82A12C8}"/>
  <tableColumns count="2">
    <tableColumn id="1" xr3:uid="{4F99C78C-B603-4C89-B741-259F9A98641B}" name="IndependentValue" dataDxfId="213"/>
    <tableColumn id="2" xr3:uid="{979F8B6B-435A-4D64-97E9-34460D59EFA5}" name="DependentValue" dataDxfId="212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11" headerRowBorderDxfId="210" tableBorderDxfId="209" headerRowCellStyle="Normal 2">
  <autoFilter ref="M17:N57" xr:uid="{7712883E-BA1C-4C6F-B0E2-BF6BEB9C383E}"/>
  <tableColumns count="2">
    <tableColumn id="1" xr3:uid="{B2E94BD0-B7EF-4EB0-B5D0-D62DC35B30B5}" name="IndependentValue" dataDxfId="208"/>
    <tableColumn id="2" xr3:uid="{D10F628A-D36C-4CBB-A346-ADDB69704EAD}" name="DependentValue" dataDxfId="207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06" headerRowBorderDxfId="205" tableBorderDxfId="204" headerRowCellStyle="Normal 2">
  <autoFilter ref="T17:U57" xr:uid="{7A15E28E-DD93-4176-B0AD-C6AB60BBAA71}"/>
  <tableColumns count="2">
    <tableColumn id="1" xr3:uid="{188EDCF1-1458-4ECF-803A-8AC45944AE6A}" name="IndependentValue" dataDxfId="203"/>
    <tableColumn id="2" xr3:uid="{07D236F5-0513-4C99-8657-FAFED9EE4B93}" name="DependentValue" dataDxfId="202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01" headerRowBorderDxfId="200" tableBorderDxfId="199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198" tableBorderDxfId="197">
  <autoFilter ref="B17:D1267" xr:uid="{FDB06F4C-C7A1-4C90-BB0F-E5B8F430B9D0}"/>
  <tableColumns count="3">
    <tableColumn id="1" xr3:uid="{85A0647E-33CF-4843-97BE-D3D0A946CE6A}" name="Curvature _x000a_[1/m]" dataDxfId="196" dataCellStyle="Normal 2 10"/>
    <tableColumn id="2" xr3:uid="{477A6253-F977-4937-A358-B60590EB1D1D}" name="BM _x000a_[N.m]" dataDxfId="195" dataCellStyle="Normal 2 10"/>
    <tableColumn id="3" xr3:uid="{CF80DF08-8E31-4734-9B81-F0FAD68FE41D}" name="BM _x000a_[kN.m]" dataDxfId="194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193">
  <autoFilter ref="I17:K1267" xr:uid="{1779F542-C7EC-4356-814C-588629F033C3}"/>
  <tableColumns count="3">
    <tableColumn id="1" xr3:uid="{2EB731C5-8A0B-4149-856E-33D13346EE4C}" name="Curvature _x000a_[1/m]" dataDxfId="192" dataCellStyle="Normal 2 10"/>
    <tableColumn id="2" xr3:uid="{B3A67AF3-8E3A-42C6-A495-A72FCDDBC24C}" name="BM _x000a_[N.m]" dataDxfId="191" dataCellStyle="Normal 2 10"/>
    <tableColumn id="3" xr3:uid="{DA412758-B79D-4EE0-96A2-AD23794F0DBD}" name="BM _x000a_[kN.m]" dataDxfId="190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189" tableBorderDxfId="188">
  <autoFilter ref="P17:R1267" xr:uid="{ADA78353-4D2C-45C3-82AD-05CFB86E95E5}"/>
  <tableColumns count="3">
    <tableColumn id="1" xr3:uid="{DC2B636C-167A-4F9C-9A66-B4FDF44909FE}" name="Curvature _x000a_[1/m]" dataDxfId="187" dataCellStyle="Normal 2 10"/>
    <tableColumn id="2" xr3:uid="{A67605FC-59DC-4787-BEE1-5A1B5E84F5E1}" name="BM _x000a_[N.m]" dataDxfId="186" dataCellStyle="Normal 2 10"/>
    <tableColumn id="3" xr3:uid="{0D179C8D-DEA5-44DC-8DE4-4DB1678354DA}" name="BM _x000a_[kN.m]" dataDxfId="185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172" dataDxfId="170" headerRowBorderDxfId="171" tableBorderDxfId="169" totalsRowBorderDxfId="168">
  <autoFilter ref="AA5:AB55" xr:uid="{9E5DC681-28D6-4633-A8CE-BA675902198D}"/>
  <tableColumns count="2">
    <tableColumn id="1" xr3:uid="{EEFEDFA0-3ABA-44EB-ACFF-93085B1DB3AC}" name="Empuxo" dataDxfId="167" dataCellStyle="Normal 2 10">
      <calculatedColumnFormula>Auxiliar2!AK2</calculatedColumnFormula>
    </tableColumn>
    <tableColumn id="2" xr3:uid="{AEF50034-1E9A-4675-86B1-B8CA61B8C306}" name="Posição em relação ao flange [m]" dataDxfId="166" dataCellStyle="Normal 2 10">
      <calculatedColumnFormula>Auxiliar2!AL2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7:K51" totalsRowShown="0" headerRowDxfId="149" dataDxfId="147" headerRowBorderDxfId="148" tableBorderDxfId="146">
  <autoFilter ref="G7:K51" xr:uid="{00000000-0009-0000-0100-000001000000}"/>
  <tableColumns count="5">
    <tableColumn id="1" xr3:uid="{00000000-0010-0000-0000-000001000000}" name="Valor" dataDxfId="145">
      <calculatedColumnFormula>VALUE(LEFT(F8,SEARCH(" ",F8)-1))</calculatedColumnFormula>
    </tableColumn>
    <tableColumn id="6" xr3:uid="{60B23DED-7FFF-4A6E-A781-12AF78693BB0}" name="Tração" dataDxfId="144"/>
    <tableColumn id="2" xr3:uid="{00000000-0010-0000-0000-000002000000}" name="Cortante" dataDxfId="143"/>
    <tableColumn id="4" xr3:uid="{00000000-0010-0000-0000-000004000000}" name="M. Fletor" dataDxfId="142"/>
    <tableColumn id="5" xr3:uid="{00000000-0010-0000-0000-000005000000}" name="Verificação" dataDxfId="141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workbookViewId="0">
      <selection sqref="A1:F1"/>
    </sheetView>
  </sheetViews>
  <sheetFormatPr defaultColWidth="0" defaultRowHeight="18" customHeight="1" x14ac:dyDescent="0.2"/>
  <cols>
    <col min="1" max="5" width="16.7109375" style="633" customWidth="1"/>
    <col min="6" max="6" width="50.7109375" style="633" customWidth="1"/>
    <col min="7" max="7" width="1.7109375" style="633" customWidth="1"/>
    <col min="8" max="16384" width="9.140625" style="633" hidden="1"/>
  </cols>
  <sheetData>
    <row r="1" spans="1:7" s="634" customFormat="1" ht="18" customHeight="1" x14ac:dyDescent="0.2">
      <c r="A1" s="732" t="s">
        <v>0</v>
      </c>
      <c r="B1" s="732"/>
      <c r="C1" s="732"/>
      <c r="D1" s="732"/>
      <c r="E1" s="732"/>
      <c r="F1" s="732"/>
      <c r="G1" s="633"/>
    </row>
    <row r="2" spans="1:7" s="634" customFormat="1" ht="15" x14ac:dyDescent="0.2">
      <c r="A2" s="635" t="s">
        <v>1</v>
      </c>
      <c r="B2" s="636" t="s">
        <v>2</v>
      </c>
      <c r="C2" s="637" t="s">
        <v>3</v>
      </c>
      <c r="D2" s="636" t="s">
        <v>4</v>
      </c>
      <c r="E2" s="636" t="s">
        <v>5</v>
      </c>
      <c r="F2" s="636" t="s">
        <v>6</v>
      </c>
      <c r="G2" s="633"/>
    </row>
    <row r="3" spans="1:7" s="634" customFormat="1" ht="18" customHeight="1" x14ac:dyDescent="0.2">
      <c r="A3" s="638">
        <v>1</v>
      </c>
      <c r="B3" s="639"/>
      <c r="C3" s="640" t="s">
        <v>7</v>
      </c>
      <c r="D3" s="641"/>
      <c r="E3" s="641"/>
      <c r="F3" s="642" t="s">
        <v>8</v>
      </c>
      <c r="G3" s="633"/>
    </row>
    <row r="4" spans="1:7" s="634" customFormat="1" ht="18" customHeight="1" x14ac:dyDescent="0.2">
      <c r="A4" s="638">
        <v>2</v>
      </c>
      <c r="B4" s="643">
        <v>42850</v>
      </c>
      <c r="C4" s="638" t="s">
        <v>9</v>
      </c>
      <c r="D4" s="638" t="s">
        <v>10</v>
      </c>
      <c r="E4" s="638" t="s">
        <v>7</v>
      </c>
      <c r="F4" s="638" t="s">
        <v>11</v>
      </c>
      <c r="G4" s="633"/>
    </row>
    <row r="5" spans="1:7" s="634" customFormat="1" ht="18" customHeight="1" x14ac:dyDescent="0.2">
      <c r="A5" s="644">
        <v>3</v>
      </c>
      <c r="B5" s="645">
        <v>42916</v>
      </c>
      <c r="C5" s="644" t="s">
        <v>9</v>
      </c>
      <c r="D5" s="644"/>
      <c r="E5" s="644"/>
      <c r="F5" s="644" t="s">
        <v>12</v>
      </c>
      <c r="G5" s="633"/>
    </row>
    <row r="6" spans="1:7" s="634" customFormat="1" ht="18" customHeight="1" x14ac:dyDescent="0.2">
      <c r="A6" s="644">
        <v>4</v>
      </c>
      <c r="B6" s="645">
        <v>42942</v>
      </c>
      <c r="C6" s="644" t="s">
        <v>9</v>
      </c>
      <c r="D6" s="644"/>
      <c r="E6" s="644"/>
      <c r="F6" s="644" t="s">
        <v>12</v>
      </c>
      <c r="G6" s="633"/>
    </row>
    <row r="7" spans="1:7" s="634" customFormat="1" ht="18" customHeight="1" x14ac:dyDescent="0.2">
      <c r="A7" s="644">
        <v>5</v>
      </c>
      <c r="B7" s="645">
        <v>43000</v>
      </c>
      <c r="C7" s="644" t="s">
        <v>13</v>
      </c>
      <c r="D7" s="644"/>
      <c r="E7" s="644"/>
      <c r="F7" s="644" t="s">
        <v>12</v>
      </c>
      <c r="G7" s="633"/>
    </row>
    <row r="8" spans="1:7" s="634" customFormat="1" ht="18" customHeight="1" x14ac:dyDescent="0.2">
      <c r="A8" s="644">
        <v>6</v>
      </c>
      <c r="B8" s="645">
        <v>42942</v>
      </c>
      <c r="C8" s="644" t="s">
        <v>9</v>
      </c>
      <c r="D8" s="644"/>
      <c r="E8" s="644"/>
      <c r="F8" s="644" t="s">
        <v>12</v>
      </c>
      <c r="G8" s="633"/>
    </row>
    <row r="9" spans="1:7" s="634" customFormat="1" ht="18" customHeight="1" x14ac:dyDescent="0.2">
      <c r="A9" s="644">
        <v>7</v>
      </c>
      <c r="B9" s="645">
        <v>43160</v>
      </c>
      <c r="C9" s="644" t="s">
        <v>14</v>
      </c>
      <c r="D9" s="644"/>
      <c r="E9" s="644"/>
      <c r="F9" s="644" t="s">
        <v>12</v>
      </c>
      <c r="G9" s="633"/>
    </row>
    <row r="10" spans="1:7" s="634" customFormat="1" ht="18" customHeight="1" x14ac:dyDescent="0.2">
      <c r="A10" s="644">
        <v>8</v>
      </c>
      <c r="B10" s="645">
        <v>43452</v>
      </c>
      <c r="C10" s="644" t="s">
        <v>14</v>
      </c>
      <c r="D10" s="644"/>
      <c r="E10" s="644"/>
      <c r="F10" s="644" t="s">
        <v>12</v>
      </c>
      <c r="G10" s="633"/>
    </row>
    <row r="11" spans="1:7" ht="18" customHeight="1" x14ac:dyDescent="0.2">
      <c r="A11" s="644">
        <v>9</v>
      </c>
      <c r="B11" s="645">
        <v>44683</v>
      </c>
      <c r="C11" s="644" t="s">
        <v>15</v>
      </c>
      <c r="D11" s="644"/>
      <c r="E11" s="644"/>
      <c r="F11" s="644" t="s">
        <v>12</v>
      </c>
    </row>
    <row r="12" spans="1:7" ht="18" customHeight="1" x14ac:dyDescent="0.2">
      <c r="A12" s="644">
        <v>10</v>
      </c>
      <c r="B12" s="645" t="s">
        <v>16</v>
      </c>
      <c r="C12" s="644" t="s">
        <v>16</v>
      </c>
      <c r="D12" s="644" t="s">
        <v>16</v>
      </c>
      <c r="E12" s="644" t="s">
        <v>16</v>
      </c>
      <c r="F12" s="644" t="s">
        <v>12</v>
      </c>
    </row>
    <row r="13" spans="1:7" ht="18" customHeight="1" x14ac:dyDescent="0.2">
      <c r="A13" s="644">
        <v>11</v>
      </c>
      <c r="B13" s="645">
        <v>45291</v>
      </c>
      <c r="C13" s="644" t="s">
        <v>17</v>
      </c>
      <c r="D13" s="644"/>
      <c r="E13" s="644"/>
      <c r="F13" s="644" t="s">
        <v>12</v>
      </c>
    </row>
    <row r="14" spans="1:7" ht="18" customHeight="1" x14ac:dyDescent="0.2">
      <c r="A14" s="644">
        <v>12</v>
      </c>
      <c r="B14" s="645">
        <v>45349</v>
      </c>
      <c r="C14" s="644" t="s">
        <v>18</v>
      </c>
      <c r="D14" s="644"/>
      <c r="E14" s="644"/>
      <c r="F14" s="644" t="s">
        <v>12</v>
      </c>
    </row>
    <row r="15" spans="1:7" ht="18" customHeight="1" x14ac:dyDescent="0.2">
      <c r="A15" s="644" t="s">
        <v>19</v>
      </c>
      <c r="B15" s="645">
        <v>45439</v>
      </c>
      <c r="C15" s="644" t="s">
        <v>20</v>
      </c>
      <c r="D15" s="644"/>
      <c r="E15" s="644"/>
      <c r="F15" s="644" t="s">
        <v>12</v>
      </c>
    </row>
    <row r="16" spans="1:7" ht="18" customHeight="1" x14ac:dyDescent="0.2">
      <c r="A16" s="644" t="s">
        <v>21</v>
      </c>
      <c r="B16" s="645">
        <v>45483</v>
      </c>
      <c r="C16" s="644" t="s">
        <v>22</v>
      </c>
      <c r="D16" s="644" t="s">
        <v>20</v>
      </c>
      <c r="E16" s="644"/>
      <c r="F16" s="644" t="s">
        <v>12</v>
      </c>
    </row>
    <row r="17" spans="1:6" ht="18" customHeight="1" x14ac:dyDescent="0.2">
      <c r="A17" s="644" t="s">
        <v>23</v>
      </c>
      <c r="B17" s="645">
        <v>45530</v>
      </c>
      <c r="C17" s="644" t="s">
        <v>24</v>
      </c>
      <c r="D17" s="644" t="s">
        <v>20</v>
      </c>
      <c r="E17" s="644"/>
      <c r="F17" s="644" t="s">
        <v>12</v>
      </c>
    </row>
    <row r="18" spans="1:6" ht="18" customHeight="1" x14ac:dyDescent="0.2">
      <c r="A18" s="644" t="s">
        <v>1629</v>
      </c>
      <c r="B18" s="645">
        <v>45643</v>
      </c>
      <c r="C18" s="644" t="s">
        <v>20</v>
      </c>
      <c r="D18" s="644"/>
      <c r="E18" s="644"/>
      <c r="F18" s="644" t="s">
        <v>12</v>
      </c>
    </row>
    <row r="19" spans="1:6" ht="18" customHeight="1" x14ac:dyDescent="0.2">
      <c r="A19" s="644" t="s">
        <v>1699</v>
      </c>
      <c r="B19" s="645"/>
      <c r="C19" s="644" t="s">
        <v>20</v>
      </c>
      <c r="D19" s="644"/>
      <c r="E19" s="644"/>
      <c r="F19" s="644" t="s">
        <v>12</v>
      </c>
    </row>
    <row r="20" spans="1:6" ht="18" customHeight="1" x14ac:dyDescent="0.2">
      <c r="A20" s="646"/>
      <c r="B20" s="647"/>
      <c r="C20" s="646"/>
      <c r="D20" s="646"/>
      <c r="E20" s="646"/>
      <c r="F20" s="646"/>
    </row>
    <row r="21" spans="1:6" ht="18" customHeight="1" x14ac:dyDescent="0.2">
      <c r="A21" s="732" t="s">
        <v>1700</v>
      </c>
      <c r="B21" s="732"/>
      <c r="C21" s="732"/>
      <c r="D21" s="732"/>
      <c r="E21" s="732"/>
      <c r="F21" s="732"/>
    </row>
    <row r="22" spans="1:6" ht="18" customHeight="1" x14ac:dyDescent="0.2">
      <c r="A22" s="729" t="s">
        <v>1806</v>
      </c>
      <c r="B22" s="733"/>
      <c r="C22" s="733"/>
      <c r="D22" s="733"/>
      <c r="E22" s="733"/>
      <c r="F22" s="734"/>
    </row>
    <row r="23" spans="1:6" ht="18" customHeight="1" x14ac:dyDescent="0.2">
      <c r="A23" s="729" t="s">
        <v>1807</v>
      </c>
      <c r="B23" s="733"/>
      <c r="C23" s="733"/>
      <c r="D23" s="733"/>
      <c r="E23" s="733"/>
      <c r="F23" s="734"/>
    </row>
    <row r="24" spans="1:6" ht="18" customHeight="1" x14ac:dyDescent="0.2">
      <c r="A24" s="729" t="s">
        <v>1809</v>
      </c>
      <c r="B24" s="733"/>
      <c r="C24" s="733"/>
      <c r="D24" s="733"/>
      <c r="E24" s="733"/>
      <c r="F24" s="734"/>
    </row>
    <row r="25" spans="1:6" ht="18" customHeight="1" x14ac:dyDescent="0.2">
      <c r="A25" s="729" t="s">
        <v>1808</v>
      </c>
      <c r="B25" s="733"/>
      <c r="C25" s="733"/>
      <c r="D25" s="733"/>
      <c r="E25" s="733"/>
      <c r="F25" s="734"/>
    </row>
    <row r="26" spans="1:6" ht="18" customHeight="1" x14ac:dyDescent="0.2">
      <c r="A26" s="729" t="s">
        <v>1810</v>
      </c>
      <c r="B26" s="733"/>
      <c r="C26" s="733"/>
      <c r="D26" s="733"/>
      <c r="E26" s="733"/>
      <c r="F26" s="734"/>
    </row>
    <row r="27" spans="1:6" ht="18" customHeight="1" x14ac:dyDescent="0.2">
      <c r="A27" s="729" t="s">
        <v>1811</v>
      </c>
      <c r="B27" s="730"/>
      <c r="C27" s="730"/>
      <c r="D27" s="730"/>
      <c r="E27" s="730"/>
      <c r="F27" s="731"/>
    </row>
    <row r="28" spans="1:6" ht="18" customHeight="1" x14ac:dyDescent="0.2">
      <c r="A28" s="729" t="s">
        <v>1812</v>
      </c>
      <c r="B28" s="730"/>
      <c r="C28" s="730"/>
      <c r="D28" s="730"/>
      <c r="E28" s="730"/>
      <c r="F28" s="731"/>
    </row>
    <row r="29" spans="1:6" ht="18" customHeight="1" x14ac:dyDescent="0.2">
      <c r="A29" s="729"/>
      <c r="B29" s="730"/>
      <c r="C29" s="730"/>
      <c r="D29" s="730"/>
      <c r="E29" s="730"/>
      <c r="F29" s="731"/>
    </row>
    <row r="30" spans="1:6" ht="18" customHeight="1" x14ac:dyDescent="0.2">
      <c r="A30" s="729"/>
      <c r="B30" s="730"/>
      <c r="C30" s="730"/>
      <c r="D30" s="730"/>
      <c r="E30" s="730"/>
      <c r="F30" s="731"/>
    </row>
    <row r="31" spans="1:6" ht="18" customHeight="1" x14ac:dyDescent="0.2">
      <c r="A31" s="729"/>
      <c r="B31" s="730"/>
      <c r="C31" s="730"/>
      <c r="D31" s="730"/>
      <c r="E31" s="730"/>
      <c r="F31" s="731"/>
    </row>
    <row r="32" spans="1:6" ht="18" customHeight="1" x14ac:dyDescent="0.2">
      <c r="A32" s="729"/>
      <c r="B32" s="730"/>
      <c r="C32" s="730"/>
      <c r="D32" s="730"/>
      <c r="E32" s="730"/>
      <c r="F32" s="731"/>
    </row>
    <row r="33" spans="1:9" ht="18" customHeight="1" x14ac:dyDescent="0.2">
      <c r="A33" s="729"/>
      <c r="B33" s="730"/>
      <c r="C33" s="730"/>
      <c r="D33" s="730"/>
      <c r="E33" s="730"/>
      <c r="F33" s="731"/>
    </row>
    <row r="34" spans="1:9" ht="18" customHeight="1" x14ac:dyDescent="0.2">
      <c r="A34" s="729"/>
      <c r="B34" s="730"/>
      <c r="C34" s="730"/>
      <c r="D34" s="730"/>
      <c r="E34" s="730"/>
      <c r="F34" s="731"/>
    </row>
    <row r="35" spans="1:9" ht="18" customHeight="1" x14ac:dyDescent="0.2">
      <c r="A35" s="729"/>
      <c r="B35" s="730"/>
      <c r="C35" s="730"/>
      <c r="D35" s="730"/>
      <c r="E35" s="730"/>
      <c r="F35" s="731"/>
    </row>
    <row r="36" spans="1:9" ht="18" customHeight="1" x14ac:dyDescent="0.2">
      <c r="A36" s="648"/>
      <c r="B36" s="649"/>
      <c r="C36" s="649"/>
      <c r="D36" s="649"/>
      <c r="E36" s="649"/>
      <c r="F36" s="650"/>
    </row>
    <row r="37" spans="1:9" ht="18" customHeight="1" x14ac:dyDescent="0.2">
      <c r="A37" s="735" t="s">
        <v>1628</v>
      </c>
      <c r="B37" s="735"/>
      <c r="C37" s="735"/>
      <c r="D37" s="735"/>
      <c r="E37" s="735"/>
      <c r="F37" s="735"/>
    </row>
    <row r="38" spans="1:9" ht="18" customHeight="1" x14ac:dyDescent="0.2">
      <c r="A38" s="729" t="s">
        <v>1630</v>
      </c>
      <c r="B38" s="733"/>
      <c r="C38" s="733"/>
      <c r="D38" s="733"/>
      <c r="E38" s="733"/>
      <c r="F38" s="734"/>
    </row>
    <row r="39" spans="1:9" ht="18" customHeight="1" x14ac:dyDescent="0.2">
      <c r="A39" s="735" t="s">
        <v>25</v>
      </c>
      <c r="B39" s="735"/>
      <c r="C39" s="735"/>
      <c r="D39" s="735"/>
      <c r="E39" s="735"/>
      <c r="F39" s="735"/>
    </row>
    <row r="40" spans="1:9" ht="18" customHeight="1" x14ac:dyDescent="0.2">
      <c r="A40" s="729" t="s">
        <v>26</v>
      </c>
      <c r="B40" s="733"/>
      <c r="C40" s="733"/>
      <c r="D40" s="733"/>
      <c r="E40" s="733"/>
      <c r="F40" s="734"/>
    </row>
    <row r="41" spans="1:9" ht="18" customHeight="1" x14ac:dyDescent="0.2">
      <c r="A41" s="729" t="s">
        <v>1623</v>
      </c>
      <c r="B41" s="730"/>
      <c r="C41" s="730"/>
      <c r="D41" s="730"/>
      <c r="E41" s="730"/>
      <c r="F41" s="731"/>
      <c r="G41" s="651"/>
      <c r="H41" s="652"/>
      <c r="I41" s="653"/>
    </row>
    <row r="42" spans="1:9" ht="18" customHeight="1" x14ac:dyDescent="0.2">
      <c r="A42" s="735" t="s">
        <v>27</v>
      </c>
      <c r="B42" s="735"/>
      <c r="C42" s="735"/>
      <c r="D42" s="735"/>
      <c r="E42" s="735"/>
      <c r="F42" s="735"/>
    </row>
    <row r="43" spans="1:9" ht="18" customHeight="1" x14ac:dyDescent="0.2">
      <c r="A43" s="736" t="s">
        <v>28</v>
      </c>
      <c r="B43" s="736"/>
      <c r="C43" s="736"/>
      <c r="D43" s="736"/>
      <c r="E43" s="736"/>
      <c r="F43" s="736"/>
    </row>
    <row r="44" spans="1:9" ht="18" customHeight="1" x14ac:dyDescent="0.2">
      <c r="A44" s="736" t="s">
        <v>29</v>
      </c>
      <c r="B44" s="736"/>
      <c r="C44" s="736"/>
      <c r="D44" s="736"/>
      <c r="E44" s="736"/>
      <c r="F44" s="736"/>
    </row>
    <row r="45" spans="1:9" ht="18" customHeight="1" x14ac:dyDescent="0.2">
      <c r="A45" s="736" t="s">
        <v>30</v>
      </c>
      <c r="B45" s="736"/>
      <c r="C45" s="736"/>
      <c r="D45" s="736"/>
      <c r="E45" s="736"/>
      <c r="F45" s="736"/>
    </row>
    <row r="46" spans="1:9" ht="18" customHeight="1" x14ac:dyDescent="0.2">
      <c r="A46" s="736" t="s">
        <v>31</v>
      </c>
      <c r="B46" s="736"/>
      <c r="C46" s="736"/>
      <c r="D46" s="736"/>
      <c r="E46" s="736"/>
      <c r="F46" s="736"/>
    </row>
    <row r="47" spans="1:9" ht="18" customHeight="1" x14ac:dyDescent="0.2">
      <c r="A47" s="729" t="s">
        <v>32</v>
      </c>
      <c r="B47" s="730"/>
      <c r="C47" s="730"/>
      <c r="D47" s="730"/>
      <c r="E47" s="730"/>
      <c r="F47" s="731"/>
    </row>
    <row r="48" spans="1:9" ht="18" customHeight="1" x14ac:dyDescent="0.2">
      <c r="A48" s="729" t="s">
        <v>33</v>
      </c>
      <c r="B48" s="730"/>
      <c r="C48" s="730"/>
      <c r="D48" s="730"/>
      <c r="E48" s="730"/>
      <c r="F48" s="731"/>
    </row>
    <row r="49" spans="1:7" ht="18" customHeight="1" x14ac:dyDescent="0.2">
      <c r="A49" s="735" t="s">
        <v>34</v>
      </c>
      <c r="B49" s="735"/>
      <c r="C49" s="735"/>
      <c r="D49" s="735"/>
      <c r="E49" s="735"/>
      <c r="F49" s="735"/>
    </row>
    <row r="50" spans="1:7" ht="18" customHeight="1" x14ac:dyDescent="0.2">
      <c r="A50" s="729" t="s">
        <v>35</v>
      </c>
      <c r="B50" s="733"/>
      <c r="C50" s="733"/>
      <c r="D50" s="733"/>
      <c r="E50" s="733"/>
      <c r="F50" s="734"/>
    </row>
    <row r="51" spans="1:7" ht="18" customHeight="1" x14ac:dyDescent="0.2">
      <c r="A51" s="735" t="s">
        <v>36</v>
      </c>
      <c r="B51" s="735"/>
      <c r="C51" s="735"/>
      <c r="D51" s="735"/>
      <c r="E51" s="735"/>
      <c r="F51" s="735"/>
    </row>
    <row r="52" spans="1:7" ht="18" customHeight="1" x14ac:dyDescent="0.2">
      <c r="A52" s="729" t="s">
        <v>37</v>
      </c>
      <c r="B52" s="733"/>
      <c r="C52" s="733"/>
      <c r="D52" s="733"/>
      <c r="E52" s="733"/>
      <c r="F52" s="734"/>
    </row>
    <row r="53" spans="1:7" ht="18" customHeight="1" x14ac:dyDescent="0.2">
      <c r="A53" s="729" t="s">
        <v>38</v>
      </c>
      <c r="B53" s="730"/>
      <c r="C53" s="730"/>
      <c r="D53" s="730"/>
      <c r="E53" s="730"/>
      <c r="F53" s="731"/>
    </row>
    <row r="54" spans="1:7" s="634" customFormat="1" ht="18" customHeight="1" x14ac:dyDescent="0.2">
      <c r="A54" s="735" t="s">
        <v>39</v>
      </c>
      <c r="B54" s="735"/>
      <c r="C54" s="735"/>
      <c r="D54" s="735"/>
      <c r="E54" s="735"/>
      <c r="F54" s="735"/>
      <c r="G54" s="633"/>
    </row>
    <row r="55" spans="1:7" s="634" customFormat="1" ht="18" customHeight="1" x14ac:dyDescent="0.2">
      <c r="A55" s="729" t="s">
        <v>40</v>
      </c>
      <c r="B55" s="733"/>
      <c r="C55" s="733"/>
      <c r="D55" s="733"/>
      <c r="E55" s="733"/>
      <c r="F55" s="734"/>
      <c r="G55" s="633"/>
    </row>
    <row r="56" spans="1:7" s="634" customFormat="1" ht="18" customHeight="1" x14ac:dyDescent="0.2">
      <c r="A56" s="729" t="s">
        <v>41</v>
      </c>
      <c r="B56" s="730"/>
      <c r="C56" s="730"/>
      <c r="D56" s="730"/>
      <c r="E56" s="730"/>
      <c r="F56" s="731"/>
      <c r="G56" s="633"/>
    </row>
    <row r="57" spans="1:7" s="634" customFormat="1" ht="18" customHeight="1" x14ac:dyDescent="0.2">
      <c r="A57" s="729" t="s">
        <v>42</v>
      </c>
      <c r="B57" s="730"/>
      <c r="C57" s="730"/>
      <c r="D57" s="730"/>
      <c r="E57" s="730"/>
      <c r="F57" s="731"/>
      <c r="G57" s="633"/>
    </row>
    <row r="58" spans="1:7" s="655" customFormat="1" ht="18" customHeight="1" x14ac:dyDescent="0.2">
      <c r="A58" s="738" t="s">
        <v>43</v>
      </c>
      <c r="B58" s="739"/>
      <c r="C58" s="739"/>
      <c r="D58" s="739"/>
      <c r="E58" s="739"/>
      <c r="F58" s="740"/>
      <c r="G58" s="654"/>
    </row>
    <row r="59" spans="1:7" s="634" customFormat="1" ht="18" customHeight="1" x14ac:dyDescent="0.2">
      <c r="A59" s="741" t="s">
        <v>44</v>
      </c>
      <c r="B59" s="742"/>
      <c r="C59" s="742"/>
      <c r="D59" s="742"/>
      <c r="E59" s="742"/>
      <c r="F59" s="743"/>
      <c r="G59" s="633"/>
    </row>
    <row r="60" spans="1:7" s="634" customFormat="1" ht="18" customHeight="1" x14ac:dyDescent="0.2">
      <c r="A60" s="738" t="s">
        <v>45</v>
      </c>
      <c r="B60" s="739"/>
      <c r="C60" s="739"/>
      <c r="D60" s="739"/>
      <c r="E60" s="739"/>
      <c r="F60" s="740"/>
      <c r="G60" s="633"/>
    </row>
    <row r="61" spans="1:7" s="634" customFormat="1" ht="18" customHeight="1" x14ac:dyDescent="0.2">
      <c r="A61" s="738" t="s">
        <v>46</v>
      </c>
      <c r="B61" s="739"/>
      <c r="C61" s="739"/>
      <c r="D61" s="739"/>
      <c r="E61" s="739"/>
      <c r="F61" s="740"/>
      <c r="G61" s="633"/>
    </row>
    <row r="62" spans="1:7" s="634" customFormat="1" ht="18" customHeight="1" x14ac:dyDescent="0.2">
      <c r="A62" s="738" t="s">
        <v>47</v>
      </c>
      <c r="B62" s="739"/>
      <c r="C62" s="739"/>
      <c r="D62" s="739"/>
      <c r="E62" s="739"/>
      <c r="F62" s="740"/>
      <c r="G62" s="633"/>
    </row>
    <row r="63" spans="1:7" s="634" customFormat="1" ht="18" customHeight="1" x14ac:dyDescent="0.2">
      <c r="A63" s="738" t="s">
        <v>48</v>
      </c>
      <c r="B63" s="739"/>
      <c r="C63" s="739"/>
      <c r="D63" s="739"/>
      <c r="E63" s="739"/>
      <c r="F63" s="740"/>
      <c r="G63" s="633"/>
    </row>
    <row r="64" spans="1:7" s="634" customFormat="1" ht="18" customHeight="1" x14ac:dyDescent="0.2">
      <c r="A64" s="738" t="s">
        <v>49</v>
      </c>
      <c r="B64" s="739"/>
      <c r="C64" s="739"/>
      <c r="D64" s="739"/>
      <c r="E64" s="739"/>
      <c r="F64" s="740"/>
      <c r="G64" s="633"/>
    </row>
    <row r="65" spans="1:7" s="655" customFormat="1" ht="18" customHeight="1" x14ac:dyDescent="0.2">
      <c r="A65" s="738" t="s">
        <v>50</v>
      </c>
      <c r="B65" s="739"/>
      <c r="C65" s="739"/>
      <c r="D65" s="739"/>
      <c r="E65" s="739"/>
      <c r="F65" s="740"/>
      <c r="G65" s="654"/>
    </row>
    <row r="66" spans="1:7" s="655" customFormat="1" ht="18" customHeight="1" x14ac:dyDescent="0.2">
      <c r="A66" s="738" t="s">
        <v>51</v>
      </c>
      <c r="B66" s="739"/>
      <c r="C66" s="739"/>
      <c r="D66" s="739"/>
      <c r="E66" s="739"/>
      <c r="F66" s="740"/>
      <c r="G66" s="654"/>
    </row>
    <row r="67" spans="1:7" s="655" customFormat="1" ht="18" customHeight="1" x14ac:dyDescent="0.2">
      <c r="A67" s="738" t="s">
        <v>52</v>
      </c>
      <c r="B67" s="739"/>
      <c r="C67" s="739"/>
      <c r="D67" s="739"/>
      <c r="E67" s="739"/>
      <c r="F67" s="740"/>
      <c r="G67" s="654"/>
    </row>
    <row r="68" spans="1:7" s="655" customFormat="1" ht="18" customHeight="1" x14ac:dyDescent="0.2">
      <c r="A68" s="737" t="s">
        <v>53</v>
      </c>
      <c r="B68" s="737"/>
      <c r="C68" s="737"/>
      <c r="D68" s="737"/>
      <c r="E68" s="737"/>
      <c r="F68" s="737"/>
      <c r="G68" s="654"/>
    </row>
    <row r="69" spans="1:7" s="655" customFormat="1" ht="18" customHeight="1" x14ac:dyDescent="0.2">
      <c r="A69" s="744" t="s">
        <v>54</v>
      </c>
      <c r="B69" s="745"/>
      <c r="C69" s="745"/>
      <c r="D69" s="745"/>
      <c r="E69" s="745"/>
      <c r="F69" s="746"/>
      <c r="G69" s="654"/>
    </row>
    <row r="70" spans="1:7" s="655" customFormat="1" ht="18" customHeight="1" x14ac:dyDescent="0.2">
      <c r="A70" s="744" t="s">
        <v>55</v>
      </c>
      <c r="B70" s="745"/>
      <c r="C70" s="745"/>
      <c r="D70" s="745"/>
      <c r="E70" s="745"/>
      <c r="F70" s="746"/>
      <c r="G70" s="654"/>
    </row>
    <row r="71" spans="1:7" s="655" customFormat="1" ht="18" customHeight="1" x14ac:dyDescent="0.2">
      <c r="A71" s="744" t="s">
        <v>56</v>
      </c>
      <c r="B71" s="745"/>
      <c r="C71" s="745"/>
      <c r="D71" s="745"/>
      <c r="E71" s="745"/>
      <c r="F71" s="746"/>
      <c r="G71" s="654"/>
    </row>
    <row r="72" spans="1:7" s="655" customFormat="1" ht="18" customHeight="1" x14ac:dyDescent="0.2">
      <c r="A72" s="737" t="s">
        <v>57</v>
      </c>
      <c r="B72" s="737"/>
      <c r="C72" s="737"/>
      <c r="D72" s="737"/>
      <c r="E72" s="737"/>
      <c r="F72" s="737"/>
      <c r="G72" s="654"/>
    </row>
    <row r="73" spans="1:7" s="655" customFormat="1" ht="18" customHeight="1" x14ac:dyDescent="0.2">
      <c r="A73" s="744" t="s">
        <v>58</v>
      </c>
      <c r="B73" s="745"/>
      <c r="C73" s="745"/>
      <c r="D73" s="745"/>
      <c r="E73" s="745"/>
      <c r="F73" s="746"/>
      <c r="G73" s="654"/>
    </row>
    <row r="74" spans="1:7" s="655" customFormat="1" ht="18" customHeight="1" x14ac:dyDescent="0.2">
      <c r="A74" s="738" t="s">
        <v>59</v>
      </c>
      <c r="B74" s="739"/>
      <c r="C74" s="739"/>
      <c r="D74" s="739"/>
      <c r="E74" s="739"/>
      <c r="F74" s="740"/>
      <c r="G74" s="654"/>
    </row>
    <row r="75" spans="1:7" s="655" customFormat="1" ht="18" customHeight="1" x14ac:dyDescent="0.2">
      <c r="A75" s="737" t="s">
        <v>60</v>
      </c>
      <c r="B75" s="737"/>
      <c r="C75" s="737"/>
      <c r="D75" s="737"/>
      <c r="E75" s="737"/>
      <c r="F75" s="737"/>
      <c r="G75" s="654"/>
    </row>
    <row r="76" spans="1:7" s="655" customFormat="1" ht="18" customHeight="1" x14ac:dyDescent="0.2">
      <c r="A76" s="744" t="s">
        <v>61</v>
      </c>
      <c r="B76" s="745"/>
      <c r="C76" s="745"/>
      <c r="D76" s="745"/>
      <c r="E76" s="745"/>
      <c r="F76" s="746"/>
      <c r="G76" s="654"/>
    </row>
    <row r="77" spans="1:7" s="655" customFormat="1" ht="18" customHeight="1" x14ac:dyDescent="0.2">
      <c r="A77" s="738" t="s">
        <v>62</v>
      </c>
      <c r="B77" s="739"/>
      <c r="C77" s="739"/>
      <c r="D77" s="739"/>
      <c r="E77" s="739"/>
      <c r="F77" s="740"/>
      <c r="G77" s="654"/>
    </row>
    <row r="78" spans="1:7" s="655" customFormat="1" ht="18" customHeight="1" x14ac:dyDescent="0.2">
      <c r="A78" s="738" t="s">
        <v>63</v>
      </c>
      <c r="B78" s="739"/>
      <c r="C78" s="739"/>
      <c r="D78" s="739"/>
      <c r="E78" s="739"/>
      <c r="F78" s="740"/>
      <c r="G78" s="654"/>
    </row>
    <row r="79" spans="1:7" s="655" customFormat="1" ht="18" customHeight="1" x14ac:dyDescent="0.2">
      <c r="A79" s="738" t="s">
        <v>64</v>
      </c>
      <c r="B79" s="739"/>
      <c r="C79" s="739"/>
      <c r="D79" s="739"/>
      <c r="E79" s="739"/>
      <c r="F79" s="740"/>
      <c r="G79" s="654"/>
    </row>
    <row r="80" spans="1:7" s="634" customFormat="1" ht="18" customHeight="1" x14ac:dyDescent="0.2">
      <c r="A80" s="738" t="s">
        <v>65</v>
      </c>
      <c r="B80" s="739"/>
      <c r="C80" s="739"/>
      <c r="D80" s="739"/>
      <c r="E80" s="739"/>
      <c r="F80" s="740"/>
      <c r="G80" s="633"/>
    </row>
    <row r="81" spans="1:7" s="634" customFormat="1" ht="18" customHeight="1" x14ac:dyDescent="0.2">
      <c r="A81" s="735" t="s">
        <v>66</v>
      </c>
      <c r="B81" s="735"/>
      <c r="C81" s="735"/>
      <c r="D81" s="735"/>
      <c r="E81" s="735"/>
      <c r="F81" s="735"/>
      <c r="G81" s="633"/>
    </row>
    <row r="82" spans="1:7" s="634" customFormat="1" ht="18" customHeight="1" x14ac:dyDescent="0.2">
      <c r="A82" s="737" t="s">
        <v>67</v>
      </c>
      <c r="B82" s="737"/>
      <c r="C82" s="737"/>
      <c r="D82" s="737"/>
      <c r="E82" s="737"/>
      <c r="F82" s="737"/>
      <c r="G82" s="633"/>
    </row>
    <row r="83" spans="1:7" s="634" customFormat="1" ht="18" customHeight="1" x14ac:dyDescent="0.2">
      <c r="A83" s="737" t="s">
        <v>68</v>
      </c>
      <c r="B83" s="737"/>
      <c r="C83" s="737"/>
      <c r="D83" s="737"/>
      <c r="E83" s="737"/>
      <c r="F83" s="737"/>
      <c r="G83" s="633"/>
    </row>
    <row r="84" spans="1:7" s="634" customFormat="1" ht="18" customHeight="1" x14ac:dyDescent="0.2">
      <c r="A84" s="737" t="s">
        <v>69</v>
      </c>
      <c r="B84" s="737"/>
      <c r="C84" s="737"/>
      <c r="D84" s="737"/>
      <c r="E84" s="737"/>
      <c r="F84" s="737"/>
      <c r="G84" s="633"/>
    </row>
    <row r="85" spans="1:7" s="634" customFormat="1" ht="18" customHeight="1" x14ac:dyDescent="0.2">
      <c r="A85" s="735" t="s">
        <v>70</v>
      </c>
      <c r="B85" s="735"/>
      <c r="C85" s="735"/>
      <c r="D85" s="735"/>
      <c r="E85" s="735"/>
      <c r="F85" s="735"/>
      <c r="G85" s="633"/>
    </row>
    <row r="86" spans="1:7" s="634" customFormat="1" ht="18" customHeight="1" x14ac:dyDescent="0.2">
      <c r="A86" s="738" t="s">
        <v>71</v>
      </c>
      <c r="B86" s="739"/>
      <c r="C86" s="739"/>
      <c r="D86" s="739"/>
      <c r="E86" s="739"/>
      <c r="F86" s="740"/>
      <c r="G86" s="633"/>
    </row>
    <row r="87" spans="1:7" s="634" customFormat="1" ht="18" customHeight="1" x14ac:dyDescent="0.2">
      <c r="A87" s="735" t="s">
        <v>72</v>
      </c>
      <c r="B87" s="735"/>
      <c r="C87" s="735"/>
      <c r="D87" s="735"/>
      <c r="E87" s="735"/>
      <c r="F87" s="735"/>
      <c r="G87" s="633"/>
    </row>
    <row r="88" spans="1:7" s="634" customFormat="1" ht="18" customHeight="1" x14ac:dyDescent="0.2">
      <c r="A88" s="737" t="s">
        <v>73</v>
      </c>
      <c r="B88" s="737"/>
      <c r="C88" s="737"/>
      <c r="D88" s="737"/>
      <c r="E88" s="737"/>
      <c r="F88" s="737"/>
      <c r="G88" s="633"/>
    </row>
    <row r="89" spans="1:7" s="634" customFormat="1" ht="18" customHeight="1" x14ac:dyDescent="0.2">
      <c r="A89" s="737" t="s">
        <v>74</v>
      </c>
      <c r="B89" s="737"/>
      <c r="C89" s="737"/>
      <c r="D89" s="737"/>
      <c r="E89" s="737"/>
      <c r="F89" s="737"/>
      <c r="G89" s="633"/>
    </row>
    <row r="90" spans="1:7" s="634" customFormat="1" ht="18" customHeight="1" x14ac:dyDescent="0.2">
      <c r="A90" s="737" t="s">
        <v>75</v>
      </c>
      <c r="B90" s="737"/>
      <c r="C90" s="737"/>
      <c r="D90" s="737"/>
      <c r="E90" s="737"/>
      <c r="F90" s="737"/>
      <c r="G90" s="633"/>
    </row>
    <row r="91" spans="1:7" s="634" customFormat="1" ht="18" customHeight="1" x14ac:dyDescent="0.2">
      <c r="A91" s="737" t="s">
        <v>76</v>
      </c>
      <c r="B91" s="737"/>
      <c r="C91" s="737"/>
      <c r="D91" s="737"/>
      <c r="E91" s="737"/>
      <c r="F91" s="737"/>
      <c r="G91" s="633"/>
    </row>
    <row r="92" spans="1:7" s="634" customFormat="1" ht="18" customHeight="1" x14ac:dyDescent="0.2">
      <c r="A92" s="735" t="s">
        <v>77</v>
      </c>
      <c r="B92" s="735"/>
      <c r="C92" s="735"/>
      <c r="D92" s="735"/>
      <c r="E92" s="735"/>
      <c r="F92" s="735"/>
      <c r="G92" s="633"/>
    </row>
    <row r="93" spans="1:7" s="634" customFormat="1" ht="18" customHeight="1" x14ac:dyDescent="0.2">
      <c r="A93" s="737" t="s">
        <v>78</v>
      </c>
      <c r="B93" s="737"/>
      <c r="C93" s="737"/>
      <c r="D93" s="737"/>
      <c r="E93" s="737"/>
      <c r="F93" s="737"/>
      <c r="G93" s="633"/>
    </row>
    <row r="94" spans="1:7" s="634" customFormat="1" ht="18" customHeight="1" x14ac:dyDescent="0.2">
      <c r="A94" s="737" t="s">
        <v>79</v>
      </c>
      <c r="B94" s="737"/>
      <c r="C94" s="737"/>
      <c r="D94" s="737"/>
      <c r="E94" s="737"/>
      <c r="F94" s="737"/>
      <c r="G94" s="633"/>
    </row>
    <row r="95" spans="1:7" s="634" customFormat="1" ht="18" customHeight="1" x14ac:dyDescent="0.2">
      <c r="A95" s="737" t="s">
        <v>80</v>
      </c>
      <c r="B95" s="737"/>
      <c r="C95" s="737"/>
      <c r="D95" s="737"/>
      <c r="E95" s="737"/>
      <c r="F95" s="737"/>
      <c r="G95" s="633"/>
    </row>
    <row r="96" spans="1:7" s="634" customFormat="1" ht="18" customHeight="1" x14ac:dyDescent="0.2">
      <c r="A96" s="737" t="s">
        <v>81</v>
      </c>
      <c r="B96" s="737"/>
      <c r="C96" s="737"/>
      <c r="D96" s="737"/>
      <c r="E96" s="737"/>
      <c r="F96" s="737"/>
      <c r="G96" s="633"/>
    </row>
    <row r="97" spans="1:7" s="634" customFormat="1" ht="18" customHeight="1" x14ac:dyDescent="0.2">
      <c r="A97" s="737" t="s">
        <v>82</v>
      </c>
      <c r="B97" s="737"/>
      <c r="C97" s="737"/>
      <c r="D97" s="737"/>
      <c r="E97" s="737"/>
      <c r="F97" s="737"/>
      <c r="G97" s="633"/>
    </row>
    <row r="98" spans="1:7" s="634" customFormat="1" ht="18" customHeight="1" x14ac:dyDescent="0.2">
      <c r="A98" s="737" t="s">
        <v>83</v>
      </c>
      <c r="B98" s="737"/>
      <c r="C98" s="737"/>
      <c r="D98" s="737"/>
      <c r="E98" s="737"/>
      <c r="F98" s="737"/>
      <c r="G98" s="633"/>
    </row>
    <row r="99" spans="1:7" s="634" customFormat="1" ht="18" customHeight="1" x14ac:dyDescent="0.2">
      <c r="A99" s="737" t="s">
        <v>84</v>
      </c>
      <c r="B99" s="737"/>
      <c r="C99" s="737"/>
      <c r="D99" s="737"/>
      <c r="E99" s="737"/>
      <c r="F99" s="737"/>
      <c r="G99" s="633"/>
    </row>
    <row r="100" spans="1:7" s="634" customFormat="1" ht="18" customHeight="1" x14ac:dyDescent="0.2">
      <c r="A100" s="735" t="s">
        <v>85</v>
      </c>
      <c r="B100" s="735"/>
      <c r="C100" s="735"/>
      <c r="D100" s="735"/>
      <c r="E100" s="735"/>
      <c r="F100" s="735"/>
      <c r="G100" s="633"/>
    </row>
    <row r="101" spans="1:7" s="634" customFormat="1" ht="18" customHeight="1" x14ac:dyDescent="0.2">
      <c r="A101" s="737" t="s">
        <v>86</v>
      </c>
      <c r="B101" s="737"/>
      <c r="C101" s="737"/>
      <c r="D101" s="737"/>
      <c r="E101" s="737"/>
      <c r="F101" s="737"/>
      <c r="G101" s="633"/>
    </row>
    <row r="102" spans="1:7" s="634" customFormat="1" ht="18" customHeight="1" x14ac:dyDescent="0.2">
      <c r="A102" s="737" t="s">
        <v>87</v>
      </c>
      <c r="B102" s="737"/>
      <c r="C102" s="737"/>
      <c r="D102" s="737"/>
      <c r="E102" s="737"/>
      <c r="F102" s="737"/>
      <c r="G102" s="633"/>
    </row>
    <row r="103" spans="1:7" s="634" customFormat="1" ht="18" customHeight="1" x14ac:dyDescent="0.2">
      <c r="A103" s="737" t="s">
        <v>88</v>
      </c>
      <c r="B103" s="737"/>
      <c r="C103" s="737"/>
      <c r="D103" s="737"/>
      <c r="E103" s="737"/>
      <c r="F103" s="737"/>
      <c r="G103" s="633"/>
    </row>
    <row r="104" spans="1:7" s="634" customFormat="1" ht="18" customHeight="1" x14ac:dyDescent="0.2">
      <c r="A104" s="737" t="s">
        <v>89</v>
      </c>
      <c r="B104" s="737"/>
      <c r="C104" s="737"/>
      <c r="D104" s="737"/>
      <c r="E104" s="737"/>
      <c r="F104" s="737"/>
      <c r="G104" s="633"/>
    </row>
    <row r="105" spans="1:7" s="634" customFormat="1" ht="18" customHeight="1" x14ac:dyDescent="0.2">
      <c r="A105" s="737" t="s">
        <v>90</v>
      </c>
      <c r="B105" s="737"/>
      <c r="C105" s="737"/>
      <c r="D105" s="737"/>
      <c r="E105" s="737"/>
      <c r="F105" s="737"/>
      <c r="G105" s="633"/>
    </row>
    <row r="106" spans="1:7" s="634" customFormat="1" ht="18" customHeight="1" x14ac:dyDescent="0.2">
      <c r="A106" s="737" t="s">
        <v>91</v>
      </c>
      <c r="B106" s="737"/>
      <c r="C106" s="737"/>
      <c r="D106" s="737"/>
      <c r="E106" s="737"/>
      <c r="F106" s="737"/>
      <c r="G106" s="633"/>
    </row>
    <row r="107" spans="1:7" s="634" customFormat="1" ht="18" customHeight="1" x14ac:dyDescent="0.2">
      <c r="A107" s="737" t="s">
        <v>92</v>
      </c>
      <c r="B107" s="737"/>
      <c r="C107" s="737"/>
      <c r="D107" s="737"/>
      <c r="E107" s="737"/>
      <c r="F107" s="737"/>
      <c r="G107" s="633"/>
    </row>
    <row r="108" spans="1:7" s="634" customFormat="1" ht="18" customHeight="1" x14ac:dyDescent="0.2">
      <c r="A108" s="737" t="s">
        <v>93</v>
      </c>
      <c r="B108" s="737"/>
      <c r="C108" s="737"/>
      <c r="D108" s="737"/>
      <c r="E108" s="737"/>
      <c r="F108" s="737"/>
      <c r="G108" s="633"/>
    </row>
    <row r="109" spans="1:7" s="634" customFormat="1" ht="18" customHeight="1" x14ac:dyDescent="0.2">
      <c r="A109" s="737" t="s">
        <v>94</v>
      </c>
      <c r="B109" s="737"/>
      <c r="C109" s="737"/>
      <c r="D109" s="737"/>
      <c r="E109" s="737"/>
      <c r="F109" s="737"/>
      <c r="G109" s="633"/>
    </row>
    <row r="110" spans="1:7" s="634" customFormat="1" ht="18" customHeight="1" x14ac:dyDescent="0.2">
      <c r="A110" s="737" t="s">
        <v>95</v>
      </c>
      <c r="B110" s="737"/>
      <c r="C110" s="737"/>
      <c r="D110" s="737"/>
      <c r="E110" s="737"/>
      <c r="F110" s="737"/>
      <c r="G110" s="633"/>
    </row>
    <row r="111" spans="1:7" s="634" customFormat="1" ht="18" customHeight="1" x14ac:dyDescent="0.2">
      <c r="A111" s="737" t="s">
        <v>96</v>
      </c>
      <c r="B111" s="737"/>
      <c r="C111" s="737"/>
      <c r="D111" s="737"/>
      <c r="E111" s="737"/>
      <c r="F111" s="737"/>
      <c r="G111" s="633"/>
    </row>
    <row r="112" spans="1:7" s="634" customFormat="1" ht="18" customHeight="1" x14ac:dyDescent="0.2">
      <c r="A112" s="737" t="s">
        <v>97</v>
      </c>
      <c r="B112" s="737"/>
      <c r="C112" s="737"/>
      <c r="D112" s="737"/>
      <c r="E112" s="737"/>
      <c r="F112" s="737"/>
      <c r="G112" s="633"/>
    </row>
    <row r="113" spans="1:7" s="634" customFormat="1" ht="18" customHeight="1" x14ac:dyDescent="0.2">
      <c r="A113" s="735" t="s">
        <v>98</v>
      </c>
      <c r="B113" s="735"/>
      <c r="C113" s="735"/>
      <c r="D113" s="735"/>
      <c r="E113" s="735"/>
      <c r="F113" s="735"/>
      <c r="G113" s="633"/>
    </row>
    <row r="114" spans="1:7" s="634" customFormat="1" ht="18" customHeight="1" x14ac:dyDescent="0.2">
      <c r="A114" s="737" t="s">
        <v>99</v>
      </c>
      <c r="B114" s="737"/>
      <c r="C114" s="737"/>
      <c r="D114" s="737"/>
      <c r="E114" s="737"/>
      <c r="F114" s="737"/>
      <c r="G114" s="633"/>
    </row>
    <row r="115" spans="1:7" s="634" customFormat="1" ht="18" customHeight="1" x14ac:dyDescent="0.2">
      <c r="A115" s="735" t="s">
        <v>100</v>
      </c>
      <c r="B115" s="735"/>
      <c r="C115" s="735"/>
      <c r="D115" s="735"/>
      <c r="E115" s="735"/>
      <c r="F115" s="735"/>
      <c r="G115" s="633"/>
    </row>
    <row r="116" spans="1:7" s="634" customFormat="1" ht="18" customHeight="1" x14ac:dyDescent="0.2">
      <c r="A116" s="737" t="s">
        <v>101</v>
      </c>
      <c r="B116" s="737"/>
      <c r="C116" s="737"/>
      <c r="D116" s="737"/>
      <c r="E116" s="737"/>
      <c r="F116" s="737"/>
      <c r="G116" s="633"/>
    </row>
    <row r="117" spans="1:7" s="634" customFormat="1" ht="18" customHeight="1" x14ac:dyDescent="0.2">
      <c r="A117" s="737" t="s">
        <v>102</v>
      </c>
      <c r="B117" s="737"/>
      <c r="C117" s="737"/>
      <c r="D117" s="737"/>
      <c r="E117" s="737"/>
      <c r="F117" s="737"/>
      <c r="G117" s="633"/>
    </row>
    <row r="118" spans="1:7" s="634" customFormat="1" ht="18" customHeight="1" x14ac:dyDescent="0.2">
      <c r="A118" s="737" t="s">
        <v>103</v>
      </c>
      <c r="B118" s="737"/>
      <c r="C118" s="737"/>
      <c r="D118" s="737"/>
      <c r="E118" s="737"/>
      <c r="F118" s="737"/>
      <c r="G118" s="633"/>
    </row>
    <row r="119" spans="1:7" s="634" customFormat="1" ht="18" customHeight="1" x14ac:dyDescent="0.2">
      <c r="A119" s="737" t="s">
        <v>104</v>
      </c>
      <c r="B119" s="737"/>
      <c r="C119" s="737"/>
      <c r="D119" s="737"/>
      <c r="E119" s="737"/>
      <c r="F119" s="737"/>
      <c r="G119" s="633"/>
    </row>
    <row r="120" spans="1:7" s="634" customFormat="1" ht="18" customHeight="1" x14ac:dyDescent="0.2">
      <c r="A120" s="735" t="s">
        <v>105</v>
      </c>
      <c r="B120" s="735"/>
      <c r="C120" s="735"/>
      <c r="D120" s="735"/>
      <c r="E120" s="735"/>
      <c r="F120" s="735"/>
      <c r="G120" s="633"/>
    </row>
    <row r="121" spans="1:7" s="634" customFormat="1" ht="18" customHeight="1" x14ac:dyDescent="0.2">
      <c r="A121" s="737" t="s">
        <v>106</v>
      </c>
      <c r="B121" s="737"/>
      <c r="C121" s="737"/>
      <c r="D121" s="737"/>
      <c r="E121" s="737"/>
      <c r="F121" s="737"/>
      <c r="G121" s="633"/>
    </row>
    <row r="122" spans="1:7" s="634" customFormat="1" ht="18" customHeight="1" x14ac:dyDescent="0.2">
      <c r="A122" s="737" t="s">
        <v>107</v>
      </c>
      <c r="B122" s="737"/>
      <c r="C122" s="737"/>
      <c r="D122" s="737"/>
      <c r="E122" s="737"/>
      <c r="F122" s="737"/>
      <c r="G122" s="633"/>
    </row>
    <row r="123" spans="1:7" s="634" customFormat="1" ht="18" customHeight="1" x14ac:dyDescent="0.2">
      <c r="A123" s="737" t="s">
        <v>108</v>
      </c>
      <c r="B123" s="737"/>
      <c r="C123" s="737"/>
      <c r="D123" s="737"/>
      <c r="E123" s="737"/>
      <c r="F123" s="737"/>
      <c r="G123" s="633"/>
    </row>
    <row r="124" spans="1:7" s="634" customFormat="1" ht="18" customHeight="1" x14ac:dyDescent="0.2">
      <c r="A124" s="737" t="s">
        <v>109</v>
      </c>
      <c r="B124" s="737"/>
      <c r="C124" s="737"/>
      <c r="D124" s="737"/>
      <c r="E124" s="737"/>
      <c r="F124" s="737"/>
      <c r="G124" s="633"/>
    </row>
    <row r="125" spans="1:7" s="634" customFormat="1" ht="18" customHeight="1" x14ac:dyDescent="0.2">
      <c r="A125" s="737" t="s">
        <v>110</v>
      </c>
      <c r="B125" s="737"/>
      <c r="C125" s="737"/>
      <c r="D125" s="737"/>
      <c r="E125" s="737"/>
      <c r="F125" s="737"/>
      <c r="G125" s="633"/>
    </row>
    <row r="126" spans="1:7" ht="18" customHeight="1" x14ac:dyDescent="0.2">
      <c r="A126" s="735" t="s">
        <v>111</v>
      </c>
      <c r="B126" s="735"/>
      <c r="C126" s="735"/>
      <c r="D126" s="735"/>
      <c r="E126" s="735"/>
      <c r="F126" s="735"/>
    </row>
    <row r="127" spans="1:7" ht="18" customHeight="1" x14ac:dyDescent="0.2">
      <c r="A127" s="737" t="s">
        <v>112</v>
      </c>
      <c r="B127" s="737"/>
      <c r="C127" s="737"/>
      <c r="D127" s="737"/>
      <c r="E127" s="737"/>
      <c r="F127" s="737"/>
    </row>
    <row r="128" spans="1:7" ht="18" customHeight="1" x14ac:dyDescent="0.2">
      <c r="A128" s="737" t="s">
        <v>113</v>
      </c>
      <c r="B128" s="737"/>
      <c r="C128" s="737"/>
      <c r="D128" s="737"/>
      <c r="E128" s="737"/>
      <c r="F128" s="737"/>
    </row>
    <row r="129" spans="1:6" ht="18" customHeight="1" x14ac:dyDescent="0.2">
      <c r="A129" s="737" t="s">
        <v>114</v>
      </c>
      <c r="B129" s="737"/>
      <c r="C129" s="737"/>
      <c r="D129" s="737"/>
      <c r="E129" s="737"/>
      <c r="F129" s="737"/>
    </row>
    <row r="130" spans="1:6" ht="18" customHeight="1" x14ac:dyDescent="0.2">
      <c r="A130" s="737" t="s">
        <v>115</v>
      </c>
      <c r="B130" s="737"/>
      <c r="C130" s="737"/>
      <c r="D130" s="737"/>
      <c r="E130" s="737"/>
      <c r="F130" s="737"/>
    </row>
    <row r="131" spans="1:6" ht="18" customHeight="1" x14ac:dyDescent="0.2">
      <c r="A131" s="737" t="s">
        <v>116</v>
      </c>
      <c r="B131" s="737"/>
      <c r="C131" s="737"/>
      <c r="D131" s="737"/>
      <c r="E131" s="737"/>
      <c r="F131" s="737"/>
    </row>
    <row r="132" spans="1:6" ht="18" customHeight="1" x14ac:dyDescent="0.2">
      <c r="A132" s="737" t="s">
        <v>117</v>
      </c>
      <c r="B132" s="737"/>
      <c r="C132" s="737"/>
      <c r="D132" s="737"/>
      <c r="E132" s="737"/>
      <c r="F132" s="737"/>
    </row>
    <row r="133" spans="1:6" ht="18" customHeight="1" x14ac:dyDescent="0.2">
      <c r="A133" s="737" t="s">
        <v>118</v>
      </c>
      <c r="B133" s="737"/>
      <c r="C133" s="737"/>
      <c r="D133" s="737"/>
      <c r="E133" s="737"/>
      <c r="F133" s="737"/>
    </row>
    <row r="134" spans="1:6" ht="18" customHeight="1" x14ac:dyDescent="0.2">
      <c r="A134" s="737" t="s">
        <v>119</v>
      </c>
      <c r="B134" s="737"/>
      <c r="C134" s="737"/>
      <c r="D134" s="737"/>
      <c r="E134" s="737"/>
      <c r="F134" s="737"/>
    </row>
    <row r="135" spans="1:6" ht="18" customHeight="1" x14ac:dyDescent="0.2">
      <c r="A135" s="737" t="s">
        <v>120</v>
      </c>
      <c r="B135" s="737"/>
      <c r="C135" s="737"/>
      <c r="D135" s="737"/>
      <c r="E135" s="737"/>
      <c r="F135" s="737"/>
    </row>
    <row r="136" spans="1:6" ht="18" customHeight="1" x14ac:dyDescent="0.2">
      <c r="A136" s="737" t="s">
        <v>121</v>
      </c>
      <c r="B136" s="737"/>
      <c r="C136" s="737"/>
      <c r="D136" s="737"/>
      <c r="E136" s="737"/>
      <c r="F136" s="737"/>
    </row>
    <row r="137" spans="1:6" ht="18" customHeight="1" x14ac:dyDescent="0.2">
      <c r="A137" s="737" t="s">
        <v>122</v>
      </c>
      <c r="B137" s="737"/>
      <c r="C137" s="737"/>
      <c r="D137" s="737"/>
      <c r="E137" s="737"/>
      <c r="F137" s="737"/>
    </row>
  </sheetData>
  <mergeCells count="117"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0"/>
  <sheetViews>
    <sheetView workbookViewId="0"/>
  </sheetViews>
  <sheetFormatPr defaultColWidth="0" defaultRowHeight="12.75" zeroHeight="1" x14ac:dyDescent="0.2"/>
  <cols>
    <col min="1" max="6" width="20.7109375" style="9" customWidth="1"/>
    <col min="7" max="7" width="1.7109375" style="9" customWidth="1"/>
    <col min="8" max="8" width="9.140625" style="9" hidden="1" customWidth="1"/>
    <col min="9" max="9" width="11.140625" style="9" hidden="1" customWidth="1"/>
    <col min="10" max="12" width="9.140625" style="9" hidden="1" customWidth="1"/>
    <col min="13" max="13" width="13.5703125" style="9" hidden="1" customWidth="1"/>
    <col min="14" max="14" width="11.7109375" style="9" hidden="1" customWidth="1"/>
    <col min="15" max="15" width="14" style="9" hidden="1" customWidth="1"/>
    <col min="16" max="16" width="16.42578125" style="9" hidden="1" customWidth="1"/>
    <col min="17" max="16384" width="9.140625" style="9" hidden="1"/>
  </cols>
  <sheetData>
    <row r="1" spans="1:16" ht="13.5" thickBot="1" x14ac:dyDescent="0.25">
      <c r="A1" s="127" t="s">
        <v>123</v>
      </c>
      <c r="B1" s="127" t="s">
        <v>124</v>
      </c>
      <c r="C1" s="127" t="s">
        <v>125</v>
      </c>
      <c r="D1" s="127" t="s">
        <v>2</v>
      </c>
      <c r="E1" s="127" t="s">
        <v>126</v>
      </c>
      <c r="F1" s="127" t="s">
        <v>2</v>
      </c>
      <c r="M1" s="9" t="s">
        <v>127</v>
      </c>
      <c r="N1" s="9">
        <v>1</v>
      </c>
      <c r="O1" s="9" t="s">
        <v>128</v>
      </c>
      <c r="P1" s="9" t="s">
        <v>128</v>
      </c>
    </row>
    <row r="2" spans="1:16" ht="13.5" thickTop="1" x14ac:dyDescent="0.2">
      <c r="A2" s="128"/>
      <c r="B2" s="128"/>
      <c r="C2" s="129"/>
      <c r="D2" s="130"/>
      <c r="E2" s="130"/>
      <c r="F2" s="129"/>
      <c r="M2" s="9" t="s">
        <v>129</v>
      </c>
      <c r="N2" s="9">
        <v>2</v>
      </c>
      <c r="O2" s="9" t="s">
        <v>130</v>
      </c>
      <c r="P2" s="9" t="s">
        <v>130</v>
      </c>
    </row>
    <row r="3" spans="1:16" x14ac:dyDescent="0.2">
      <c r="A3" s="131"/>
      <c r="B3" s="131"/>
      <c r="C3" s="132"/>
      <c r="D3" s="133"/>
      <c r="E3" s="133"/>
      <c r="F3" s="132"/>
      <c r="M3" s="9" t="s">
        <v>131</v>
      </c>
      <c r="N3" s="9">
        <v>3</v>
      </c>
      <c r="O3" s="9" t="s">
        <v>132</v>
      </c>
      <c r="P3" s="9" t="s">
        <v>132</v>
      </c>
    </row>
    <row r="4" spans="1:16" x14ac:dyDescent="0.2">
      <c r="A4" s="131"/>
      <c r="B4" s="131"/>
      <c r="C4" s="132"/>
      <c r="D4" s="133"/>
      <c r="E4" s="133"/>
      <c r="F4" s="132"/>
      <c r="M4" s="9" t="s">
        <v>133</v>
      </c>
      <c r="N4" s="9">
        <v>4</v>
      </c>
      <c r="O4" s="9" t="s">
        <v>134</v>
      </c>
      <c r="P4" s="9" t="s">
        <v>134</v>
      </c>
    </row>
    <row r="5" spans="1:16" x14ac:dyDescent="0.2">
      <c r="A5" s="131"/>
      <c r="B5" s="131"/>
      <c r="C5" s="132"/>
      <c r="D5" s="133"/>
      <c r="E5" s="133"/>
      <c r="F5" s="132"/>
      <c r="M5" s="9" t="s">
        <v>135</v>
      </c>
      <c r="N5" s="9">
        <v>5</v>
      </c>
      <c r="O5" s="9" t="s">
        <v>136</v>
      </c>
      <c r="P5" s="9" t="s">
        <v>136</v>
      </c>
    </row>
    <row r="6" spans="1:16" x14ac:dyDescent="0.2">
      <c r="A6" s="131"/>
      <c r="B6" s="131"/>
      <c r="C6" s="132"/>
      <c r="D6" s="133"/>
      <c r="E6" s="133"/>
      <c r="F6" s="132"/>
      <c r="M6" s="9" t="s">
        <v>137</v>
      </c>
      <c r="N6" s="9">
        <v>6</v>
      </c>
      <c r="O6" s="9" t="s">
        <v>138</v>
      </c>
      <c r="P6" s="9" t="s">
        <v>138</v>
      </c>
    </row>
    <row r="7" spans="1:16" x14ac:dyDescent="0.2">
      <c r="A7" s="131"/>
      <c r="B7" s="131"/>
      <c r="C7" s="132"/>
      <c r="D7" s="133"/>
      <c r="E7" s="133"/>
      <c r="F7" s="132"/>
      <c r="M7" s="9" t="s">
        <v>139</v>
      </c>
      <c r="N7" s="9">
        <v>7</v>
      </c>
      <c r="O7" s="9" t="s">
        <v>140</v>
      </c>
      <c r="P7" s="9" t="s">
        <v>140</v>
      </c>
    </row>
    <row r="8" spans="1:16" x14ac:dyDescent="0.2">
      <c r="A8" s="131"/>
      <c r="B8" s="131"/>
      <c r="C8" s="132"/>
      <c r="D8" s="133"/>
      <c r="E8" s="133"/>
      <c r="F8" s="132"/>
      <c r="M8" s="9" t="s">
        <v>141</v>
      </c>
      <c r="N8" s="9">
        <v>8</v>
      </c>
      <c r="O8" s="9" t="s">
        <v>142</v>
      </c>
      <c r="P8" s="9" t="s">
        <v>142</v>
      </c>
    </row>
    <row r="9" spans="1:16" x14ac:dyDescent="0.2">
      <c r="A9" s="131"/>
      <c r="B9" s="131"/>
      <c r="C9" s="132"/>
      <c r="D9" s="133"/>
      <c r="E9" s="133"/>
      <c r="F9" s="132"/>
      <c r="M9" s="9" t="s">
        <v>143</v>
      </c>
      <c r="N9" s="9">
        <v>9</v>
      </c>
      <c r="O9" s="9" t="s">
        <v>144</v>
      </c>
      <c r="P9" s="9" t="s">
        <v>144</v>
      </c>
    </row>
    <row r="10" spans="1:16" x14ac:dyDescent="0.2">
      <c r="A10" s="131"/>
      <c r="B10" s="131"/>
      <c r="C10" s="132"/>
      <c r="D10" s="133"/>
      <c r="E10" s="133"/>
      <c r="F10" s="132"/>
      <c r="M10" s="9" t="s">
        <v>145</v>
      </c>
      <c r="N10" s="9">
        <v>10</v>
      </c>
      <c r="O10" s="9" t="s">
        <v>146</v>
      </c>
      <c r="P10" s="9" t="s">
        <v>146</v>
      </c>
    </row>
    <row r="11" spans="1:16" x14ac:dyDescent="0.2">
      <c r="A11" s="131"/>
      <c r="B11" s="131"/>
      <c r="C11" s="132"/>
      <c r="D11" s="133"/>
      <c r="E11" s="133"/>
      <c r="F11" s="132"/>
      <c r="M11" s="9" t="s">
        <v>147</v>
      </c>
      <c r="N11" s="9">
        <v>11</v>
      </c>
      <c r="O11" s="9" t="s">
        <v>148</v>
      </c>
      <c r="P11" s="9" t="s">
        <v>148</v>
      </c>
    </row>
    <row r="12" spans="1:16" x14ac:dyDescent="0.2">
      <c r="A12" s="131"/>
      <c r="B12" s="131"/>
      <c r="C12" s="132"/>
      <c r="D12" s="133"/>
      <c r="E12" s="133"/>
      <c r="F12" s="132"/>
      <c r="M12" s="9" t="s">
        <v>149</v>
      </c>
      <c r="N12" s="9">
        <v>12</v>
      </c>
      <c r="O12" s="9" t="s">
        <v>150</v>
      </c>
      <c r="P12" s="9" t="s">
        <v>150</v>
      </c>
    </row>
    <row r="13" spans="1:16" x14ac:dyDescent="0.2">
      <c r="A13" s="131"/>
      <c r="B13" s="131"/>
      <c r="C13" s="132"/>
      <c r="D13" s="133"/>
      <c r="E13" s="133"/>
      <c r="F13" s="132"/>
    </row>
    <row r="14" spans="1:16" x14ac:dyDescent="0.2">
      <c r="A14" s="131"/>
      <c r="B14" s="131"/>
      <c r="C14" s="132"/>
      <c r="D14" s="133"/>
      <c r="E14" s="133"/>
      <c r="F14" s="132"/>
    </row>
    <row r="15" spans="1:16" x14ac:dyDescent="0.2">
      <c r="A15" s="131"/>
      <c r="B15" s="131"/>
      <c r="C15" s="132"/>
      <c r="D15" s="133"/>
      <c r="E15" s="133"/>
      <c r="F15" s="132"/>
    </row>
    <row r="16" spans="1:16" x14ac:dyDescent="0.2">
      <c r="A16" s="131"/>
      <c r="B16" s="131"/>
      <c r="C16" s="132"/>
      <c r="D16" s="133"/>
      <c r="E16" s="133"/>
      <c r="F16" s="132"/>
    </row>
    <row r="17" spans="1:6" x14ac:dyDescent="0.2">
      <c r="A17" s="131"/>
      <c r="B17" s="131"/>
      <c r="C17" s="132"/>
      <c r="D17" s="133"/>
      <c r="E17" s="133"/>
      <c r="F17" s="132"/>
    </row>
    <row r="18" spans="1:6" x14ac:dyDescent="0.2">
      <c r="A18" s="131"/>
      <c r="B18" s="131"/>
      <c r="C18" s="132"/>
      <c r="D18" s="133"/>
      <c r="E18" s="133"/>
      <c r="F18" s="132"/>
    </row>
    <row r="19" spans="1:6" x14ac:dyDescent="0.2">
      <c r="A19" s="131"/>
      <c r="B19" s="131"/>
      <c r="C19" s="132"/>
      <c r="D19" s="133"/>
      <c r="E19" s="133"/>
      <c r="F19" s="132"/>
    </row>
    <row r="20" spans="1:6" x14ac:dyDescent="0.2"/>
  </sheetData>
  <dataValidations count="4">
    <dataValidation type="list" allowBlank="1" showInputMessage="1" showErrorMessage="1" sqref="E2:E19" xr:uid="{00000000-0002-0000-0100-000000000000}">
      <formula1>$P$1:$P$12</formula1>
    </dataValidation>
    <dataValidation type="list" allowBlank="1" showInputMessage="1" showErrorMessage="1" sqref="C2:C19" xr:uid="{00000000-0002-0000-0100-000001000000}">
      <formula1>$O$1:$O$12</formula1>
    </dataValidation>
    <dataValidation type="list" allowBlank="1" showInputMessage="1" showErrorMessage="1" sqref="B2:B19" xr:uid="{00000000-0002-0000-0100-000002000000}">
      <formula1>$N$1:$N$12</formula1>
    </dataValidation>
    <dataValidation type="list" allowBlank="1" showInputMessage="1" showErrorMessage="1" sqref="A2:A19" xr:uid="{00000000-0002-0000-0100-000003000000}">
      <formula1>$M$1:$M$12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workbookViewId="0"/>
  </sheetViews>
  <sheetFormatPr defaultColWidth="0" defaultRowHeight="12.75" zeroHeight="1" x14ac:dyDescent="0.2"/>
  <cols>
    <col min="1" max="23" width="9.140625" style="632" customWidth="1"/>
    <col min="24" max="25" width="9.140625" style="632" hidden="1" customWidth="1"/>
    <col min="26" max="16384" width="9.140625" style="632" hidden="1"/>
  </cols>
  <sheetData>
    <row r="1" s="632" customFormat="1" x14ac:dyDescent="0.2"/>
    <row r="2" s="632" customFormat="1" x14ac:dyDescent="0.2"/>
    <row r="3" s="632" customFormat="1" x14ac:dyDescent="0.2"/>
    <row r="4" s="632" customFormat="1" x14ac:dyDescent="0.2"/>
    <row r="5" s="632" customFormat="1" x14ac:dyDescent="0.2"/>
    <row r="6" s="632" customFormat="1" x14ac:dyDescent="0.2"/>
    <row r="7" s="632" customFormat="1" x14ac:dyDescent="0.2"/>
    <row r="8" s="632" customFormat="1" x14ac:dyDescent="0.2"/>
    <row r="9" s="632" customFormat="1" x14ac:dyDescent="0.2"/>
    <row r="10" s="632" customFormat="1" x14ac:dyDescent="0.2"/>
    <row r="11" s="632" customFormat="1" x14ac:dyDescent="0.2"/>
    <row r="12" s="632" customFormat="1" x14ac:dyDescent="0.2"/>
    <row r="13" s="632" customFormat="1" x14ac:dyDescent="0.2"/>
    <row r="14" s="632" customFormat="1" x14ac:dyDescent="0.2"/>
    <row r="15" s="632" customFormat="1" x14ac:dyDescent="0.2"/>
    <row r="16" s="632" customFormat="1" x14ac:dyDescent="0.2"/>
    <row r="17" s="632" customFormat="1" x14ac:dyDescent="0.2"/>
    <row r="18" s="632" customFormat="1" x14ac:dyDescent="0.2"/>
    <row r="19" s="632" customFormat="1" x14ac:dyDescent="0.2"/>
    <row r="20" s="632" customFormat="1" x14ac:dyDescent="0.2"/>
    <row r="21" s="632" customFormat="1" x14ac:dyDescent="0.2"/>
    <row r="22" s="632" customFormat="1" x14ac:dyDescent="0.2"/>
    <row r="23" s="632" customFormat="1" x14ac:dyDescent="0.2"/>
    <row r="24" s="632" customFormat="1" x14ac:dyDescent="0.2"/>
    <row r="25" s="632" customFormat="1" x14ac:dyDescent="0.2"/>
    <row r="26" s="632" customFormat="1" x14ac:dyDescent="0.2"/>
    <row r="27" s="632" customFormat="1" x14ac:dyDescent="0.2"/>
    <row r="28" s="632" customFormat="1" x14ac:dyDescent="0.2"/>
    <row r="29" s="632" customFormat="1" x14ac:dyDescent="0.2"/>
    <row r="30" s="632" customFormat="1" x14ac:dyDescent="0.2"/>
    <row r="31" s="632" customFormat="1" x14ac:dyDescent="0.2"/>
    <row r="32" s="632" customFormat="1" x14ac:dyDescent="0.2"/>
    <row r="33" s="632" customFormat="1" x14ac:dyDescent="0.2"/>
    <row r="34" s="632" customFormat="1" x14ac:dyDescent="0.2"/>
    <row r="35" s="632" customFormat="1" x14ac:dyDescent="0.2"/>
    <row r="36" s="632" customFormat="1" x14ac:dyDescent="0.2"/>
    <row r="37" s="632" customFormat="1" x14ac:dyDescent="0.2"/>
    <row r="38" s="632" customFormat="1" x14ac:dyDescent="0.2"/>
    <row r="39" s="632" customFormat="1" x14ac:dyDescent="0.2"/>
    <row r="40" s="632" customFormat="1" x14ac:dyDescent="0.2"/>
    <row r="41" s="632" customFormat="1" x14ac:dyDescent="0.2"/>
    <row r="42" s="632" customFormat="1" x14ac:dyDescent="0.2"/>
    <row r="43" s="632" customFormat="1" x14ac:dyDescent="0.2"/>
    <row r="44" s="632" customFormat="1" x14ac:dyDescent="0.2"/>
    <row r="45" s="632" customFormat="1" x14ac:dyDescent="0.2"/>
    <row r="46" s="632" customFormat="1" hidden="1" x14ac:dyDescent="0.2"/>
    <row r="47" s="632" customFormat="1" hidden="1" x14ac:dyDescent="0.2"/>
    <row r="48" s="632" customFormat="1" hidden="1" x14ac:dyDescent="0.2"/>
    <row r="49" s="632" customFormat="1" hidden="1" x14ac:dyDescent="0.2"/>
    <row r="50" s="632" customFormat="1" hidden="1" x14ac:dyDescent="0.2"/>
    <row r="51" s="632" customFormat="1" hidden="1" x14ac:dyDescent="0.2"/>
    <row r="52" s="632" customFormat="1" hidden="1" x14ac:dyDescent="0.2"/>
    <row r="53" s="632" customFormat="1" hidden="1" x14ac:dyDescent="0.2"/>
    <row r="54" s="632" customFormat="1" hidden="1" x14ac:dyDescent="0.2"/>
    <row r="55" s="632" customFormat="1" hidden="1" x14ac:dyDescent="0.2"/>
    <row r="56" s="632" customFormat="1" hidden="1" x14ac:dyDescent="0.2"/>
    <row r="57" s="632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workbookViewId="0">
      <selection activeCell="B3" sqref="B3"/>
    </sheetView>
  </sheetViews>
  <sheetFormatPr defaultColWidth="0" defaultRowHeight="15" zeroHeight="1" x14ac:dyDescent="0.2"/>
  <cols>
    <col min="1" max="1" width="40.7109375" style="126" customWidth="1"/>
    <col min="2" max="2" width="30.28515625" style="126" bestFit="1" customWidth="1"/>
    <col min="3" max="3" width="19.7109375" style="126" customWidth="1"/>
    <col min="4" max="4" width="70.7109375" style="126" customWidth="1"/>
    <col min="5" max="6" width="15.7109375" style="126" customWidth="1"/>
    <col min="7" max="25" width="10.7109375" style="314" customWidth="1"/>
    <col min="26" max="26" width="33.7109375" style="314" customWidth="1"/>
    <col min="27" max="27" width="9.85546875" style="314" customWidth="1"/>
    <col min="28" max="29" width="17.7109375" style="314" customWidth="1"/>
    <col min="30" max="30" width="1.7109375" style="314" customWidth="1"/>
    <col min="31" max="16384" width="10.7109375" style="314" hidden="1"/>
  </cols>
  <sheetData>
    <row r="1" spans="1:29" ht="30" customHeight="1" x14ac:dyDescent="0.2">
      <c r="A1" s="751" t="s">
        <v>151</v>
      </c>
      <c r="B1" s="751"/>
      <c r="C1" s="751"/>
      <c r="D1" s="751"/>
      <c r="E1" s="751" t="s">
        <v>152</v>
      </c>
      <c r="F1" s="751"/>
      <c r="J1" s="166"/>
      <c r="K1" s="166"/>
      <c r="Z1" s="315"/>
      <c r="AA1" s="315"/>
      <c r="AB1" s="315"/>
      <c r="AC1" s="315"/>
    </row>
    <row r="2" spans="1:29" ht="20.100000000000001" customHeight="1" thickBot="1" x14ac:dyDescent="0.25">
      <c r="A2" s="752" t="s">
        <v>155</v>
      </c>
      <c r="B2" s="752"/>
      <c r="C2" s="752"/>
      <c r="D2" s="540" t="s">
        <v>156</v>
      </c>
      <c r="E2" s="540" t="s">
        <v>157</v>
      </c>
      <c r="F2" s="540" t="s">
        <v>158</v>
      </c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33" t="s">
        <v>6</v>
      </c>
      <c r="AA2" s="334" t="s">
        <v>153</v>
      </c>
      <c r="AB2" s="334" t="s">
        <v>159</v>
      </c>
      <c r="AC2" s="335" t="s">
        <v>154</v>
      </c>
    </row>
    <row r="3" spans="1:29" ht="20.100000000000001" customHeight="1" thickTop="1" x14ac:dyDescent="0.2">
      <c r="A3" s="548" t="s">
        <v>160</v>
      </c>
      <c r="B3" s="165" t="s">
        <v>161</v>
      </c>
      <c r="C3" s="682">
        <v>2301</v>
      </c>
      <c r="D3" s="671" t="s">
        <v>162</v>
      </c>
      <c r="E3" s="518"/>
      <c r="F3" s="160"/>
      <c r="H3" s="166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20" t="s">
        <v>163</v>
      </c>
      <c r="AA3" s="66" t="s">
        <v>164</v>
      </c>
      <c r="AB3" s="66" t="s">
        <v>165</v>
      </c>
      <c r="AC3" s="326" t="s">
        <v>166</v>
      </c>
    </row>
    <row r="4" spans="1:29" ht="20.100000000000001" customHeight="1" x14ac:dyDescent="0.2">
      <c r="A4" s="549" t="s">
        <v>167</v>
      </c>
      <c r="B4" s="156" t="s">
        <v>168</v>
      </c>
      <c r="C4" s="527">
        <v>106.58</v>
      </c>
      <c r="D4" s="672" t="s">
        <v>169</v>
      </c>
      <c r="E4" s="519"/>
      <c r="F4" s="161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21" t="s">
        <v>170</v>
      </c>
      <c r="AA4" s="167" t="s">
        <v>171</v>
      </c>
      <c r="AB4" s="167" t="s">
        <v>165</v>
      </c>
      <c r="AC4" s="327" t="s">
        <v>172</v>
      </c>
    </row>
    <row r="5" spans="1:29" ht="20.100000000000001" customHeight="1" x14ac:dyDescent="0.2">
      <c r="A5" s="550" t="s">
        <v>2199</v>
      </c>
      <c r="B5" s="156" t="s">
        <v>173</v>
      </c>
      <c r="C5" s="527">
        <v>126.39</v>
      </c>
      <c r="D5" s="672" t="s">
        <v>169</v>
      </c>
      <c r="E5" s="519"/>
      <c r="F5" s="161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320" t="s">
        <v>174</v>
      </c>
      <c r="AA5" s="66" t="s">
        <v>175</v>
      </c>
      <c r="AB5" s="66" t="s">
        <v>165</v>
      </c>
      <c r="AC5" s="326" t="s">
        <v>176</v>
      </c>
    </row>
    <row r="6" spans="1:29" ht="20.100000000000001" customHeight="1" x14ac:dyDescent="0.2">
      <c r="A6" s="549" t="s">
        <v>177</v>
      </c>
      <c r="B6" s="156" t="s">
        <v>178</v>
      </c>
      <c r="C6" s="527">
        <v>54.46</v>
      </c>
      <c r="D6" s="672" t="s">
        <v>169</v>
      </c>
      <c r="E6" s="519"/>
      <c r="F6" s="161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20" t="s">
        <v>179</v>
      </c>
      <c r="AA6" s="66" t="s">
        <v>180</v>
      </c>
      <c r="AB6" s="66" t="s">
        <v>165</v>
      </c>
      <c r="AC6" s="326" t="s">
        <v>181</v>
      </c>
    </row>
    <row r="7" spans="1:29" ht="20.100000000000001" customHeight="1" x14ac:dyDescent="0.2">
      <c r="A7" s="550" t="s">
        <v>2200</v>
      </c>
      <c r="B7" s="156" t="s">
        <v>182</v>
      </c>
      <c r="C7" s="527">
        <v>74.27</v>
      </c>
      <c r="D7" s="672" t="s">
        <v>169</v>
      </c>
      <c r="E7" s="519"/>
      <c r="F7" s="161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20" t="s">
        <v>183</v>
      </c>
      <c r="AA7" s="66" t="s">
        <v>184</v>
      </c>
      <c r="AB7" s="66" t="s">
        <v>165</v>
      </c>
      <c r="AC7" s="326" t="s">
        <v>185</v>
      </c>
    </row>
    <row r="8" spans="1:29" ht="20.100000000000001" customHeight="1" x14ac:dyDescent="0.2">
      <c r="A8" s="551"/>
      <c r="B8" s="156" t="s">
        <v>186</v>
      </c>
      <c r="C8" s="683">
        <f>SQRT((4/(PI()*1.025))*((C4/1000)-(C6/1000)))</f>
        <v>0.25444582550836026</v>
      </c>
      <c r="D8" s="672" t="s">
        <v>187</v>
      </c>
      <c r="E8" s="519"/>
      <c r="F8" s="161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20" t="s">
        <v>127</v>
      </c>
      <c r="AA8" s="66" t="s">
        <v>188</v>
      </c>
      <c r="AB8" s="66" t="s">
        <v>165</v>
      </c>
      <c r="AC8" s="326" t="s">
        <v>189</v>
      </c>
    </row>
    <row r="9" spans="1:29" ht="20.100000000000001" customHeight="1" x14ac:dyDescent="0.2">
      <c r="A9" s="551"/>
      <c r="B9" s="156" t="s">
        <v>190</v>
      </c>
      <c r="C9" s="528">
        <f>SQRT((4/(PI()*1.025))*((C7/1000)-(C6/1000)))</f>
        <v>0.15686836296313925</v>
      </c>
      <c r="D9" s="672" t="s">
        <v>191</v>
      </c>
      <c r="E9" s="519"/>
      <c r="F9" s="161"/>
      <c r="H9" s="166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20" t="s">
        <v>129</v>
      </c>
      <c r="AA9" s="66" t="s">
        <v>192</v>
      </c>
      <c r="AB9" s="66" t="s">
        <v>165</v>
      </c>
      <c r="AC9" s="326" t="s">
        <v>193</v>
      </c>
    </row>
    <row r="10" spans="1:29" ht="20.100000000000001" customHeight="1" x14ac:dyDescent="0.2">
      <c r="A10" s="551"/>
      <c r="B10" s="156" t="s">
        <v>194</v>
      </c>
      <c r="C10" s="527">
        <v>254.4</v>
      </c>
      <c r="D10" s="672" t="s">
        <v>169</v>
      </c>
      <c r="E10" s="519"/>
      <c r="F10" s="161"/>
      <c r="H10" s="166"/>
      <c r="M10" s="315"/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20" t="s">
        <v>131</v>
      </c>
      <c r="AA10" s="66" t="s">
        <v>195</v>
      </c>
      <c r="AB10" s="66" t="s">
        <v>165</v>
      </c>
      <c r="AC10" s="326" t="s">
        <v>196</v>
      </c>
    </row>
    <row r="11" spans="1:29" ht="20.100000000000001" customHeight="1" x14ac:dyDescent="0.2">
      <c r="A11" s="551"/>
      <c r="B11" s="156" t="s">
        <v>1685</v>
      </c>
      <c r="C11" s="527">
        <v>6</v>
      </c>
      <c r="D11" s="672" t="s">
        <v>169</v>
      </c>
      <c r="E11" s="519"/>
      <c r="F11" s="161"/>
      <c r="H11" s="166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20" t="s">
        <v>133</v>
      </c>
      <c r="AA11" s="66" t="s">
        <v>197</v>
      </c>
      <c r="AB11" s="66" t="s">
        <v>165</v>
      </c>
      <c r="AC11" s="326" t="s">
        <v>198</v>
      </c>
    </row>
    <row r="12" spans="1:29" ht="20.100000000000001" customHeight="1" x14ac:dyDescent="0.2">
      <c r="A12" s="551"/>
      <c r="B12" s="156" t="s">
        <v>199</v>
      </c>
      <c r="C12" s="527">
        <v>1.67</v>
      </c>
      <c r="D12" s="672" t="s">
        <v>1686</v>
      </c>
      <c r="E12" s="519"/>
      <c r="F12" s="161"/>
      <c r="M12" s="315"/>
      <c r="N12" s="315"/>
      <c r="O12" s="315"/>
      <c r="P12" s="315"/>
      <c r="Q12" s="315"/>
      <c r="R12" s="315"/>
      <c r="S12" s="315"/>
      <c r="T12" s="315"/>
      <c r="U12" s="315"/>
      <c r="V12" s="315"/>
      <c r="W12" s="315"/>
      <c r="X12" s="315"/>
      <c r="Y12" s="315"/>
      <c r="Z12" s="320" t="s">
        <v>135</v>
      </c>
      <c r="AA12" s="66" t="s">
        <v>200</v>
      </c>
      <c r="AB12" s="66" t="s">
        <v>165</v>
      </c>
      <c r="AC12" s="326" t="s">
        <v>201</v>
      </c>
    </row>
    <row r="13" spans="1:29" ht="20.100000000000001" customHeight="1" x14ac:dyDescent="0.2">
      <c r="A13" s="551"/>
      <c r="B13" s="156" t="s">
        <v>202</v>
      </c>
      <c r="C13" s="527">
        <v>2.5049999999999999</v>
      </c>
      <c r="D13" s="673" t="s">
        <v>1774</v>
      </c>
      <c r="E13" s="519"/>
      <c r="F13" s="161"/>
      <c r="M13" s="315"/>
      <c r="N13" s="315"/>
      <c r="O13" s="315"/>
      <c r="P13" s="315"/>
      <c r="Q13" s="315"/>
      <c r="R13" s="315"/>
      <c r="S13" s="315"/>
      <c r="T13" s="315"/>
      <c r="U13" s="315"/>
      <c r="V13" s="315"/>
      <c r="W13" s="315"/>
      <c r="X13" s="315"/>
      <c r="Y13" s="315"/>
      <c r="Z13" s="320" t="s">
        <v>137</v>
      </c>
      <c r="AA13" s="66" t="s">
        <v>203</v>
      </c>
      <c r="AB13" s="66" t="s">
        <v>165</v>
      </c>
      <c r="AC13" s="326" t="s">
        <v>204</v>
      </c>
    </row>
    <row r="14" spans="1:29" ht="20.100000000000001" customHeight="1" x14ac:dyDescent="0.2">
      <c r="A14" s="551"/>
      <c r="B14" s="156" t="s">
        <v>205</v>
      </c>
      <c r="C14" s="687">
        <v>20.466000000000001</v>
      </c>
      <c r="D14" s="672" t="s">
        <v>206</v>
      </c>
      <c r="E14" s="519"/>
      <c r="F14" s="161"/>
      <c r="H14" s="166"/>
      <c r="M14" s="315"/>
      <c r="N14" s="315"/>
      <c r="O14" s="315"/>
      <c r="P14" s="315"/>
      <c r="Q14" s="315"/>
      <c r="R14" s="166"/>
      <c r="S14" s="315"/>
      <c r="T14" s="315"/>
      <c r="U14" s="315"/>
      <c r="V14" s="315"/>
      <c r="W14" s="315"/>
      <c r="X14" s="315"/>
      <c r="Y14" s="315"/>
      <c r="Z14" s="322" t="s">
        <v>139</v>
      </c>
      <c r="AA14" s="66" t="s">
        <v>1669</v>
      </c>
      <c r="AB14" s="66" t="s">
        <v>165</v>
      </c>
      <c r="AC14" s="326" t="s">
        <v>1670</v>
      </c>
    </row>
    <row r="15" spans="1:29" ht="20.100000000000001" customHeight="1" x14ac:dyDescent="0.2">
      <c r="A15" s="551"/>
      <c r="B15" s="156" t="s">
        <v>211</v>
      </c>
      <c r="C15" s="529">
        <v>1072</v>
      </c>
      <c r="D15" s="672" t="s">
        <v>1687</v>
      </c>
      <c r="E15" s="519"/>
      <c r="F15" s="161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23" t="s">
        <v>207</v>
      </c>
      <c r="AA15" s="168" t="s">
        <v>208</v>
      </c>
      <c r="AB15" s="168" t="s">
        <v>209</v>
      </c>
      <c r="AC15" s="328" t="s">
        <v>210</v>
      </c>
    </row>
    <row r="16" spans="1:29" ht="20.100000000000001" customHeight="1" x14ac:dyDescent="0.2">
      <c r="A16" s="551"/>
      <c r="B16" s="157" t="s">
        <v>214</v>
      </c>
      <c r="C16" s="688">
        <v>3.9636454439877442E-2</v>
      </c>
      <c r="D16" s="672" t="s">
        <v>215</v>
      </c>
      <c r="E16" s="519"/>
      <c r="F16" s="161"/>
      <c r="M16" s="747"/>
      <c r="N16" s="747"/>
      <c r="O16" s="747"/>
      <c r="P16" s="747"/>
      <c r="Q16" s="747"/>
      <c r="R16" s="747"/>
      <c r="S16" s="747"/>
      <c r="T16" s="747"/>
      <c r="U16" s="747"/>
      <c r="V16" s="747"/>
      <c r="W16" s="315"/>
      <c r="X16" s="315"/>
      <c r="Y16" s="315"/>
      <c r="Z16" s="323" t="s">
        <v>212</v>
      </c>
      <c r="AA16" s="168" t="s">
        <v>180</v>
      </c>
      <c r="AB16" s="168" t="s">
        <v>209</v>
      </c>
      <c r="AC16" s="328" t="s">
        <v>213</v>
      </c>
    </row>
    <row r="17" spans="1:29" ht="20.100000000000001" customHeight="1" thickBot="1" x14ac:dyDescent="0.25">
      <c r="A17" s="552"/>
      <c r="B17" s="158" t="s">
        <v>219</v>
      </c>
      <c r="C17" s="689">
        <v>252293</v>
      </c>
      <c r="D17" s="674" t="s">
        <v>1688</v>
      </c>
      <c r="E17" s="520"/>
      <c r="F17" s="162"/>
      <c r="M17" s="315"/>
      <c r="N17" s="315"/>
      <c r="O17" s="315"/>
      <c r="P17" s="315"/>
      <c r="Q17" s="315"/>
      <c r="R17" s="315"/>
      <c r="S17" s="315"/>
      <c r="T17" s="315"/>
      <c r="U17" s="315"/>
      <c r="V17" s="315"/>
      <c r="W17" s="315"/>
      <c r="X17" s="315"/>
      <c r="Y17" s="315"/>
      <c r="Z17" s="323" t="s">
        <v>216</v>
      </c>
      <c r="AA17" s="168" t="s">
        <v>217</v>
      </c>
      <c r="AB17" s="168" t="s">
        <v>209</v>
      </c>
      <c r="AC17" s="328" t="s">
        <v>218</v>
      </c>
    </row>
    <row r="18" spans="1:29" ht="20.100000000000001" customHeight="1" x14ac:dyDescent="0.2">
      <c r="A18" s="553" t="s">
        <v>221</v>
      </c>
      <c r="B18" s="684" t="s">
        <v>222</v>
      </c>
      <c r="C18" s="541">
        <v>4210</v>
      </c>
      <c r="D18" s="675" t="s">
        <v>223</v>
      </c>
      <c r="E18" s="521"/>
      <c r="F18" s="163"/>
      <c r="M18" s="315"/>
      <c r="N18" s="315"/>
      <c r="O18" s="315"/>
      <c r="P18" s="315"/>
      <c r="Q18" s="315"/>
      <c r="R18" s="315"/>
      <c r="S18" s="315"/>
      <c r="T18" s="315"/>
      <c r="U18" s="315"/>
      <c r="V18" s="315"/>
      <c r="W18" s="315"/>
      <c r="X18" s="315"/>
      <c r="Y18" s="315"/>
      <c r="Z18" s="323" t="s">
        <v>125</v>
      </c>
      <c r="AA18" s="168" t="s">
        <v>176</v>
      </c>
      <c r="AB18" s="168" t="s">
        <v>209</v>
      </c>
      <c r="AC18" s="328" t="s">
        <v>220</v>
      </c>
    </row>
    <row r="19" spans="1:29" ht="20.100000000000001" customHeight="1" x14ac:dyDescent="0.2">
      <c r="A19" s="549" t="s">
        <v>167</v>
      </c>
      <c r="B19" s="156" t="s">
        <v>227</v>
      </c>
      <c r="C19" s="526">
        <v>1178</v>
      </c>
      <c r="D19" s="676" t="s">
        <v>330</v>
      </c>
      <c r="E19" s="519"/>
      <c r="F19" s="161"/>
      <c r="H19" s="166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23" t="s">
        <v>224</v>
      </c>
      <c r="AA19" s="168" t="s">
        <v>225</v>
      </c>
      <c r="AB19" s="168" t="s">
        <v>209</v>
      </c>
      <c r="AC19" s="328" t="s">
        <v>226</v>
      </c>
    </row>
    <row r="20" spans="1:29" ht="20.100000000000001" customHeight="1" x14ac:dyDescent="0.2">
      <c r="A20" s="550" t="s">
        <v>2201</v>
      </c>
      <c r="B20" s="156" t="s">
        <v>230</v>
      </c>
      <c r="C20" s="526">
        <v>1024.8599999999999</v>
      </c>
      <c r="D20" s="672" t="s">
        <v>1697</v>
      </c>
      <c r="E20" s="519"/>
      <c r="F20" s="161"/>
      <c r="H20" s="166"/>
      <c r="M20" s="315"/>
      <c r="N20" s="315"/>
      <c r="O20" s="315"/>
      <c r="P20" s="315"/>
      <c r="Q20" s="315"/>
      <c r="R20" s="315"/>
      <c r="S20" s="315"/>
      <c r="T20" s="315"/>
      <c r="U20" s="315"/>
      <c r="V20" s="315"/>
      <c r="W20" s="315"/>
      <c r="X20" s="315"/>
      <c r="Y20" s="315"/>
      <c r="Z20" s="323" t="s">
        <v>228</v>
      </c>
      <c r="AA20" s="168" t="s">
        <v>229</v>
      </c>
      <c r="AB20" s="168" t="s">
        <v>209</v>
      </c>
      <c r="AC20" s="328" t="s">
        <v>197</v>
      </c>
    </row>
    <row r="21" spans="1:29" ht="20.100000000000001" customHeight="1" x14ac:dyDescent="0.2">
      <c r="A21" s="549" t="s">
        <v>177</v>
      </c>
      <c r="B21" s="156" t="s">
        <v>234</v>
      </c>
      <c r="C21" s="530">
        <f>(($C$19/1000)/($C$18/1000))</f>
        <v>0.27980997624703086</v>
      </c>
      <c r="D21" s="672" t="s">
        <v>1689</v>
      </c>
      <c r="E21" s="519"/>
      <c r="F21" s="161"/>
      <c r="J21" s="221"/>
      <c r="M21" s="315"/>
      <c r="N21" s="315"/>
      <c r="O21" s="315"/>
      <c r="P21" s="315"/>
      <c r="Q21" s="315"/>
      <c r="R21" s="315"/>
      <c r="S21" s="315"/>
      <c r="T21" s="315"/>
      <c r="U21" s="315"/>
      <c r="V21" s="315"/>
      <c r="W21" s="315"/>
      <c r="X21" s="315"/>
      <c r="Y21" s="315"/>
      <c r="Z21" s="323" t="s">
        <v>231</v>
      </c>
      <c r="AA21" s="168" t="s">
        <v>232</v>
      </c>
      <c r="AB21" s="168" t="s">
        <v>209</v>
      </c>
      <c r="AC21" s="328" t="s">
        <v>233</v>
      </c>
    </row>
    <row r="22" spans="1:29" ht="20.100000000000001" customHeight="1" x14ac:dyDescent="0.2">
      <c r="A22" s="550" t="s">
        <v>2202</v>
      </c>
      <c r="B22" s="156" t="s">
        <v>238</v>
      </c>
      <c r="C22" s="530">
        <f>(($C$20/1000)/($C$18/1000))</f>
        <v>0.24343467933491683</v>
      </c>
      <c r="D22" s="672" t="s">
        <v>1697</v>
      </c>
      <c r="E22" s="519"/>
      <c r="F22" s="161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23" t="s">
        <v>235</v>
      </c>
      <c r="AA22" s="168" t="s">
        <v>236</v>
      </c>
      <c r="AB22" s="168" t="s">
        <v>209</v>
      </c>
      <c r="AC22" s="328" t="s">
        <v>237</v>
      </c>
    </row>
    <row r="23" spans="1:29" ht="20.100000000000001" customHeight="1" x14ac:dyDescent="0.2">
      <c r="A23" s="554" t="s">
        <v>242</v>
      </c>
      <c r="B23" s="156" t="s">
        <v>186</v>
      </c>
      <c r="C23" s="528">
        <f>SQRT(((4/PI()/1.025)*(C21-C22))+(C25/1000)^2)</f>
        <v>0.35154636301109454</v>
      </c>
      <c r="D23" s="672" t="s">
        <v>243</v>
      </c>
      <c r="E23" s="519"/>
      <c r="F23" s="161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23" t="s">
        <v>239</v>
      </c>
      <c r="AA23" s="168" t="s">
        <v>240</v>
      </c>
      <c r="AB23" s="168" t="s">
        <v>209</v>
      </c>
      <c r="AC23" s="328" t="s">
        <v>241</v>
      </c>
    </row>
    <row r="24" spans="1:29" ht="20.100000000000001" customHeight="1" x14ac:dyDescent="0.2">
      <c r="A24" s="555" t="s">
        <v>2203</v>
      </c>
      <c r="B24" s="156" t="s">
        <v>247</v>
      </c>
      <c r="C24" s="529">
        <v>305</v>
      </c>
      <c r="D24" s="672" t="s">
        <v>1694</v>
      </c>
      <c r="E24" s="519"/>
      <c r="F24" s="161"/>
      <c r="M24" s="315"/>
      <c r="N24" s="315"/>
      <c r="O24" s="315"/>
      <c r="P24" s="315"/>
      <c r="Q24" s="315"/>
      <c r="R24" s="315"/>
      <c r="S24" s="315"/>
      <c r="T24" s="315"/>
      <c r="U24" s="315"/>
      <c r="V24" s="315"/>
      <c r="W24" s="315"/>
      <c r="X24" s="315"/>
      <c r="Y24" s="315"/>
      <c r="Z24" s="320" t="s">
        <v>160</v>
      </c>
      <c r="AA24" s="66" t="s">
        <v>244</v>
      </c>
      <c r="AB24" s="66" t="s">
        <v>245</v>
      </c>
      <c r="AC24" s="326" t="s">
        <v>246</v>
      </c>
    </row>
    <row r="25" spans="1:29" ht="20.100000000000001" customHeight="1" x14ac:dyDescent="0.2">
      <c r="A25" s="551"/>
      <c r="B25" s="156" t="s">
        <v>251</v>
      </c>
      <c r="C25" s="529">
        <v>280</v>
      </c>
      <c r="D25" s="672" t="s">
        <v>1695</v>
      </c>
      <c r="E25" s="519"/>
      <c r="F25" s="161"/>
      <c r="M25" s="315"/>
      <c r="N25" s="315"/>
      <c r="O25" s="315"/>
      <c r="P25" s="315"/>
      <c r="Q25" s="315"/>
      <c r="R25" s="315"/>
      <c r="S25" s="315"/>
      <c r="T25" s="315"/>
      <c r="U25" s="315"/>
      <c r="V25" s="315"/>
      <c r="W25" s="315"/>
      <c r="X25" s="315"/>
      <c r="Y25" s="315"/>
      <c r="Z25" s="320" t="s">
        <v>248</v>
      </c>
      <c r="AA25" s="66" t="s">
        <v>249</v>
      </c>
      <c r="AB25" s="66" t="s">
        <v>245</v>
      </c>
      <c r="AC25" s="326" t="s">
        <v>250</v>
      </c>
    </row>
    <row r="26" spans="1:29" ht="20.100000000000001" customHeight="1" x14ac:dyDescent="0.2">
      <c r="A26" s="551"/>
      <c r="B26" s="156" t="s">
        <v>194</v>
      </c>
      <c r="C26" s="526">
        <v>544</v>
      </c>
      <c r="D26" s="672" t="s">
        <v>1696</v>
      </c>
      <c r="E26" s="519"/>
      <c r="F26" s="161"/>
      <c r="M26" s="315"/>
      <c r="N26" s="315"/>
      <c r="O26" s="315"/>
      <c r="P26" s="315"/>
      <c r="Q26" s="315"/>
      <c r="R26" s="315"/>
      <c r="S26" s="315"/>
      <c r="T26" s="315"/>
      <c r="U26" s="315"/>
      <c r="V26" s="315"/>
      <c r="W26" s="315"/>
      <c r="X26" s="315"/>
      <c r="Y26" s="315"/>
      <c r="Z26" s="320" t="s">
        <v>252</v>
      </c>
      <c r="AA26" s="66" t="s">
        <v>253</v>
      </c>
      <c r="AB26" s="66" t="s">
        <v>245</v>
      </c>
      <c r="AC26" s="326" t="s">
        <v>240</v>
      </c>
    </row>
    <row r="27" spans="1:29" ht="20.100000000000001" customHeight="1" x14ac:dyDescent="0.2">
      <c r="A27" s="551"/>
      <c r="B27" s="156" t="s">
        <v>255</v>
      </c>
      <c r="C27" s="690">
        <v>2.86</v>
      </c>
      <c r="D27" s="672" t="s">
        <v>256</v>
      </c>
      <c r="E27" s="519"/>
      <c r="F27" s="161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20" t="s">
        <v>1673</v>
      </c>
      <c r="AA27" s="66" t="s">
        <v>1671</v>
      </c>
      <c r="AB27" s="66" t="s">
        <v>245</v>
      </c>
      <c r="AC27" s="326" t="s">
        <v>1672</v>
      </c>
    </row>
    <row r="28" spans="1:29" ht="20.100000000000001" customHeight="1" x14ac:dyDescent="0.2">
      <c r="A28" s="551"/>
      <c r="B28" s="156" t="s">
        <v>260</v>
      </c>
      <c r="C28" s="526">
        <v>57</v>
      </c>
      <c r="D28" s="676" t="s">
        <v>330</v>
      </c>
      <c r="E28" s="519"/>
      <c r="F28" s="161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5"/>
      <c r="X28" s="315"/>
      <c r="Y28" s="315"/>
      <c r="Z28" s="320" t="s">
        <v>257</v>
      </c>
      <c r="AA28" s="66" t="s">
        <v>258</v>
      </c>
      <c r="AB28" s="66" t="s">
        <v>245</v>
      </c>
      <c r="AC28" s="326" t="s">
        <v>259</v>
      </c>
    </row>
    <row r="29" spans="1:29" ht="20.100000000000001" customHeight="1" x14ac:dyDescent="0.2">
      <c r="A29" s="551"/>
      <c r="B29" s="156" t="s">
        <v>264</v>
      </c>
      <c r="C29" s="526">
        <v>43</v>
      </c>
      <c r="D29" s="676" t="s">
        <v>330</v>
      </c>
      <c r="E29" s="519"/>
      <c r="F29" s="161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20" t="s">
        <v>261</v>
      </c>
      <c r="AA29" s="66" t="s">
        <v>262</v>
      </c>
      <c r="AB29" s="66" t="s">
        <v>245</v>
      </c>
      <c r="AC29" s="326" t="s">
        <v>263</v>
      </c>
    </row>
    <row r="30" spans="1:29" ht="20.100000000000001" customHeight="1" x14ac:dyDescent="0.2">
      <c r="A30" s="551"/>
      <c r="B30" s="156" t="s">
        <v>268</v>
      </c>
      <c r="C30" s="531">
        <f>IF(A24="Aço",207*1000000*PI(),IF(A24="PU",7*10^6*PI(),"Selecionar Material"))</f>
        <v>650309679.29308712</v>
      </c>
      <c r="D30" s="672" t="s">
        <v>269</v>
      </c>
      <c r="E30" s="522"/>
      <c r="F30" s="153"/>
      <c r="M30" s="315"/>
      <c r="N30" s="315"/>
      <c r="O30" s="315"/>
      <c r="P30" s="315"/>
      <c r="Q30" s="315"/>
      <c r="R30" s="315"/>
      <c r="S30" s="315"/>
      <c r="T30" s="315"/>
      <c r="U30" s="315"/>
      <c r="V30" s="315"/>
      <c r="W30" s="315"/>
      <c r="X30" s="315"/>
      <c r="Y30" s="315"/>
      <c r="Z30" s="320" t="s">
        <v>265</v>
      </c>
      <c r="AA30" s="66" t="s">
        <v>266</v>
      </c>
      <c r="AB30" s="66" t="s">
        <v>245</v>
      </c>
      <c r="AC30" s="326" t="s">
        <v>267</v>
      </c>
    </row>
    <row r="31" spans="1:29" ht="20.100000000000001" customHeight="1" x14ac:dyDescent="0.2">
      <c r="A31" s="551"/>
      <c r="B31" s="156" t="s">
        <v>273</v>
      </c>
      <c r="C31" s="532">
        <f>(C30*(((C24/1000)^4)-((C25/1000)^4))/64)</f>
        <v>25474.770317225837</v>
      </c>
      <c r="D31" s="672" t="s">
        <v>274</v>
      </c>
      <c r="E31" s="519"/>
      <c r="F31" s="161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20" t="s">
        <v>270</v>
      </c>
      <c r="AA31" s="66" t="s">
        <v>271</v>
      </c>
      <c r="AB31" s="66" t="s">
        <v>245</v>
      </c>
      <c r="AC31" s="326" t="s">
        <v>272</v>
      </c>
    </row>
    <row r="32" spans="1:29" ht="20.100000000000001" customHeight="1" x14ac:dyDescent="0.2">
      <c r="A32" s="551"/>
      <c r="B32" s="156" t="s">
        <v>278</v>
      </c>
      <c r="C32" s="533">
        <v>10</v>
      </c>
      <c r="D32" s="672" t="s">
        <v>1690</v>
      </c>
      <c r="E32" s="519"/>
      <c r="F32" s="161"/>
      <c r="J32" s="222"/>
      <c r="K32" s="222"/>
      <c r="L32" s="222"/>
      <c r="M32" s="222"/>
      <c r="N32" s="222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20" t="s">
        <v>275</v>
      </c>
      <c r="AA32" s="66" t="s">
        <v>276</v>
      </c>
      <c r="AB32" s="66" t="s">
        <v>245</v>
      </c>
      <c r="AC32" s="326" t="s">
        <v>277</v>
      </c>
    </row>
    <row r="33" spans="1:29" ht="20.100000000000001" customHeight="1" x14ac:dyDescent="0.2">
      <c r="A33" s="551"/>
      <c r="B33" s="156" t="s">
        <v>211</v>
      </c>
      <c r="C33" s="533">
        <v>10</v>
      </c>
      <c r="D33" s="672" t="s">
        <v>1690</v>
      </c>
      <c r="E33" s="519"/>
      <c r="F33" s="161"/>
      <c r="H33" s="166"/>
      <c r="M33" s="315"/>
      <c r="N33" s="315"/>
      <c r="O33" s="315"/>
      <c r="P33" s="315"/>
      <c r="Q33" s="315"/>
      <c r="R33" s="315"/>
      <c r="S33" s="315"/>
      <c r="T33" s="315"/>
      <c r="U33" s="315"/>
      <c r="V33" s="315"/>
      <c r="W33" s="315"/>
      <c r="X33" s="315"/>
      <c r="Y33" s="315"/>
      <c r="Z33" s="320" t="s">
        <v>275</v>
      </c>
      <c r="AA33" s="66" t="s">
        <v>279</v>
      </c>
      <c r="AB33" s="66" t="s">
        <v>245</v>
      </c>
      <c r="AC33" s="326" t="s">
        <v>280</v>
      </c>
    </row>
    <row r="34" spans="1:29" ht="20.100000000000001" customHeight="1" x14ac:dyDescent="0.2">
      <c r="A34" s="551"/>
      <c r="B34" s="156" t="s">
        <v>284</v>
      </c>
      <c r="C34" s="530">
        <f>(1/C27)</f>
        <v>0.34965034965034969</v>
      </c>
      <c r="D34" s="672" t="s">
        <v>285</v>
      </c>
      <c r="E34" s="519"/>
      <c r="F34" s="161"/>
      <c r="M34" s="315"/>
      <c r="N34" s="315"/>
      <c r="O34" s="315"/>
      <c r="P34" s="315"/>
      <c r="Q34" s="315"/>
      <c r="R34" s="315"/>
      <c r="S34" s="315"/>
      <c r="T34" s="315"/>
      <c r="U34" s="315"/>
      <c r="V34" s="315"/>
      <c r="W34" s="315"/>
      <c r="X34" s="315"/>
      <c r="Y34" s="315"/>
      <c r="Z34" s="322" t="s">
        <v>1674</v>
      </c>
      <c r="AA34" s="168" t="s">
        <v>1675</v>
      </c>
      <c r="AB34" s="168" t="s">
        <v>245</v>
      </c>
      <c r="AC34" s="328" t="s">
        <v>480</v>
      </c>
    </row>
    <row r="35" spans="1:29" ht="20.100000000000001" customHeight="1" x14ac:dyDescent="0.2">
      <c r="A35" s="551"/>
      <c r="B35" s="685" t="s">
        <v>289</v>
      </c>
      <c r="C35" s="534">
        <v>0.01</v>
      </c>
      <c r="D35" s="672" t="s">
        <v>285</v>
      </c>
      <c r="E35" s="519"/>
      <c r="F35" s="161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23" t="s">
        <v>281</v>
      </c>
      <c r="AA35" s="168" t="s">
        <v>282</v>
      </c>
      <c r="AB35" s="168" t="s">
        <v>245</v>
      </c>
      <c r="AC35" s="328" t="s">
        <v>283</v>
      </c>
    </row>
    <row r="36" spans="1:29" ht="20.100000000000001" customHeight="1" x14ac:dyDescent="0.2">
      <c r="A36" s="551"/>
      <c r="B36" s="156" t="s">
        <v>293</v>
      </c>
      <c r="C36" s="530">
        <f>1+C34</f>
        <v>1.3496503496503496</v>
      </c>
      <c r="D36" s="672" t="s">
        <v>285</v>
      </c>
      <c r="E36" s="519"/>
      <c r="F36" s="161"/>
      <c r="M36" s="315"/>
      <c r="N36" s="315"/>
      <c r="O36" s="315"/>
      <c r="P36" s="315"/>
      <c r="Q36" s="315"/>
      <c r="R36" s="315"/>
      <c r="S36" s="315"/>
      <c r="T36" s="315"/>
      <c r="U36" s="315"/>
      <c r="V36" s="315"/>
      <c r="W36" s="315"/>
      <c r="X36" s="315"/>
      <c r="Y36" s="315"/>
      <c r="Z36" s="323" t="s">
        <v>286</v>
      </c>
      <c r="AA36" s="168" t="s">
        <v>287</v>
      </c>
      <c r="AB36" s="168" t="s">
        <v>245</v>
      </c>
      <c r="AC36" s="328" t="s">
        <v>288</v>
      </c>
    </row>
    <row r="37" spans="1:29" ht="20.100000000000001" customHeight="1" thickBot="1" x14ac:dyDescent="0.25">
      <c r="A37" s="552"/>
      <c r="B37" s="158" t="s">
        <v>297</v>
      </c>
      <c r="C37" s="542">
        <f>C31*((1+1/C27)-(1/C27))+0.01</f>
        <v>25474.780317225832</v>
      </c>
      <c r="D37" s="674" t="s">
        <v>1691</v>
      </c>
      <c r="E37" s="520"/>
      <c r="F37" s="162"/>
      <c r="M37" s="315"/>
      <c r="N37" s="315"/>
      <c r="O37" s="315"/>
      <c r="P37" s="315"/>
      <c r="Q37" s="315"/>
      <c r="R37" s="315"/>
      <c r="S37" s="315"/>
      <c r="T37" s="315"/>
      <c r="U37" s="315"/>
      <c r="V37" s="315"/>
      <c r="W37" s="315"/>
      <c r="X37" s="315"/>
      <c r="Y37" s="315"/>
      <c r="Z37" s="320" t="s">
        <v>290</v>
      </c>
      <c r="AA37" s="66" t="s">
        <v>291</v>
      </c>
      <c r="AB37" s="66" t="s">
        <v>245</v>
      </c>
      <c r="AC37" s="326" t="s">
        <v>292</v>
      </c>
    </row>
    <row r="38" spans="1:29" ht="20.100000000000001" customHeight="1" x14ac:dyDescent="0.2">
      <c r="A38" s="553" t="s">
        <v>301</v>
      </c>
      <c r="B38" s="684" t="s">
        <v>222</v>
      </c>
      <c r="C38" s="543">
        <v>1791</v>
      </c>
      <c r="D38" s="677" t="s">
        <v>330</v>
      </c>
      <c r="E38" s="521"/>
      <c r="F38" s="163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315"/>
      <c r="Y38" s="315"/>
      <c r="Z38" s="321" t="s">
        <v>294</v>
      </c>
      <c r="AA38" s="167" t="s">
        <v>295</v>
      </c>
      <c r="AB38" s="167" t="s">
        <v>245</v>
      </c>
      <c r="AC38" s="327" t="s">
        <v>296</v>
      </c>
    </row>
    <row r="39" spans="1:29" ht="20.100000000000001" customHeight="1" x14ac:dyDescent="0.2">
      <c r="A39" s="549" t="s">
        <v>167</v>
      </c>
      <c r="B39" s="156" t="s">
        <v>227</v>
      </c>
      <c r="C39" s="527">
        <v>2600</v>
      </c>
      <c r="D39" s="678" t="s">
        <v>330</v>
      </c>
      <c r="E39" s="519"/>
      <c r="F39" s="161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22" t="s">
        <v>1682</v>
      </c>
      <c r="AA39" s="167" t="s">
        <v>1684</v>
      </c>
      <c r="AB39" s="167" t="s">
        <v>245</v>
      </c>
      <c r="AC39" s="327" t="s">
        <v>1683</v>
      </c>
    </row>
    <row r="40" spans="1:29" ht="20.100000000000001" customHeight="1" x14ac:dyDescent="0.2">
      <c r="A40" s="550" t="s">
        <v>2204</v>
      </c>
      <c r="B40" s="156" t="s">
        <v>230</v>
      </c>
      <c r="C40" s="527">
        <v>2262</v>
      </c>
      <c r="D40" s="672" t="s">
        <v>308</v>
      </c>
      <c r="E40" s="519"/>
      <c r="F40" s="161"/>
      <c r="M40" s="315"/>
      <c r="N40" s="315"/>
      <c r="O40" s="315"/>
      <c r="P40" s="315"/>
      <c r="Q40" s="315"/>
      <c r="R40" s="315"/>
      <c r="S40" s="315"/>
      <c r="T40" s="315"/>
      <c r="U40" s="315"/>
      <c r="V40" s="315"/>
      <c r="W40" s="315"/>
      <c r="X40" s="315"/>
      <c r="Y40" s="315"/>
      <c r="Z40" s="324" t="s">
        <v>1676</v>
      </c>
      <c r="AA40" s="167" t="s">
        <v>1678</v>
      </c>
      <c r="AB40" s="167" t="s">
        <v>245</v>
      </c>
      <c r="AC40" s="327" t="s">
        <v>1681</v>
      </c>
    </row>
    <row r="41" spans="1:29" ht="20.100000000000001" customHeight="1" x14ac:dyDescent="0.2">
      <c r="A41" s="549" t="s">
        <v>177</v>
      </c>
      <c r="B41" s="156" t="s">
        <v>234</v>
      </c>
      <c r="C41" s="530">
        <f>(C39/1000)/(C38/1000)</f>
        <v>1.4517029592406478</v>
      </c>
      <c r="D41" s="672" t="s">
        <v>1689</v>
      </c>
      <c r="E41" s="519"/>
      <c r="F41" s="161"/>
      <c r="M41" s="315"/>
      <c r="N41" s="315"/>
      <c r="O41" s="315"/>
      <c r="P41" s="315"/>
      <c r="Q41" s="315"/>
      <c r="R41" s="315"/>
      <c r="S41" s="315"/>
      <c r="T41" s="315"/>
      <c r="U41" s="315"/>
      <c r="V41" s="315"/>
      <c r="W41" s="315"/>
      <c r="X41" s="315"/>
      <c r="Y41" s="315"/>
      <c r="Z41" s="324" t="s">
        <v>1679</v>
      </c>
      <c r="AA41" s="167" t="s">
        <v>1680</v>
      </c>
      <c r="AB41" s="167" t="s">
        <v>245</v>
      </c>
      <c r="AC41" s="327" t="s">
        <v>1677</v>
      </c>
    </row>
    <row r="42" spans="1:29" ht="20.100000000000001" customHeight="1" x14ac:dyDescent="0.2">
      <c r="A42" s="550" t="s">
        <v>2200</v>
      </c>
      <c r="B42" s="156" t="s">
        <v>238</v>
      </c>
      <c r="C42" s="530">
        <f>(C40/1000)/(C38/1000)</f>
        <v>1.2629815745393635</v>
      </c>
      <c r="D42" s="679" t="s">
        <v>1689</v>
      </c>
      <c r="E42" s="519"/>
      <c r="F42" s="161"/>
      <c r="M42" s="315"/>
      <c r="N42" s="315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21" t="s">
        <v>298</v>
      </c>
      <c r="AA42" s="167" t="s">
        <v>299</v>
      </c>
      <c r="AB42" s="167" t="s">
        <v>245</v>
      </c>
      <c r="AC42" s="327" t="s">
        <v>300</v>
      </c>
    </row>
    <row r="43" spans="1:29" ht="20.100000000000001" customHeight="1" x14ac:dyDescent="0.2">
      <c r="A43" s="551"/>
      <c r="B43" s="156" t="s">
        <v>186</v>
      </c>
      <c r="C43" s="528">
        <f>SQRT(((4/PI()/1.025)*(C41-C42))+(C45/1000)^2)</f>
        <v>0.50759493543270262</v>
      </c>
      <c r="D43" s="672" t="s">
        <v>243</v>
      </c>
      <c r="E43" s="519"/>
      <c r="F43" s="161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21" t="s">
        <v>302</v>
      </c>
      <c r="AA43" s="167" t="s">
        <v>303</v>
      </c>
      <c r="AB43" s="167" t="s">
        <v>245</v>
      </c>
      <c r="AC43" s="327" t="s">
        <v>304</v>
      </c>
    </row>
    <row r="44" spans="1:29" ht="20.100000000000001" customHeight="1" x14ac:dyDescent="0.2">
      <c r="A44" s="551"/>
      <c r="B44" s="156" t="s">
        <v>247</v>
      </c>
      <c r="C44" s="529">
        <v>254</v>
      </c>
      <c r="D44" s="680" t="s">
        <v>317</v>
      </c>
      <c r="E44" s="519"/>
      <c r="F44" s="161"/>
      <c r="M44" s="315"/>
      <c r="N44" s="315"/>
      <c r="O44" s="315"/>
      <c r="P44" s="315"/>
      <c r="Q44" s="315"/>
      <c r="R44" s="315"/>
      <c r="S44" s="315"/>
      <c r="T44" s="315"/>
      <c r="U44" s="315"/>
      <c r="V44" s="315"/>
      <c r="W44" s="315"/>
      <c r="X44" s="315"/>
      <c r="Y44" s="315"/>
      <c r="Z44" s="325" t="s">
        <v>305</v>
      </c>
      <c r="AA44" s="169" t="s">
        <v>306</v>
      </c>
      <c r="AB44" s="169" t="s">
        <v>245</v>
      </c>
      <c r="AC44" s="329" t="s">
        <v>307</v>
      </c>
    </row>
    <row r="45" spans="1:29" ht="20.100000000000001" customHeight="1" x14ac:dyDescent="0.2">
      <c r="A45" s="551"/>
      <c r="B45" s="156" t="s">
        <v>251</v>
      </c>
      <c r="C45" s="526">
        <v>152.4</v>
      </c>
      <c r="D45" s="672" t="s">
        <v>318</v>
      </c>
      <c r="E45" s="519"/>
      <c r="F45" s="161"/>
      <c r="M45" s="315"/>
      <c r="N45" s="315"/>
      <c r="O45" s="315"/>
      <c r="P45" s="315"/>
      <c r="Q45" s="315"/>
      <c r="R45" s="315"/>
      <c r="S45" s="315"/>
      <c r="T45" s="315"/>
      <c r="U45" s="315"/>
      <c r="V45" s="315"/>
      <c r="W45" s="315"/>
      <c r="X45" s="315"/>
      <c r="Y45" s="315"/>
      <c r="Z45" s="325" t="s">
        <v>309</v>
      </c>
      <c r="AA45" s="169" t="s">
        <v>310</v>
      </c>
      <c r="AB45" s="169" t="s">
        <v>245</v>
      </c>
      <c r="AC45" s="329" t="s">
        <v>185</v>
      </c>
    </row>
    <row r="46" spans="1:29" ht="20.100000000000001" customHeight="1" x14ac:dyDescent="0.2">
      <c r="A46" s="551"/>
      <c r="B46" s="156" t="s">
        <v>194</v>
      </c>
      <c r="C46" s="526">
        <v>480</v>
      </c>
      <c r="D46" s="672" t="s">
        <v>254</v>
      </c>
      <c r="E46" s="519"/>
      <c r="F46" s="161"/>
      <c r="M46" s="315"/>
      <c r="N46" s="315"/>
      <c r="O46" s="315"/>
      <c r="P46" s="315"/>
      <c r="Q46" s="315"/>
      <c r="R46" s="315"/>
      <c r="S46" s="315"/>
      <c r="T46" s="315"/>
      <c r="U46" s="315"/>
      <c r="V46" s="315"/>
      <c r="W46" s="315"/>
      <c r="X46" s="315"/>
      <c r="Y46" s="315"/>
      <c r="Z46" s="325" t="s">
        <v>311</v>
      </c>
      <c r="AA46" s="169" t="s">
        <v>312</v>
      </c>
      <c r="AB46" s="169" t="s">
        <v>245</v>
      </c>
      <c r="AC46" s="329" t="s">
        <v>313</v>
      </c>
    </row>
    <row r="47" spans="1:29" ht="20.100000000000001" customHeight="1" x14ac:dyDescent="0.2">
      <c r="A47" s="551"/>
      <c r="B47" s="156" t="s">
        <v>268</v>
      </c>
      <c r="C47" s="531">
        <f>207*1000000*PI()</f>
        <v>650309679.29308712</v>
      </c>
      <c r="D47" s="672" t="s">
        <v>269</v>
      </c>
      <c r="E47" s="522"/>
      <c r="F47" s="153"/>
      <c r="M47" s="315"/>
      <c r="N47" s="315"/>
      <c r="O47" s="315"/>
      <c r="P47" s="315"/>
      <c r="Q47" s="315"/>
      <c r="R47" s="315"/>
      <c r="S47" s="315"/>
      <c r="T47" s="315"/>
      <c r="U47" s="315"/>
      <c r="V47" s="315"/>
      <c r="W47" s="315"/>
      <c r="X47" s="315"/>
      <c r="Y47" s="315"/>
      <c r="Z47" s="330" t="s">
        <v>314</v>
      </c>
      <c r="AA47" s="331" t="s">
        <v>315</v>
      </c>
      <c r="AB47" s="331" t="s">
        <v>245</v>
      </c>
      <c r="AC47" s="332" t="s">
        <v>316</v>
      </c>
    </row>
    <row r="48" spans="1:29" ht="20.100000000000001" customHeight="1" x14ac:dyDescent="0.2">
      <c r="A48" s="551"/>
      <c r="B48" s="156" t="s">
        <v>273</v>
      </c>
      <c r="C48" s="535">
        <f>(C47*(((C44/1000)^4)-((C45/1000)^4))/64)</f>
        <v>36812.388185535099</v>
      </c>
      <c r="D48" s="679" t="s">
        <v>1689</v>
      </c>
      <c r="E48" s="519"/>
      <c r="F48" s="161"/>
    </row>
    <row r="49" spans="1:8" ht="20.100000000000001" customHeight="1" x14ac:dyDescent="0.2">
      <c r="A49" s="551"/>
      <c r="B49" s="156" t="s">
        <v>278</v>
      </c>
      <c r="C49" s="533">
        <f>(C47*(((C44/1000)^2)-((C45/1000)^2))/4)</f>
        <v>6712860.6830836507</v>
      </c>
      <c r="D49" s="679" t="s">
        <v>1689</v>
      </c>
      <c r="E49" s="519"/>
      <c r="F49" s="161"/>
    </row>
    <row r="50" spans="1:8" ht="20.100000000000001" customHeight="1" thickBot="1" x14ac:dyDescent="0.25">
      <c r="A50" s="552"/>
      <c r="B50" s="158" t="s">
        <v>211</v>
      </c>
      <c r="C50" s="544">
        <f>((C47/(2*(1+0.3)))*((((C44/1000)^4)-((C45/1000)^4))/32))</f>
        <v>28317.221681180847</v>
      </c>
      <c r="D50" s="681" t="s">
        <v>1689</v>
      </c>
      <c r="E50" s="520"/>
      <c r="F50" s="162"/>
    </row>
    <row r="51" spans="1:8" ht="20.100000000000001" customHeight="1" x14ac:dyDescent="0.2">
      <c r="A51" s="556" t="s">
        <v>319</v>
      </c>
      <c r="B51" s="684" t="s">
        <v>222</v>
      </c>
      <c r="C51" s="541"/>
      <c r="D51" s="677" t="s">
        <v>330</v>
      </c>
      <c r="E51" s="521"/>
      <c r="F51" s="163"/>
    </row>
    <row r="52" spans="1:8" ht="20.100000000000001" customHeight="1" x14ac:dyDescent="0.2">
      <c r="A52" s="549" t="s">
        <v>167</v>
      </c>
      <c r="B52" s="156" t="s">
        <v>227</v>
      </c>
      <c r="C52" s="527"/>
      <c r="D52" s="678" t="s">
        <v>330</v>
      </c>
      <c r="E52" s="519"/>
      <c r="F52" s="161"/>
    </row>
    <row r="53" spans="1:8" ht="20.100000000000001" customHeight="1" x14ac:dyDescent="0.2">
      <c r="A53" s="550"/>
      <c r="B53" s="156" t="s">
        <v>230</v>
      </c>
      <c r="C53" s="527"/>
      <c r="D53" s="672" t="s">
        <v>308</v>
      </c>
      <c r="E53" s="519"/>
      <c r="F53" s="161"/>
    </row>
    <row r="54" spans="1:8" ht="20.100000000000001" customHeight="1" x14ac:dyDescent="0.2">
      <c r="A54" s="549" t="s">
        <v>177</v>
      </c>
      <c r="B54" s="156" t="s">
        <v>234</v>
      </c>
      <c r="C54" s="536" t="e">
        <f>(C52/1000)/(C51/1000)</f>
        <v>#DIV/0!</v>
      </c>
      <c r="D54" s="672" t="s">
        <v>1689</v>
      </c>
      <c r="E54" s="519"/>
      <c r="F54" s="161"/>
    </row>
    <row r="55" spans="1:8" ht="20.100000000000001" customHeight="1" x14ac:dyDescent="0.2">
      <c r="A55" s="550"/>
      <c r="B55" s="156" t="s">
        <v>238</v>
      </c>
      <c r="C55" s="536" t="e">
        <f>(C53/1000)/(C51/1000)</f>
        <v>#DIV/0!</v>
      </c>
      <c r="D55" s="679" t="s">
        <v>1689</v>
      </c>
      <c r="E55" s="519"/>
      <c r="F55" s="161"/>
    </row>
    <row r="56" spans="1:8" ht="20.100000000000001" customHeight="1" x14ac:dyDescent="0.2">
      <c r="A56" s="551"/>
      <c r="B56" s="156" t="s">
        <v>186</v>
      </c>
      <c r="C56" s="536" t="e">
        <f>2*SQRT((C54*(1-(7.85-1.025)/7.85))/(1.025*PI())+(C58/2000)^2)</f>
        <v>#DIV/0!</v>
      </c>
      <c r="D56" s="679" t="s">
        <v>1689</v>
      </c>
      <c r="E56" s="519"/>
      <c r="F56" s="161"/>
      <c r="H56" s="166"/>
    </row>
    <row r="57" spans="1:8" ht="20.100000000000001" customHeight="1" x14ac:dyDescent="0.2">
      <c r="A57" s="551"/>
      <c r="B57" s="156" t="s">
        <v>247</v>
      </c>
      <c r="C57" s="537"/>
      <c r="D57" s="680" t="s">
        <v>317</v>
      </c>
      <c r="E57" s="522"/>
      <c r="F57" s="161"/>
    </row>
    <row r="58" spans="1:8" ht="20.100000000000001" customHeight="1" x14ac:dyDescent="0.2">
      <c r="A58" s="551"/>
      <c r="B58" s="156" t="s">
        <v>251</v>
      </c>
      <c r="C58" s="526"/>
      <c r="D58" s="672" t="s">
        <v>318</v>
      </c>
      <c r="E58" s="522"/>
      <c r="F58" s="161"/>
    </row>
    <row r="59" spans="1:8" ht="20.100000000000001" customHeight="1" x14ac:dyDescent="0.2">
      <c r="A59" s="551"/>
      <c r="B59" s="156" t="s">
        <v>194</v>
      </c>
      <c r="C59" s="526"/>
      <c r="D59" s="672" t="s">
        <v>254</v>
      </c>
      <c r="E59" s="522"/>
      <c r="F59" s="161"/>
    </row>
    <row r="60" spans="1:8" ht="20.100000000000001" customHeight="1" x14ac:dyDescent="0.2">
      <c r="A60" s="551"/>
      <c r="B60" s="156" t="s">
        <v>268</v>
      </c>
      <c r="C60" s="531">
        <f>207*1000000*PI()</f>
        <v>650309679.29308712</v>
      </c>
      <c r="D60" s="672" t="s">
        <v>269</v>
      </c>
      <c r="E60" s="522"/>
      <c r="F60" s="153"/>
    </row>
    <row r="61" spans="1:8" ht="20.100000000000001" customHeight="1" x14ac:dyDescent="0.2">
      <c r="A61" s="551"/>
      <c r="B61" s="156" t="s">
        <v>273</v>
      </c>
      <c r="C61" s="538">
        <f>(C60*(((C57/1000)^4)-((C58/1000)^4))/64)</f>
        <v>0</v>
      </c>
      <c r="D61" s="679" t="s">
        <v>1689</v>
      </c>
      <c r="E61" s="522"/>
      <c r="F61" s="161"/>
    </row>
    <row r="62" spans="1:8" ht="20.100000000000001" customHeight="1" x14ac:dyDescent="0.2">
      <c r="A62" s="551"/>
      <c r="B62" s="156" t="s">
        <v>278</v>
      </c>
      <c r="C62" s="539">
        <f>(C60*(((C57/1000)^2)-((C58/1000)^2))/4)</f>
        <v>0</v>
      </c>
      <c r="D62" s="679" t="s">
        <v>1689</v>
      </c>
      <c r="E62" s="522"/>
      <c r="F62" s="161"/>
    </row>
    <row r="63" spans="1:8" ht="20.100000000000001" customHeight="1" thickBot="1" x14ac:dyDescent="0.25">
      <c r="A63" s="552"/>
      <c r="B63" s="686" t="s">
        <v>211</v>
      </c>
      <c r="C63" s="545">
        <f>((C60/(2*(1+0.3)))*((((C57/1000)^4)-((C58/1000)^4))/32))</f>
        <v>0</v>
      </c>
      <c r="D63" s="681" t="s">
        <v>1689</v>
      </c>
      <c r="E63" s="523"/>
      <c r="F63" s="164"/>
    </row>
    <row r="64" spans="1:8" ht="20.100000000000001" customHeight="1" x14ac:dyDescent="0.2">
      <c r="A64" s="557" t="s">
        <v>320</v>
      </c>
      <c r="B64" s="684" t="s">
        <v>222</v>
      </c>
      <c r="C64" s="543"/>
      <c r="D64" s="677" t="s">
        <v>321</v>
      </c>
      <c r="E64" s="524"/>
      <c r="F64" s="155"/>
    </row>
    <row r="65" spans="1:6" ht="20.100000000000001" customHeight="1" x14ac:dyDescent="0.2">
      <c r="A65" s="549" t="s">
        <v>322</v>
      </c>
      <c r="B65" s="156" t="s">
        <v>227</v>
      </c>
      <c r="C65" s="527"/>
      <c r="D65" s="678" t="s">
        <v>330</v>
      </c>
      <c r="E65" s="522"/>
      <c r="F65" s="153"/>
    </row>
    <row r="66" spans="1:6" ht="20.100000000000001" customHeight="1" x14ac:dyDescent="0.2">
      <c r="A66" s="550"/>
      <c r="B66" s="156" t="s">
        <v>230</v>
      </c>
      <c r="C66" s="527"/>
      <c r="D66" s="672" t="s">
        <v>308</v>
      </c>
      <c r="E66" s="522"/>
      <c r="F66" s="153"/>
    </row>
    <row r="67" spans="1:6" ht="20.100000000000001" customHeight="1" x14ac:dyDescent="0.2">
      <c r="A67" s="558" t="s">
        <v>177</v>
      </c>
      <c r="B67" s="156" t="s">
        <v>234</v>
      </c>
      <c r="C67" s="530" t="e">
        <f>(C65/1000)/(C64/1000)</f>
        <v>#DIV/0!</v>
      </c>
      <c r="D67" s="672" t="s">
        <v>1689</v>
      </c>
      <c r="E67" s="522"/>
      <c r="F67" s="153"/>
    </row>
    <row r="68" spans="1:6" ht="20.100000000000001" customHeight="1" x14ac:dyDescent="0.2">
      <c r="A68" s="559" t="str">
        <f>$A$22</f>
        <v>1</v>
      </c>
      <c r="B68" s="156" t="s">
        <v>238</v>
      </c>
      <c r="C68" s="530" t="e">
        <f>(C66/1000)/(C64/1000)</f>
        <v>#DIV/0!</v>
      </c>
      <c r="D68" s="679" t="s">
        <v>1689</v>
      </c>
      <c r="E68" s="522"/>
      <c r="F68" s="153"/>
    </row>
    <row r="69" spans="1:6" ht="20.100000000000001" customHeight="1" x14ac:dyDescent="0.2">
      <c r="A69" s="551"/>
      <c r="B69" s="156" t="s">
        <v>186</v>
      </c>
      <c r="C69" s="528" t="e">
        <f>SQRT(((4/PI()/1.025)*(C67-C68))+(C71/1000)^2)</f>
        <v>#DIV/0!</v>
      </c>
      <c r="D69" s="672" t="s">
        <v>1689</v>
      </c>
      <c r="E69" s="522"/>
      <c r="F69" s="153"/>
    </row>
    <row r="70" spans="1:6" ht="20.100000000000001" customHeight="1" x14ac:dyDescent="0.2">
      <c r="A70" s="551"/>
      <c r="B70" s="156" t="s">
        <v>247</v>
      </c>
      <c r="C70" s="529"/>
      <c r="D70" s="672" t="s">
        <v>1692</v>
      </c>
      <c r="E70" s="522"/>
      <c r="F70" s="153"/>
    </row>
    <row r="71" spans="1:6" ht="20.100000000000001" customHeight="1" x14ac:dyDescent="0.2">
      <c r="A71" s="551"/>
      <c r="B71" s="156" t="s">
        <v>251</v>
      </c>
      <c r="C71" s="526"/>
      <c r="D71" s="672" t="s">
        <v>1693</v>
      </c>
      <c r="E71" s="522"/>
      <c r="F71" s="153"/>
    </row>
    <row r="72" spans="1:6" ht="20.100000000000001" customHeight="1" x14ac:dyDescent="0.2">
      <c r="A72" s="551"/>
      <c r="B72" s="156" t="s">
        <v>194</v>
      </c>
      <c r="C72" s="526"/>
      <c r="D72" s="672" t="s">
        <v>254</v>
      </c>
      <c r="E72" s="522"/>
      <c r="F72" s="153"/>
    </row>
    <row r="73" spans="1:6" ht="20.100000000000001" customHeight="1" x14ac:dyDescent="0.2">
      <c r="A73" s="551"/>
      <c r="B73" s="156" t="s">
        <v>268</v>
      </c>
      <c r="C73" s="531">
        <f>207*1000000*PI()</f>
        <v>650309679.29308712</v>
      </c>
      <c r="D73" s="672" t="s">
        <v>323</v>
      </c>
      <c r="E73" s="522"/>
      <c r="F73" s="153"/>
    </row>
    <row r="74" spans="1:6" ht="20.100000000000001" customHeight="1" x14ac:dyDescent="0.2">
      <c r="A74" s="551"/>
      <c r="B74" s="156" t="s">
        <v>273</v>
      </c>
      <c r="C74" s="538">
        <f>(C73*(((C70/1000)^4)-((C71/1000)^4))/64)</f>
        <v>0</v>
      </c>
      <c r="D74" s="679" t="s">
        <v>1689</v>
      </c>
      <c r="E74" s="522"/>
      <c r="F74" s="153"/>
    </row>
    <row r="75" spans="1:6" ht="20.100000000000001" customHeight="1" x14ac:dyDescent="0.2">
      <c r="A75" s="551"/>
      <c r="B75" s="156" t="s">
        <v>278</v>
      </c>
      <c r="C75" s="539">
        <f>(C73*(((C70/1000)^2)-((C71/1000)^2))/4)</f>
        <v>0</v>
      </c>
      <c r="D75" s="679" t="s">
        <v>1689</v>
      </c>
      <c r="E75" s="522"/>
      <c r="F75" s="153"/>
    </row>
    <row r="76" spans="1:6" ht="20.100000000000001" customHeight="1" thickBot="1" x14ac:dyDescent="0.25">
      <c r="A76" s="552"/>
      <c r="B76" s="158" t="s">
        <v>324</v>
      </c>
      <c r="C76" s="544">
        <f>((C73/(2*(1+0.3)))*((((C70/1000)^4)-((C71/1000)^4))/32))</f>
        <v>0</v>
      </c>
      <c r="D76" s="681" t="s">
        <v>1689</v>
      </c>
      <c r="E76" s="525"/>
      <c r="F76" s="154"/>
    </row>
    <row r="77" spans="1:6" ht="20.100000000000001" customHeight="1" thickBot="1" x14ac:dyDescent="0.25">
      <c r="A77" s="748" t="s">
        <v>325</v>
      </c>
      <c r="B77" s="749"/>
      <c r="C77" s="750"/>
      <c r="D77" s="547"/>
      <c r="E77" s="546"/>
      <c r="F77" s="159"/>
    </row>
    <row r="78" spans="1:6" ht="20.100000000000001" customHeight="1" x14ac:dyDescent="0.2">
      <c r="A78" s="606"/>
      <c r="B78" s="606"/>
      <c r="C78" s="606"/>
      <c r="D78" s="606"/>
      <c r="E78" s="606"/>
      <c r="F78" s="606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7:22" ht="20.100000000000001" hidden="1" customHeight="1" x14ac:dyDescent="0.2"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7:22" ht="20.100000000000001" hidden="1" customHeight="1" x14ac:dyDescent="0.2"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7:22" ht="20.100000000000001" hidden="1" customHeight="1" x14ac:dyDescent="0.2"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7:22" ht="20.100000000000001" hidden="1" customHeight="1" x14ac:dyDescent="0.2"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7:22" ht="20.100000000000001" hidden="1" customHeight="1" x14ac:dyDescent="0.2"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7:22" ht="20.100000000000001" hidden="1" customHeight="1" x14ac:dyDescent="0.2"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7:22" ht="20.100000000000001" hidden="1" customHeight="1" x14ac:dyDescent="0.2"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7:22" ht="20.100000000000001" hidden="1" customHeight="1" x14ac:dyDescent="0.2"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7:22" ht="20.100000000000001" hidden="1" customHeight="1" x14ac:dyDescent="0.2"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7:22" ht="20.100000000000001" hidden="1" customHeight="1" x14ac:dyDescent="0.2"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66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66"/>
    </row>
  </sheetData>
  <mergeCells count="5">
    <mergeCell ref="M16:V16"/>
    <mergeCell ref="A77:C77"/>
    <mergeCell ref="A1:D1"/>
    <mergeCell ref="E1:F1"/>
    <mergeCell ref="A2:C2"/>
  </mergeCells>
  <conditionalFormatting sqref="E3:E76">
    <cfRule type="cellIs" dxfId="232" priority="1" operator="equal">
      <formula>"not ok"</formula>
    </cfRule>
    <cfRule type="cellIs" dxfId="231" priority="2" operator="equal">
      <formula>"ok"</formula>
    </cfRule>
  </conditionalFormatting>
  <dataValidations count="8">
    <dataValidation type="decimal" errorStyle="warning" operator="greaterThanOrEqual" allowBlank="1" showInputMessage="1" showErrorMessage="1" errorTitle="Atenção" error="O valor inserido é menor que 100 mm, verifique a unidade de medida!" sqref="C64 C18 C51 C38" xr:uid="{BFEF068C-F810-459C-982E-B8892F293A3A}">
      <formula1>100</formula1>
    </dataValidation>
    <dataValidation type="decimal" errorStyle="warning" operator="lessThanOrEqual" allowBlank="1" showInputMessage="1" showErrorMessage="1" errorTitle="Atenção" error="O valor inserido para o Diâmetro nominal [''] é maior que 10 polegadas. Verifique a unidade de medida! " sqref="C11" xr:uid="{133DF9DD-BC96-4377-96A3-0AC5D0BB6B7C}">
      <formula1>10</formula1>
    </dataValidation>
    <dataValidation type="decimal" operator="lessThan" allowBlank="1" showInputMessage="1" showErrorMessage="1" errorTitle="Atenção!" error="O valor inserido para o MBR Instalação [m] é inválido. Verifique a unidade de medida! " sqref="C13" xr:uid="{40A53FD1-B544-4B50-B2D0-A100BE5E87B4}">
      <formula1>20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A130E7E8-1B83-4A2F-B5CE-A5AD922C5582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865116BE-5242-4501-A60C-D267716EFBF5}"/>
    <dataValidation type="decimal" errorStyle="information" operator="greaterThanOrEqual" allowBlank="1" showInputMessage="1" showErrorMessage="1" error="ATENÇÃO: MBR de travamento da vértebra é menor que o MBR de instalação da linha!_x000a_" sqref="C27" xr:uid="{E93B6703-012B-42C7-B602-C9601B8C0680}">
      <formula1>C13</formula1>
    </dataValidation>
    <dataValidation type="decimal" operator="lessThan" allowBlank="1" showInputMessage="1" showErrorMessage="1" sqref="C12" xr:uid="{07959CD6-BF08-4C55-8181-89F665D07088}">
      <formula1>20</formula1>
    </dataValidation>
  </dataValidations>
  <pageMargins left="0.7" right="0.7" top="0.75" bottom="0.75" header="0.3" footer="0.3"/>
  <pageSetup paperSize="9" orientation="portrait" r:id="rId1"/>
  <ignoredErrors>
    <ignoredError sqref="C31 C34 C36:C37 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0"/>
  <sheetViews>
    <sheetView workbookViewId="0">
      <selection activeCell="B3" sqref="B3"/>
    </sheetView>
  </sheetViews>
  <sheetFormatPr defaultColWidth="0" defaultRowHeight="0" customHeight="1" zeroHeight="1" x14ac:dyDescent="0.2"/>
  <cols>
    <col min="1" max="1" width="15.7109375" style="171" customWidth="1"/>
    <col min="2" max="2" width="40.7109375" style="171" customWidth="1"/>
    <col min="3" max="5" width="15.7109375" style="171" customWidth="1"/>
    <col min="6" max="13" width="9.28515625" style="171" customWidth="1"/>
    <col min="14" max="18" width="15.7109375" style="171" customWidth="1"/>
    <col min="19" max="19" width="1.7109375" style="171" customWidth="1"/>
    <col min="20" max="16384" width="9.140625" style="171" hidden="1"/>
  </cols>
  <sheetData>
    <row r="1" spans="1:18" ht="20.100000000000001" customHeight="1" x14ac:dyDescent="0.2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20.100000000000001" customHeight="1" thickBot="1" x14ac:dyDescent="0.25">
      <c r="A2" s="756" t="s">
        <v>326</v>
      </c>
      <c r="B2" s="757"/>
      <c r="C2" s="477" t="s">
        <v>126</v>
      </c>
      <c r="D2" s="477" t="s">
        <v>327</v>
      </c>
      <c r="E2" s="135"/>
      <c r="F2" s="135"/>
      <c r="G2" s="135"/>
      <c r="H2" s="135"/>
      <c r="I2" s="135"/>
      <c r="J2" s="135"/>
      <c r="K2" s="135"/>
      <c r="L2" s="135"/>
      <c r="M2" s="135"/>
      <c r="N2" s="756" t="s">
        <v>328</v>
      </c>
      <c r="O2" s="757"/>
      <c r="P2" s="758"/>
      <c r="Q2" s="170"/>
      <c r="R2" s="135"/>
    </row>
    <row r="3" spans="1:18" ht="20.100000000000001" customHeight="1" thickTop="1" x14ac:dyDescent="0.2">
      <c r="A3" s="146" t="s">
        <v>179</v>
      </c>
      <c r="B3" s="139" t="s">
        <v>2205</v>
      </c>
      <c r="C3" s="493"/>
      <c r="D3" s="145"/>
      <c r="E3" s="135"/>
      <c r="F3" s="135"/>
      <c r="G3" s="135"/>
      <c r="H3" s="135"/>
      <c r="I3" s="135"/>
      <c r="J3" s="135"/>
      <c r="K3" s="135"/>
      <c r="L3" s="135"/>
      <c r="M3" s="135"/>
      <c r="N3" s="146">
        <v>0.25</v>
      </c>
      <c r="O3" s="146">
        <v>0.25</v>
      </c>
      <c r="P3" s="146">
        <v>1.2</v>
      </c>
      <c r="Q3" s="136"/>
      <c r="R3" s="135"/>
    </row>
    <row r="4" spans="1:18" ht="20.100000000000001" customHeight="1" x14ac:dyDescent="0.2">
      <c r="A4" s="148" t="s">
        <v>177</v>
      </c>
      <c r="B4" s="491" t="s">
        <v>133</v>
      </c>
      <c r="C4" s="494"/>
      <c r="D4" s="489"/>
      <c r="E4" s="135"/>
      <c r="F4" s="135"/>
      <c r="G4" s="135"/>
      <c r="H4" s="135"/>
      <c r="I4" s="135"/>
      <c r="J4" s="135"/>
      <c r="K4" s="135"/>
      <c r="L4" s="135"/>
      <c r="M4" s="135"/>
      <c r="N4" s="148">
        <v>-0.25</v>
      </c>
      <c r="O4" s="148">
        <v>0.25</v>
      </c>
      <c r="P4" s="148">
        <v>1.2</v>
      </c>
      <c r="Q4" s="136"/>
      <c r="R4" s="135"/>
    </row>
    <row r="5" spans="1:18" ht="20.100000000000001" customHeight="1" x14ac:dyDescent="0.2">
      <c r="A5" s="148" t="s">
        <v>329</v>
      </c>
      <c r="B5" s="139" t="s">
        <v>2206</v>
      </c>
      <c r="C5" s="493"/>
      <c r="D5" s="145"/>
      <c r="E5" s="135"/>
      <c r="F5" s="135"/>
      <c r="G5" s="135"/>
      <c r="H5" s="135"/>
      <c r="I5" s="135"/>
      <c r="J5" s="135"/>
      <c r="K5" s="135"/>
      <c r="L5" s="135"/>
      <c r="M5" s="135"/>
      <c r="N5" s="148">
        <v>-0.25</v>
      </c>
      <c r="O5" s="148">
        <v>-0.25</v>
      </c>
      <c r="P5" s="148">
        <v>1.2</v>
      </c>
      <c r="Q5" s="136"/>
      <c r="R5" s="135"/>
    </row>
    <row r="6" spans="1:18" ht="20.100000000000001" customHeight="1" x14ac:dyDescent="0.2">
      <c r="A6" s="148" t="s">
        <v>330</v>
      </c>
      <c r="B6" s="728" t="s">
        <v>2207</v>
      </c>
      <c r="C6" s="493"/>
      <c r="D6" s="145"/>
      <c r="E6" s="135"/>
      <c r="F6" s="135"/>
      <c r="G6" s="135"/>
      <c r="H6" s="135"/>
      <c r="I6" s="135"/>
      <c r="J6" s="135"/>
      <c r="K6" s="135"/>
      <c r="L6" s="135"/>
      <c r="M6" s="135"/>
      <c r="N6" s="148">
        <v>0.25</v>
      </c>
      <c r="O6" s="148">
        <v>-0.25</v>
      </c>
      <c r="P6" s="148">
        <v>1.2</v>
      </c>
      <c r="Q6" s="136"/>
      <c r="R6" s="135"/>
    </row>
    <row r="7" spans="1:18" ht="20.100000000000001" customHeight="1" x14ac:dyDescent="0.2">
      <c r="A7" s="148" t="s">
        <v>331</v>
      </c>
      <c r="B7" s="492" t="s">
        <v>2208</v>
      </c>
      <c r="C7" s="493"/>
      <c r="D7" s="145"/>
      <c r="E7" s="135"/>
      <c r="F7" s="135"/>
      <c r="G7" s="135"/>
      <c r="H7" s="135"/>
      <c r="I7" s="135"/>
      <c r="J7" s="135"/>
      <c r="K7" s="135"/>
      <c r="L7" s="135"/>
      <c r="M7" s="135"/>
      <c r="N7" s="148">
        <v>0.5</v>
      </c>
      <c r="O7" s="148">
        <v>0.5</v>
      </c>
      <c r="P7" s="148">
        <v>0</v>
      </c>
      <c r="Q7" s="136"/>
      <c r="R7" s="135"/>
    </row>
    <row r="8" spans="1:18" ht="20.100000000000001" customHeight="1" x14ac:dyDescent="0.2">
      <c r="A8" s="148" t="s">
        <v>332</v>
      </c>
      <c r="B8" s="491">
        <v>3810</v>
      </c>
      <c r="C8" s="494"/>
      <c r="D8" s="490"/>
      <c r="E8" s="135"/>
      <c r="F8" s="135"/>
      <c r="G8" s="135"/>
      <c r="H8" s="135"/>
      <c r="I8" s="135"/>
      <c r="J8" s="135"/>
      <c r="K8" s="135"/>
      <c r="L8" s="135"/>
      <c r="M8" s="135"/>
      <c r="N8" s="148">
        <v>-0.5</v>
      </c>
      <c r="O8" s="148">
        <v>0.5</v>
      </c>
      <c r="P8" s="148">
        <v>0</v>
      </c>
      <c r="Q8" s="136"/>
      <c r="R8" s="135"/>
    </row>
    <row r="9" spans="1:18" ht="20.100000000000001" customHeight="1" x14ac:dyDescent="0.2">
      <c r="A9" s="148" t="s">
        <v>333</v>
      </c>
      <c r="B9" s="491">
        <v>502</v>
      </c>
      <c r="C9" s="494"/>
      <c r="D9" s="490"/>
      <c r="E9" s="135"/>
      <c r="F9" s="135"/>
      <c r="G9" s="135"/>
      <c r="H9" s="135"/>
      <c r="I9" s="135"/>
      <c r="J9" s="135"/>
      <c r="K9" s="135"/>
      <c r="L9" s="135"/>
      <c r="M9" s="135"/>
      <c r="N9" s="148">
        <v>-0.5</v>
      </c>
      <c r="O9" s="148">
        <v>-0.5</v>
      </c>
      <c r="P9" s="148">
        <v>0</v>
      </c>
      <c r="Q9" s="136"/>
      <c r="R9" s="135"/>
    </row>
    <row r="10" spans="1:18" ht="20.100000000000001" customHeight="1" x14ac:dyDescent="0.2">
      <c r="A10" s="148" t="s">
        <v>334</v>
      </c>
      <c r="B10" s="491">
        <v>907</v>
      </c>
      <c r="C10" s="494"/>
      <c r="D10" s="490"/>
      <c r="E10" s="135"/>
      <c r="F10" s="135"/>
      <c r="G10" s="135"/>
      <c r="H10" s="135"/>
      <c r="I10" s="135"/>
      <c r="J10" s="135"/>
      <c r="K10" s="135"/>
      <c r="L10" s="135"/>
      <c r="M10" s="135"/>
      <c r="N10" s="148">
        <v>0.5</v>
      </c>
      <c r="O10" s="148">
        <v>-0.5</v>
      </c>
      <c r="P10" s="148">
        <v>0</v>
      </c>
      <c r="Q10" s="136"/>
      <c r="R10" s="135"/>
    </row>
    <row r="11" spans="1:18" ht="20.100000000000001" customHeight="1" x14ac:dyDescent="0.2">
      <c r="A11" s="148" t="s">
        <v>335</v>
      </c>
      <c r="B11" s="491">
        <v>681</v>
      </c>
      <c r="C11" s="494"/>
      <c r="D11" s="490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ht="20.100000000000001" customHeight="1" x14ac:dyDescent="0.2">
      <c r="A12" s="148" t="s">
        <v>336</v>
      </c>
      <c r="B12" s="491">
        <v>864</v>
      </c>
      <c r="C12" s="494"/>
      <c r="D12" s="490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ht="20.100000000000001" customHeight="1" x14ac:dyDescent="0.2">
      <c r="A13" s="148" t="s">
        <v>337</v>
      </c>
      <c r="B13" s="491">
        <v>2037</v>
      </c>
      <c r="C13" s="494"/>
      <c r="D13" s="490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40"/>
      <c r="P13" s="135"/>
      <c r="Q13" s="135"/>
      <c r="R13" s="135"/>
    </row>
    <row r="14" spans="1:18" ht="20.100000000000001" customHeight="1" x14ac:dyDescent="0.2">
      <c r="A14" s="148" t="s">
        <v>338</v>
      </c>
      <c r="B14" s="491">
        <v>839</v>
      </c>
      <c r="C14" s="494"/>
      <c r="D14" s="490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ht="20.100000000000001" customHeight="1" x14ac:dyDescent="0.2">
      <c r="A15" s="135"/>
      <c r="B15" s="141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ht="20.100000000000001" customHeight="1" thickBot="1" x14ac:dyDescent="0.25">
      <c r="A16" s="135"/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756" t="s">
        <v>339</v>
      </c>
      <c r="O16" s="758"/>
      <c r="P16" s="134"/>
      <c r="Q16" s="134"/>
      <c r="R16" s="135"/>
    </row>
    <row r="17" spans="1:18" ht="20.100000000000001" customHeight="1" thickTop="1" thickBot="1" x14ac:dyDescent="0.25">
      <c r="A17" s="756" t="s">
        <v>340</v>
      </c>
      <c r="B17" s="757"/>
      <c r="C17" s="757"/>
      <c r="D17" s="477" t="s">
        <v>126</v>
      </c>
      <c r="E17" s="477" t="s">
        <v>327</v>
      </c>
      <c r="F17" s="135"/>
      <c r="G17" s="135"/>
      <c r="H17" s="135"/>
      <c r="I17" s="135"/>
      <c r="J17" s="135"/>
      <c r="K17" s="135"/>
      <c r="L17" s="135"/>
      <c r="M17" s="135"/>
      <c r="N17" s="505" t="s">
        <v>161</v>
      </c>
      <c r="O17" s="507">
        <f>Values!C3</f>
        <v>2301</v>
      </c>
      <c r="P17" s="140"/>
      <c r="Q17" s="140"/>
      <c r="R17" s="140"/>
    </row>
    <row r="18" spans="1:18" ht="20.100000000000001" customHeight="1" thickTop="1" x14ac:dyDescent="0.2">
      <c r="A18" s="759" t="s">
        <v>341</v>
      </c>
      <c r="B18" s="145" t="s">
        <v>342</v>
      </c>
      <c r="C18" s="149">
        <f>C19</f>
        <v>5043</v>
      </c>
      <c r="D18" s="493"/>
      <c r="E18" s="495"/>
      <c r="F18" s="135"/>
      <c r="G18" s="135"/>
      <c r="H18" s="135"/>
      <c r="I18" s="135"/>
      <c r="J18" s="135"/>
      <c r="K18" s="135"/>
      <c r="L18" s="135"/>
      <c r="M18" s="135"/>
      <c r="N18" s="506" t="s">
        <v>343</v>
      </c>
      <c r="O18" s="508">
        <f>+O17-(B8/1000)-(B9/1000)</f>
        <v>2296.6880000000001</v>
      </c>
      <c r="P18" s="135"/>
      <c r="Q18" s="135"/>
      <c r="R18" s="135"/>
    </row>
    <row r="19" spans="1:18" ht="20.100000000000001" customHeight="1" x14ac:dyDescent="0.2">
      <c r="A19" s="759"/>
      <c r="B19" s="143" t="s">
        <v>344</v>
      </c>
      <c r="C19" s="150">
        <v>5043</v>
      </c>
      <c r="D19" s="494"/>
      <c r="E19" s="496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1:18" ht="20.100000000000001" customHeight="1" thickBot="1" x14ac:dyDescent="0.25">
      <c r="A20" s="759"/>
      <c r="B20" s="144" t="s">
        <v>345</v>
      </c>
      <c r="C20" s="151">
        <v>9.9999999999999995E-7</v>
      </c>
      <c r="D20" s="494"/>
      <c r="E20" s="496"/>
      <c r="F20" s="135"/>
      <c r="G20" s="135"/>
      <c r="H20" s="135"/>
      <c r="I20" s="135"/>
      <c r="J20" s="135"/>
      <c r="K20" s="135"/>
      <c r="L20" s="135"/>
      <c r="M20" s="135"/>
      <c r="N20" s="756" t="s">
        <v>346</v>
      </c>
      <c r="O20" s="757"/>
      <c r="P20" s="758"/>
      <c r="Q20" s="502" t="s">
        <v>126</v>
      </c>
      <c r="R20" s="477" t="s">
        <v>327</v>
      </c>
    </row>
    <row r="21" spans="1:18" ht="20.100000000000001" customHeight="1" thickTop="1" x14ac:dyDescent="0.2">
      <c r="A21" s="753" t="s">
        <v>347</v>
      </c>
      <c r="B21" s="143" t="s">
        <v>348</v>
      </c>
      <c r="C21" s="152">
        <f>+(B13/1000)-(B11/1000)</f>
        <v>1.3559999999999999</v>
      </c>
      <c r="D21" s="494"/>
      <c r="E21" s="496"/>
      <c r="F21" s="135"/>
      <c r="G21" s="135"/>
      <c r="H21" s="135"/>
      <c r="I21" s="135"/>
      <c r="J21" s="135"/>
      <c r="K21" s="135"/>
      <c r="L21" s="135"/>
      <c r="M21" s="135"/>
      <c r="N21" s="146">
        <v>0</v>
      </c>
      <c r="O21" s="147">
        <f>B8</f>
        <v>3810</v>
      </c>
      <c r="P21" s="500">
        <f>O17</f>
        <v>2301</v>
      </c>
      <c r="Q21" s="493"/>
      <c r="R21" s="503"/>
    </row>
    <row r="22" spans="1:18" ht="20.100000000000001" customHeight="1" x14ac:dyDescent="0.2">
      <c r="A22" s="754"/>
      <c r="B22" s="143" t="s">
        <v>349</v>
      </c>
      <c r="C22" s="152">
        <f>+(B14/1000)-(B12/1000)</f>
        <v>-2.5000000000000022E-2</v>
      </c>
      <c r="D22" s="494"/>
      <c r="E22" s="496"/>
      <c r="F22" s="135"/>
      <c r="G22" s="135"/>
      <c r="H22" s="135"/>
      <c r="I22" s="135"/>
      <c r="J22" s="135"/>
      <c r="K22" s="135"/>
      <c r="L22" s="135"/>
      <c r="M22" s="135"/>
      <c r="N22" s="142">
        <v>5</v>
      </c>
      <c r="O22" s="142">
        <v>3810</v>
      </c>
      <c r="P22" s="501">
        <f>IF(OR(O22=0,O22=""),$P21,$P$21+((O22/1000)-($O$21/1000)))</f>
        <v>2301</v>
      </c>
      <c r="Q22" s="494"/>
      <c r="R22" s="504"/>
    </row>
    <row r="23" spans="1:18" ht="20.100000000000001" customHeight="1" x14ac:dyDescent="0.2">
      <c r="A23" s="753" t="s">
        <v>350</v>
      </c>
      <c r="B23" s="143" t="s">
        <v>351</v>
      </c>
      <c r="C23" s="152">
        <f>+(B13/1000)+(B9/1000)</f>
        <v>2.5389999999999997</v>
      </c>
      <c r="D23" s="494"/>
      <c r="E23" s="496"/>
      <c r="F23" s="135"/>
      <c r="G23" s="135"/>
      <c r="H23" s="135"/>
      <c r="I23" s="135"/>
      <c r="J23" s="135"/>
      <c r="K23" s="135"/>
      <c r="L23" s="135"/>
      <c r="M23" s="135"/>
      <c r="N23" s="142">
        <v>10</v>
      </c>
      <c r="O23" s="142">
        <v>3810</v>
      </c>
      <c r="P23" s="501">
        <f>IF(OR(O23=0,O23=""),$P22,$P$21+((O23/1000)-($O$21/1000)))</f>
        <v>2301</v>
      </c>
      <c r="Q23" s="494"/>
      <c r="R23" s="504"/>
    </row>
    <row r="24" spans="1:18" ht="20.100000000000001" customHeight="1" x14ac:dyDescent="0.2">
      <c r="A24" s="755"/>
      <c r="B24" s="143" t="s">
        <v>352</v>
      </c>
      <c r="C24" s="152">
        <f>+(B14/1000)-(B10/1000)</f>
        <v>-6.800000000000006E-2</v>
      </c>
      <c r="D24" s="494"/>
      <c r="E24" s="496"/>
      <c r="F24" s="135"/>
      <c r="G24" s="135"/>
      <c r="H24" s="135"/>
      <c r="I24" s="135"/>
      <c r="J24" s="135"/>
      <c r="K24" s="135"/>
      <c r="L24" s="135"/>
      <c r="M24" s="135"/>
      <c r="N24" s="142">
        <v>15</v>
      </c>
      <c r="O24" s="142">
        <v>3810</v>
      </c>
      <c r="P24" s="501">
        <f>IF(OR(O24=0,O24=""),$P23,$P$21+((O24/1000)-($O$21/1000)))</f>
        <v>2301</v>
      </c>
      <c r="Q24" s="494"/>
      <c r="R24" s="504"/>
    </row>
    <row r="25" spans="1:18" ht="20.100000000000001" customHeight="1" x14ac:dyDescent="0.2">
      <c r="A25" s="753" t="s">
        <v>353</v>
      </c>
      <c r="B25" s="143" t="s">
        <v>354</v>
      </c>
      <c r="C25" s="152">
        <f>+(B13/1000)</f>
        <v>2.0369999999999999</v>
      </c>
      <c r="D25" s="494"/>
      <c r="E25" s="496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1:18" ht="20.100000000000001" customHeight="1" x14ac:dyDescent="0.2">
      <c r="A26" s="755"/>
      <c r="B26" s="143" t="s">
        <v>355</v>
      </c>
      <c r="C26" s="152">
        <f>+(B14/1000)</f>
        <v>0.83899999999999997</v>
      </c>
      <c r="D26" s="494"/>
      <c r="E26" s="496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1:18" ht="20.100000000000001" customHeight="1" x14ac:dyDescent="0.2">
      <c r="A27" s="497" t="s">
        <v>356</v>
      </c>
      <c r="B27" s="143" t="s">
        <v>357</v>
      </c>
      <c r="C27" s="152">
        <f>O17-((B8/1000)-(B13/1000))</f>
        <v>2299.2269999999999</v>
      </c>
      <c r="D27" s="494"/>
      <c r="E27" s="143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1:18" ht="20.100000000000001" customHeight="1" x14ac:dyDescent="0.2">
      <c r="A28" s="498" t="s">
        <v>358</v>
      </c>
      <c r="B28" s="143" t="s">
        <v>359</v>
      </c>
      <c r="C28" s="499">
        <v>60</v>
      </c>
      <c r="D28" s="494"/>
      <c r="E28" s="143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1:18" ht="20.100000000000001" customHeight="1" x14ac:dyDescent="0.2">
      <c r="A29" s="135"/>
      <c r="B29" s="135" t="s">
        <v>1698</v>
      </c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1:18" ht="20.100000000000001" customHeight="1" x14ac:dyDescent="0.2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1:18" ht="20.100000000000001" customHeight="1" x14ac:dyDescent="0.2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1:18" ht="20.100000000000001" customHeight="1" x14ac:dyDescent="0.2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1:18" ht="20.100000000000001" customHeight="1" x14ac:dyDescent="0.2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1:18" ht="20.100000000000001" customHeight="1" x14ac:dyDescent="0.2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1:18" ht="20.100000000000001" customHeight="1" x14ac:dyDescent="0.2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1:18" ht="20.100000000000001" customHeight="1" x14ac:dyDescent="0.2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1:18" ht="20.100000000000001" customHeight="1" x14ac:dyDescent="0.2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1:18" ht="20.100000000000001" customHeight="1" x14ac:dyDescent="0.2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1:18" ht="20.100000000000001" customHeight="1" x14ac:dyDescent="0.2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1:18" ht="20.100000000000001" customHeight="1" x14ac:dyDescent="0.2"/>
  </sheetData>
  <mergeCells count="9">
    <mergeCell ref="A21:A22"/>
    <mergeCell ref="A23:A24"/>
    <mergeCell ref="A25:A26"/>
    <mergeCell ref="A2:B2"/>
    <mergeCell ref="N2:P2"/>
    <mergeCell ref="N16:O16"/>
    <mergeCell ref="A17:C17"/>
    <mergeCell ref="A18:A20"/>
    <mergeCell ref="N20:P20"/>
  </mergeCells>
  <conditionalFormatting sqref="C3:C14 D18:D28 Q21:Q24">
    <cfRule type="cellIs" dxfId="222" priority="1" operator="equal">
      <formula>"not ok"</formula>
    </cfRule>
    <cfRule type="cellIs" dxfId="221" priority="2" operator="equal">
      <formula>"ok"</formula>
    </cfRule>
  </conditionalFormatting>
  <dataValidations count="3">
    <dataValidation allowBlank="1" showErrorMessage="1" prompt="O conteúdo desta célula não deve ser alterado." sqref="C18 C20:C27 O18 O21 P21:P24" xr:uid="{18A015DD-B6DA-49F2-9B81-74096A98648B}"/>
    <dataValidation type="list" allowBlank="1" showInputMessage="1" showErrorMessage="1" sqref="C3:C14 D18:D28" xr:uid="{9003EF24-CE02-4D30-A956-A5B84497566C}">
      <formula1>"ok, not ok"</formula1>
    </dataValidation>
    <dataValidation type="list" allowBlank="1" showErrorMessage="1" prompt="O conteúdo desta célula não deve ser alterado." sqref="Q21:Q24" xr:uid="{ECCCA089-1304-4B51-9C5E-3DB378532251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workbookViewId="0">
      <selection activeCell="C21" sqref="C21"/>
    </sheetView>
  </sheetViews>
  <sheetFormatPr defaultColWidth="0" defaultRowHeight="15" customHeight="1" x14ac:dyDescent="0.2"/>
  <cols>
    <col min="1" max="1" width="1.7109375" style="242" customWidth="1"/>
    <col min="2" max="4" width="12.7109375" style="58" customWidth="1"/>
    <col min="5" max="5" width="5.7109375" style="135" customWidth="1"/>
    <col min="6" max="7" width="20.7109375" style="135" customWidth="1"/>
    <col min="8" max="8" width="2.7109375" style="242" customWidth="1"/>
    <col min="9" max="11" width="12.7109375" style="58" customWidth="1"/>
    <col min="12" max="12" width="5.7109375" style="135" customWidth="1"/>
    <col min="13" max="14" width="20.7109375" style="135" customWidth="1"/>
    <col min="15" max="15" width="2.7109375" style="242" customWidth="1"/>
    <col min="16" max="18" width="12.7109375" style="58" customWidth="1"/>
    <col min="19" max="19" width="5.7109375" style="135" customWidth="1"/>
    <col min="20" max="21" width="20.7109375" style="135" customWidth="1"/>
    <col min="22" max="22" width="2.7109375" style="242" customWidth="1"/>
    <col min="23" max="24" width="20.7109375" style="135" customWidth="1"/>
    <col min="25" max="25" width="2.7109375" style="242" customWidth="1"/>
    <col min="26" max="32" width="9.140625" style="242" customWidth="1"/>
    <col min="33" max="40" width="0" style="242" hidden="1" customWidth="1"/>
    <col min="41" max="16384" width="9.140625" style="242" hidden="1"/>
  </cols>
  <sheetData>
    <row r="1" spans="1:24" ht="30" customHeight="1" x14ac:dyDescent="0.2">
      <c r="B1" s="765" t="s">
        <v>1798</v>
      </c>
      <c r="C1" s="765"/>
      <c r="D1" s="765"/>
      <c r="E1" s="765"/>
      <c r="F1" s="765"/>
      <c r="G1" s="765"/>
      <c r="I1" s="765" t="s">
        <v>1820</v>
      </c>
      <c r="J1" s="765"/>
      <c r="K1" s="765"/>
      <c r="L1" s="765"/>
      <c r="M1" s="765"/>
      <c r="N1" s="765"/>
      <c r="P1" s="765" t="s">
        <v>1819</v>
      </c>
      <c r="Q1" s="765"/>
      <c r="R1" s="765"/>
      <c r="S1" s="765"/>
      <c r="T1" s="765"/>
      <c r="U1" s="765"/>
      <c r="W1" s="765" t="s">
        <v>1818</v>
      </c>
      <c r="X1" s="765"/>
    </row>
    <row r="2" spans="1:24" ht="12.75" x14ac:dyDescent="0.2">
      <c r="B2" s="135"/>
      <c r="C2" s="135"/>
      <c r="D2" s="135"/>
      <c r="I2" s="135"/>
      <c r="J2" s="135"/>
      <c r="K2" s="135"/>
      <c r="P2" s="135"/>
      <c r="Q2" s="135"/>
      <c r="R2" s="135"/>
    </row>
    <row r="3" spans="1:24" ht="13.5" thickBot="1" x14ac:dyDescent="0.25">
      <c r="B3" s="766" t="s">
        <v>1644</v>
      </c>
      <c r="C3" s="767"/>
      <c r="D3" s="768"/>
      <c r="I3" s="766" t="s">
        <v>1643</v>
      </c>
      <c r="J3" s="767"/>
      <c r="K3" s="768"/>
      <c r="P3" s="766" t="s">
        <v>1645</v>
      </c>
      <c r="Q3" s="767"/>
      <c r="R3" s="768"/>
    </row>
    <row r="4" spans="1:24" ht="13.5" thickTop="1" x14ac:dyDescent="0.2">
      <c r="B4" s="771" t="s">
        <v>360</v>
      </c>
      <c r="C4" s="771"/>
      <c r="D4" s="509">
        <v>40</v>
      </c>
      <c r="I4" s="771" t="s">
        <v>360</v>
      </c>
      <c r="J4" s="771"/>
      <c r="K4" s="509">
        <v>40</v>
      </c>
      <c r="O4" s="246"/>
      <c r="P4" s="771" t="s">
        <v>360</v>
      </c>
      <c r="Q4" s="771"/>
      <c r="R4" s="509">
        <v>40</v>
      </c>
    </row>
    <row r="5" spans="1:24" ht="12.75" x14ac:dyDescent="0.2">
      <c r="B5" s="769" t="s">
        <v>361</v>
      </c>
      <c r="C5" s="769"/>
      <c r="D5" s="494" t="s">
        <v>1646</v>
      </c>
      <c r="H5" s="245"/>
      <c r="I5" s="769" t="s">
        <v>361</v>
      </c>
      <c r="J5" s="769"/>
      <c r="K5" s="494" t="s">
        <v>1646</v>
      </c>
      <c r="O5" s="246"/>
      <c r="P5" s="769" t="s">
        <v>361</v>
      </c>
      <c r="Q5" s="769"/>
      <c r="R5" s="494" t="s">
        <v>1646</v>
      </c>
    </row>
    <row r="6" spans="1:24" ht="12.75" x14ac:dyDescent="0.2">
      <c r="B6" s="769" t="s">
        <v>362</v>
      </c>
      <c r="C6" s="769"/>
      <c r="D6" s="510"/>
      <c r="H6" s="245"/>
      <c r="I6" s="769" t="s">
        <v>362</v>
      </c>
      <c r="J6" s="769"/>
      <c r="K6" s="510"/>
      <c r="O6" s="246"/>
      <c r="P6" s="769" t="s">
        <v>362</v>
      </c>
      <c r="Q6" s="769"/>
      <c r="R6" s="510"/>
    </row>
    <row r="7" spans="1:24" ht="12.75" x14ac:dyDescent="0.2">
      <c r="B7" s="761" t="s">
        <v>1916</v>
      </c>
      <c r="C7" s="762"/>
      <c r="D7" s="511" t="s">
        <v>1918</v>
      </c>
      <c r="H7" s="245"/>
      <c r="I7" s="761" t="s">
        <v>1916</v>
      </c>
      <c r="J7" s="762"/>
      <c r="K7" s="511" t="s">
        <v>1918</v>
      </c>
      <c r="O7" s="246"/>
      <c r="P7" s="761" t="s">
        <v>1916</v>
      </c>
      <c r="Q7" s="762"/>
      <c r="R7" s="511" t="s">
        <v>1918</v>
      </c>
    </row>
    <row r="8" spans="1:24" ht="12.75" x14ac:dyDescent="0.2">
      <c r="B8" s="761" t="s">
        <v>1915</v>
      </c>
      <c r="C8" s="762"/>
      <c r="D8" s="509">
        <v>1.0249999999999999</v>
      </c>
      <c r="H8" s="245"/>
      <c r="I8" s="761" t="s">
        <v>1915</v>
      </c>
      <c r="J8" s="762"/>
      <c r="K8" s="509">
        <v>1.0249999999999999</v>
      </c>
      <c r="O8" s="246"/>
      <c r="P8" s="761" t="s">
        <v>1915</v>
      </c>
      <c r="Q8" s="762"/>
      <c r="R8" s="509">
        <v>1.0249999999999999</v>
      </c>
    </row>
    <row r="9" spans="1:24" ht="12.75" x14ac:dyDescent="0.2">
      <c r="B9" s="761" t="s">
        <v>1917</v>
      </c>
      <c r="C9" s="762"/>
      <c r="D9" s="511"/>
      <c r="H9" s="245"/>
      <c r="I9" s="761" t="s">
        <v>1917</v>
      </c>
      <c r="J9" s="762"/>
      <c r="K9" s="146" t="str">
        <f>IF(ISTEXT(D9), D9, "")</f>
        <v/>
      </c>
      <c r="O9" s="246"/>
      <c r="P9" s="761" t="s">
        <v>1917</v>
      </c>
      <c r="Q9" s="762"/>
      <c r="R9" s="146" t="str">
        <f>IF(ISTEXT(D9), D9, "")</f>
        <v/>
      </c>
    </row>
    <row r="10" spans="1:24" ht="12.75" x14ac:dyDescent="0.2">
      <c r="B10" s="243"/>
      <c r="C10" s="243"/>
      <c r="D10" s="243"/>
      <c r="E10" s="58"/>
      <c r="F10" s="58"/>
      <c r="G10" s="58"/>
      <c r="H10" s="245"/>
      <c r="I10" s="243"/>
      <c r="J10" s="243"/>
      <c r="K10" s="243"/>
      <c r="L10" s="58"/>
      <c r="M10" s="58"/>
      <c r="N10" s="58"/>
      <c r="O10" s="246"/>
      <c r="P10" s="243"/>
      <c r="Q10" s="243"/>
      <c r="R10" s="243"/>
      <c r="S10" s="58"/>
      <c r="T10" s="58"/>
      <c r="U10" s="58"/>
    </row>
    <row r="11" spans="1:24" ht="12.75" x14ac:dyDescent="0.2">
      <c r="E11" s="58"/>
      <c r="F11" s="58"/>
      <c r="G11" s="58"/>
      <c r="H11" s="245"/>
      <c r="I11" s="243"/>
      <c r="J11" s="243"/>
      <c r="K11" s="243"/>
      <c r="L11" s="58"/>
      <c r="M11" s="58"/>
      <c r="N11" s="58"/>
      <c r="O11" s="246"/>
      <c r="P11" s="243"/>
      <c r="Q11" s="243"/>
      <c r="R11" s="243"/>
      <c r="S11" s="58"/>
      <c r="T11" s="58"/>
      <c r="U11" s="58"/>
    </row>
    <row r="12" spans="1:24" ht="12.75" x14ac:dyDescent="0.2">
      <c r="E12" s="58"/>
      <c r="F12" s="58"/>
      <c r="G12" s="58"/>
      <c r="H12" s="245"/>
      <c r="I12" s="243"/>
      <c r="J12" s="243"/>
      <c r="K12" s="243"/>
      <c r="L12" s="58"/>
      <c r="M12" s="58"/>
      <c r="N12" s="58"/>
      <c r="O12" s="246"/>
      <c r="P12" s="243"/>
      <c r="Q12" s="243"/>
      <c r="R12" s="243"/>
      <c r="S12" s="58"/>
      <c r="T12" s="58"/>
      <c r="U12" s="58"/>
    </row>
    <row r="13" spans="1:24" ht="13.5" thickBot="1" x14ac:dyDescent="0.25">
      <c r="B13" s="502" t="s">
        <v>126</v>
      </c>
      <c r="C13" s="756" t="s">
        <v>327</v>
      </c>
      <c r="D13" s="758"/>
      <c r="E13" s="58"/>
      <c r="F13" s="58"/>
      <c r="G13" s="58"/>
      <c r="H13" s="245"/>
      <c r="I13" s="600" t="s">
        <v>126</v>
      </c>
      <c r="J13" s="756" t="s">
        <v>327</v>
      </c>
      <c r="K13" s="758"/>
      <c r="L13" s="58"/>
      <c r="M13" s="58"/>
      <c r="N13" s="58"/>
      <c r="O13" s="246"/>
      <c r="P13" s="600" t="s">
        <v>126</v>
      </c>
      <c r="Q13" s="756" t="s">
        <v>327</v>
      </c>
      <c r="R13" s="758"/>
      <c r="S13" s="58"/>
      <c r="T13" s="58"/>
      <c r="U13" s="58"/>
      <c r="W13" s="502" t="s">
        <v>126</v>
      </c>
      <c r="X13" s="477" t="s">
        <v>327</v>
      </c>
    </row>
    <row r="14" spans="1:24" ht="13.5" thickTop="1" x14ac:dyDescent="0.2">
      <c r="B14" s="146"/>
      <c r="C14" s="763"/>
      <c r="D14" s="764"/>
      <c r="E14" s="58"/>
      <c r="F14" s="58"/>
      <c r="G14" s="58"/>
      <c r="H14" s="245"/>
      <c r="I14" s="146"/>
      <c r="J14" s="763"/>
      <c r="K14" s="764"/>
      <c r="L14" s="58"/>
      <c r="M14" s="58"/>
      <c r="N14" s="58"/>
      <c r="O14" s="246"/>
      <c r="P14" s="146"/>
      <c r="Q14" s="763"/>
      <c r="R14" s="764"/>
      <c r="S14" s="58"/>
      <c r="T14" s="58"/>
      <c r="U14" s="58"/>
      <c r="W14" s="146"/>
      <c r="X14" s="512"/>
    </row>
    <row r="15" spans="1:24" ht="12.75" x14ac:dyDescent="0.2">
      <c r="B15" s="243"/>
      <c r="C15" s="243"/>
      <c r="D15" s="243"/>
      <c r="E15" s="58"/>
      <c r="F15" s="58"/>
      <c r="G15" s="58"/>
      <c r="H15" s="245"/>
      <c r="L15" s="58"/>
      <c r="M15" s="58"/>
      <c r="N15" s="58"/>
      <c r="O15" s="246"/>
      <c r="S15" s="58"/>
      <c r="T15" s="58"/>
      <c r="U15" s="58"/>
    </row>
    <row r="16" spans="1:24" ht="15" customHeight="1" x14ac:dyDescent="0.2">
      <c r="A16" s="245"/>
      <c r="B16" s="760" t="s">
        <v>1640</v>
      </c>
      <c r="C16" s="760"/>
      <c r="D16" s="760"/>
      <c r="F16" s="760" t="s">
        <v>1637</v>
      </c>
      <c r="G16" s="760"/>
      <c r="H16" s="245"/>
      <c r="I16" s="760" t="s">
        <v>1641</v>
      </c>
      <c r="J16" s="760"/>
      <c r="K16" s="760"/>
      <c r="M16" s="760" t="s">
        <v>1638</v>
      </c>
      <c r="N16" s="760"/>
      <c r="P16" s="760" t="s">
        <v>1642</v>
      </c>
      <c r="Q16" s="760"/>
      <c r="R16" s="760"/>
      <c r="T16" s="760" t="s">
        <v>1639</v>
      </c>
      <c r="U16" s="760"/>
      <c r="W16" s="760" t="s">
        <v>1636</v>
      </c>
      <c r="X16" s="760"/>
    </row>
    <row r="17" spans="2:24" ht="31.5" customHeight="1" thickBot="1" x14ac:dyDescent="0.25">
      <c r="B17" s="669" t="s">
        <v>1633</v>
      </c>
      <c r="C17" s="670" t="s">
        <v>1634</v>
      </c>
      <c r="D17" s="514" t="s">
        <v>1635</v>
      </c>
      <c r="F17" s="249" t="s">
        <v>1631</v>
      </c>
      <c r="G17" s="241" t="s">
        <v>1632</v>
      </c>
      <c r="H17" s="245"/>
      <c r="I17" s="669" t="s">
        <v>1633</v>
      </c>
      <c r="J17" s="691" t="s">
        <v>1634</v>
      </c>
      <c r="K17" s="517" t="s">
        <v>1635</v>
      </c>
      <c r="M17" s="249" t="s">
        <v>1631</v>
      </c>
      <c r="N17" s="241" t="s">
        <v>1632</v>
      </c>
      <c r="P17" s="669" t="s">
        <v>1633</v>
      </c>
      <c r="Q17" s="670" t="s">
        <v>1634</v>
      </c>
      <c r="R17" s="517" t="s">
        <v>1635</v>
      </c>
      <c r="T17" s="249" t="s">
        <v>1631</v>
      </c>
      <c r="U17" s="241" t="s">
        <v>1632</v>
      </c>
      <c r="W17" s="249" t="s">
        <v>1631</v>
      </c>
      <c r="X17" s="241" t="s">
        <v>1632</v>
      </c>
    </row>
    <row r="18" spans="2:24" ht="15" customHeight="1" thickTop="1" x14ac:dyDescent="0.2">
      <c r="B18" s="667">
        <v>0</v>
      </c>
      <c r="C18" s="668">
        <v>0</v>
      </c>
      <c r="D18" s="515">
        <f t="shared" ref="D18:D81" si="0">C18/1000</f>
        <v>0</v>
      </c>
      <c r="F18" s="257">
        <v>0</v>
      </c>
      <c r="G18" s="247">
        <v>0</v>
      </c>
      <c r="H18" s="245"/>
      <c r="I18" s="667"/>
      <c r="J18" s="668"/>
      <c r="K18" s="515">
        <f t="shared" ref="K18:K81" si="1">J18/1000</f>
        <v>0</v>
      </c>
      <c r="M18" s="257"/>
      <c r="N18" s="247"/>
      <c r="P18" s="667"/>
      <c r="Q18" s="668"/>
      <c r="R18" s="515">
        <f t="shared" ref="R18:R81" si="2">Q18/1000</f>
        <v>0</v>
      </c>
      <c r="T18" s="257"/>
      <c r="U18" s="247"/>
      <c r="W18" s="251">
        <v>0</v>
      </c>
      <c r="X18" s="253">
        <v>0</v>
      </c>
    </row>
    <row r="19" spans="2:24" ht="15" customHeight="1" x14ac:dyDescent="0.2">
      <c r="B19" s="256">
        <v>7.1999999999999998E-3</v>
      </c>
      <c r="C19" s="513">
        <v>411</v>
      </c>
      <c r="D19" s="516">
        <f t="shared" si="0"/>
        <v>0.41099999999999998</v>
      </c>
      <c r="F19" s="258">
        <v>7.1999999999999998E-3</v>
      </c>
      <c r="G19" s="248">
        <v>0.41099999999999998</v>
      </c>
      <c r="H19" s="245"/>
      <c r="I19" s="256"/>
      <c r="J19" s="513"/>
      <c r="K19" s="516">
        <f t="shared" si="1"/>
        <v>0</v>
      </c>
      <c r="M19" s="258"/>
      <c r="N19" s="248"/>
      <c r="P19" s="256"/>
      <c r="Q19" s="513"/>
      <c r="R19" s="516">
        <f t="shared" si="2"/>
        <v>0</v>
      </c>
      <c r="T19" s="258"/>
      <c r="U19" s="248"/>
      <c r="W19" s="252">
        <f>Values!C34</f>
        <v>0.34965034965034969</v>
      </c>
      <c r="X19" s="248">
        <v>0.01</v>
      </c>
    </row>
    <row r="20" spans="2:24" ht="15" customHeight="1" x14ac:dyDescent="0.2">
      <c r="B20" s="256">
        <v>1.5900000000000001E-2</v>
      </c>
      <c r="C20" s="513">
        <v>755</v>
      </c>
      <c r="D20" s="516">
        <f t="shared" si="0"/>
        <v>0.755</v>
      </c>
      <c r="F20" s="258">
        <v>1.5900000000000001E-2</v>
      </c>
      <c r="G20" s="248">
        <v>0.755</v>
      </c>
      <c r="H20" s="245"/>
      <c r="I20" s="256"/>
      <c r="J20" s="513"/>
      <c r="K20" s="516">
        <f t="shared" si="1"/>
        <v>0</v>
      </c>
      <c r="M20" s="258"/>
      <c r="N20" s="248"/>
      <c r="P20" s="256"/>
      <c r="Q20" s="513"/>
      <c r="R20" s="516">
        <f t="shared" si="2"/>
        <v>0</v>
      </c>
      <c r="T20" s="258"/>
      <c r="U20" s="248"/>
      <c r="W20" s="254">
        <f>W19+1</f>
        <v>1.3496503496503496</v>
      </c>
      <c r="X20" s="255">
        <f>Values!C37</f>
        <v>25474.780317225832</v>
      </c>
    </row>
    <row r="21" spans="2:24" ht="15" customHeight="1" x14ac:dyDescent="0.2">
      <c r="B21" s="256">
        <v>2.6200000000000001E-2</v>
      </c>
      <c r="C21" s="513">
        <v>1161</v>
      </c>
      <c r="D21" s="516">
        <f t="shared" si="0"/>
        <v>1.161</v>
      </c>
      <c r="F21" s="258">
        <v>2.6200000000000001E-2</v>
      </c>
      <c r="G21" s="248">
        <v>1.161</v>
      </c>
      <c r="H21" s="245"/>
      <c r="I21" s="256"/>
      <c r="J21" s="513"/>
      <c r="K21" s="516">
        <f t="shared" si="1"/>
        <v>0</v>
      </c>
      <c r="M21" s="258"/>
      <c r="N21" s="248"/>
      <c r="P21" s="256"/>
      <c r="Q21" s="513"/>
      <c r="R21" s="516">
        <f t="shared" si="2"/>
        <v>0</v>
      </c>
      <c r="T21" s="258"/>
      <c r="U21" s="248"/>
    </row>
    <row r="22" spans="2:24" ht="15" customHeight="1" x14ac:dyDescent="0.2">
      <c r="B22" s="256">
        <v>3.7999999999999999E-2</v>
      </c>
      <c r="C22" s="513">
        <v>1628</v>
      </c>
      <c r="D22" s="516">
        <f t="shared" si="0"/>
        <v>1.6279999999999999</v>
      </c>
      <c r="F22" s="258">
        <v>3.7999999999999999E-2</v>
      </c>
      <c r="G22" s="248">
        <v>1.6279999999999999</v>
      </c>
      <c r="H22" s="245"/>
      <c r="I22" s="256"/>
      <c r="J22" s="513"/>
      <c r="K22" s="516">
        <f t="shared" si="1"/>
        <v>0</v>
      </c>
      <c r="M22" s="258"/>
      <c r="N22" s="248"/>
      <c r="P22" s="256"/>
      <c r="Q22" s="513"/>
      <c r="R22" s="516">
        <f t="shared" si="2"/>
        <v>0</v>
      </c>
      <c r="T22" s="258"/>
      <c r="U22" s="248"/>
    </row>
    <row r="23" spans="2:24" ht="15" customHeight="1" x14ac:dyDescent="0.2">
      <c r="B23" s="256">
        <v>5.1400000000000001E-2</v>
      </c>
      <c r="C23" s="513">
        <v>2156</v>
      </c>
      <c r="D23" s="516">
        <f t="shared" si="0"/>
        <v>2.1560000000000001</v>
      </c>
      <c r="F23" s="258">
        <v>5.1400000000000001E-2</v>
      </c>
      <c r="G23" s="248">
        <v>2.1560000000000001</v>
      </c>
      <c r="H23" s="245"/>
      <c r="I23" s="256"/>
      <c r="J23" s="513"/>
      <c r="K23" s="516">
        <f t="shared" si="1"/>
        <v>0</v>
      </c>
      <c r="M23" s="258"/>
      <c r="N23" s="248"/>
      <c r="P23" s="256"/>
      <c r="Q23" s="513"/>
      <c r="R23" s="516">
        <f t="shared" si="2"/>
        <v>0</v>
      </c>
      <c r="T23" s="258"/>
      <c r="U23" s="248"/>
    </row>
    <row r="24" spans="2:24" ht="15" customHeight="1" x14ac:dyDescent="0.2">
      <c r="B24" s="256">
        <v>6.6400000000000001E-2</v>
      </c>
      <c r="C24" s="513">
        <v>2746</v>
      </c>
      <c r="D24" s="516">
        <f t="shared" si="0"/>
        <v>2.746</v>
      </c>
      <c r="F24" s="258">
        <v>6.6400000000000001E-2</v>
      </c>
      <c r="G24" s="248">
        <v>2.746</v>
      </c>
      <c r="H24" s="245"/>
      <c r="I24" s="256"/>
      <c r="J24" s="513"/>
      <c r="K24" s="516">
        <f t="shared" si="1"/>
        <v>0</v>
      </c>
      <c r="M24" s="258"/>
      <c r="N24" s="248"/>
      <c r="P24" s="256"/>
      <c r="Q24" s="513"/>
      <c r="R24" s="516">
        <f t="shared" si="2"/>
        <v>0</v>
      </c>
      <c r="T24" s="258"/>
      <c r="U24" s="248"/>
    </row>
    <row r="25" spans="2:24" ht="15" customHeight="1" x14ac:dyDescent="0.2">
      <c r="B25" s="256">
        <v>8.2900000000000001E-2</v>
      </c>
      <c r="C25" s="513">
        <v>3397</v>
      </c>
      <c r="D25" s="516">
        <f t="shared" si="0"/>
        <v>3.3969999999999998</v>
      </c>
      <c r="F25" s="258">
        <v>8.2900000000000001E-2</v>
      </c>
      <c r="G25" s="248">
        <v>3.3969999999999998</v>
      </c>
      <c r="H25" s="245"/>
      <c r="I25" s="256"/>
      <c r="J25" s="513"/>
      <c r="K25" s="516">
        <f t="shared" si="1"/>
        <v>0</v>
      </c>
      <c r="M25" s="258"/>
      <c r="N25" s="248"/>
      <c r="P25" s="256"/>
      <c r="Q25" s="513"/>
      <c r="R25" s="516">
        <f t="shared" si="2"/>
        <v>0</v>
      </c>
      <c r="T25" s="258"/>
      <c r="U25" s="248"/>
    </row>
    <row r="26" spans="2:24" ht="15" customHeight="1" x14ac:dyDescent="0.2">
      <c r="B26" s="256">
        <v>0.10100000000000001</v>
      </c>
      <c r="C26" s="513">
        <v>4110</v>
      </c>
      <c r="D26" s="516">
        <f t="shared" si="0"/>
        <v>4.1100000000000003</v>
      </c>
      <c r="F26" s="258">
        <v>0.10100000000000001</v>
      </c>
      <c r="G26" s="248">
        <v>4.1100000000000003</v>
      </c>
      <c r="H26" s="245"/>
      <c r="I26" s="256"/>
      <c r="J26" s="513"/>
      <c r="K26" s="516">
        <f t="shared" si="1"/>
        <v>0</v>
      </c>
      <c r="M26" s="258"/>
      <c r="N26" s="248"/>
      <c r="P26" s="256"/>
      <c r="Q26" s="513"/>
      <c r="R26" s="516">
        <f t="shared" si="2"/>
        <v>0</v>
      </c>
      <c r="T26" s="258"/>
      <c r="U26" s="248"/>
    </row>
    <row r="27" spans="2:24" ht="15" customHeight="1" x14ac:dyDescent="0.2">
      <c r="B27" s="256">
        <v>0.1207</v>
      </c>
      <c r="C27" s="513">
        <v>4884</v>
      </c>
      <c r="D27" s="516">
        <f t="shared" si="0"/>
        <v>4.8840000000000003</v>
      </c>
      <c r="F27" s="258">
        <v>0.1207</v>
      </c>
      <c r="G27" s="248">
        <v>4.8840000000000003</v>
      </c>
      <c r="H27" s="245"/>
      <c r="I27" s="256"/>
      <c r="J27" s="513"/>
      <c r="K27" s="516">
        <f t="shared" si="1"/>
        <v>0</v>
      </c>
      <c r="M27" s="258"/>
      <c r="N27" s="248"/>
      <c r="P27" s="256"/>
      <c r="Q27" s="513"/>
      <c r="R27" s="516">
        <f t="shared" si="2"/>
        <v>0</v>
      </c>
      <c r="T27" s="258"/>
      <c r="U27" s="248"/>
    </row>
    <row r="28" spans="2:24" ht="15" customHeight="1" x14ac:dyDescent="0.2">
      <c r="B28" s="256">
        <v>0.1419</v>
      </c>
      <c r="C28" s="513">
        <v>5720</v>
      </c>
      <c r="D28" s="516">
        <f t="shared" si="0"/>
        <v>5.72</v>
      </c>
      <c r="F28" s="258">
        <v>0.1419</v>
      </c>
      <c r="G28" s="248">
        <v>5.72</v>
      </c>
      <c r="H28" s="245"/>
      <c r="I28" s="256"/>
      <c r="J28" s="513"/>
      <c r="K28" s="516">
        <f t="shared" si="1"/>
        <v>0</v>
      </c>
      <c r="M28" s="258"/>
      <c r="N28" s="248"/>
      <c r="P28" s="256"/>
      <c r="Q28" s="513"/>
      <c r="R28" s="516">
        <f t="shared" si="2"/>
        <v>0</v>
      </c>
      <c r="T28" s="258"/>
      <c r="U28" s="248"/>
    </row>
    <row r="29" spans="2:24" ht="15" customHeight="1" x14ac:dyDescent="0.2">
      <c r="B29" s="256">
        <v>0.1646</v>
      </c>
      <c r="C29" s="513">
        <v>6617</v>
      </c>
      <c r="D29" s="516">
        <f t="shared" si="0"/>
        <v>6.617</v>
      </c>
      <c r="F29" s="258">
        <v>0.1646</v>
      </c>
      <c r="G29" s="248">
        <v>6.617</v>
      </c>
      <c r="H29" s="245"/>
      <c r="I29" s="256"/>
      <c r="J29" s="513"/>
      <c r="K29" s="516">
        <f t="shared" si="1"/>
        <v>0</v>
      </c>
      <c r="M29" s="258"/>
      <c r="N29" s="248"/>
      <c r="P29" s="256"/>
      <c r="Q29" s="513"/>
      <c r="R29" s="516">
        <f t="shared" si="2"/>
        <v>0</v>
      </c>
      <c r="T29" s="258"/>
      <c r="U29" s="248"/>
    </row>
    <row r="30" spans="2:24" ht="15" customHeight="1" x14ac:dyDescent="0.2">
      <c r="B30" s="256">
        <v>0.189</v>
      </c>
      <c r="C30" s="513">
        <v>7576</v>
      </c>
      <c r="D30" s="516">
        <f t="shared" si="0"/>
        <v>7.5759999999999996</v>
      </c>
      <c r="F30" s="258">
        <v>0.189</v>
      </c>
      <c r="G30" s="248">
        <v>7.5759999999999996</v>
      </c>
      <c r="H30" s="245"/>
      <c r="I30" s="256"/>
      <c r="J30" s="513"/>
      <c r="K30" s="516">
        <f t="shared" si="1"/>
        <v>0</v>
      </c>
      <c r="M30" s="258"/>
      <c r="N30" s="248"/>
      <c r="P30" s="256"/>
      <c r="Q30" s="513"/>
      <c r="R30" s="516">
        <f t="shared" si="2"/>
        <v>0</v>
      </c>
      <c r="T30" s="258"/>
      <c r="U30" s="248"/>
    </row>
    <row r="31" spans="2:24" ht="15" customHeight="1" x14ac:dyDescent="0.2">
      <c r="B31" s="256">
        <v>0.21479999999999999</v>
      </c>
      <c r="C31" s="513">
        <v>8596</v>
      </c>
      <c r="D31" s="516">
        <f t="shared" si="0"/>
        <v>8.5960000000000001</v>
      </c>
      <c r="F31" s="258">
        <v>0.21479999999999999</v>
      </c>
      <c r="G31" s="248">
        <v>8.5960000000000001</v>
      </c>
      <c r="H31" s="245"/>
      <c r="I31" s="256"/>
      <c r="J31" s="513"/>
      <c r="K31" s="516">
        <f t="shared" si="1"/>
        <v>0</v>
      </c>
      <c r="M31" s="258"/>
      <c r="N31" s="248"/>
      <c r="P31" s="256"/>
      <c r="Q31" s="513"/>
      <c r="R31" s="516">
        <f t="shared" si="2"/>
        <v>0</v>
      </c>
      <c r="T31" s="258"/>
      <c r="U31" s="248"/>
    </row>
    <row r="32" spans="2:24" ht="15" customHeight="1" x14ac:dyDescent="0.2">
      <c r="B32" s="256">
        <v>0.24229999999999999</v>
      </c>
      <c r="C32" s="513">
        <v>9677</v>
      </c>
      <c r="D32" s="516">
        <f t="shared" si="0"/>
        <v>9.6769999999999996</v>
      </c>
      <c r="F32" s="258">
        <v>0.24229999999999999</v>
      </c>
      <c r="G32" s="248">
        <v>9.6769999999999996</v>
      </c>
      <c r="H32" s="245"/>
      <c r="I32" s="256"/>
      <c r="J32" s="513"/>
      <c r="K32" s="516">
        <f t="shared" si="1"/>
        <v>0</v>
      </c>
      <c r="M32" s="258"/>
      <c r="N32" s="248"/>
      <c r="P32" s="256"/>
      <c r="Q32" s="513"/>
      <c r="R32" s="516">
        <f t="shared" si="2"/>
        <v>0</v>
      </c>
      <c r="T32" s="258"/>
      <c r="U32" s="248"/>
    </row>
    <row r="33" spans="2:21" ht="15" customHeight="1" x14ac:dyDescent="0.2">
      <c r="B33" s="256">
        <v>0.27129999999999999</v>
      </c>
      <c r="C33" s="513">
        <v>10820</v>
      </c>
      <c r="D33" s="516">
        <f t="shared" si="0"/>
        <v>10.82</v>
      </c>
      <c r="F33" s="258">
        <v>0.27129999999999999</v>
      </c>
      <c r="G33" s="248">
        <v>10.82</v>
      </c>
      <c r="H33" s="245"/>
      <c r="I33" s="256"/>
      <c r="J33" s="513"/>
      <c r="K33" s="516">
        <f t="shared" si="1"/>
        <v>0</v>
      </c>
      <c r="M33" s="258"/>
      <c r="N33" s="248"/>
      <c r="P33" s="256"/>
      <c r="Q33" s="513"/>
      <c r="R33" s="516">
        <f t="shared" si="2"/>
        <v>0</v>
      </c>
      <c r="T33" s="258"/>
      <c r="U33" s="248"/>
    </row>
    <row r="34" spans="2:21" ht="15" customHeight="1" x14ac:dyDescent="0.2">
      <c r="B34" s="256">
        <v>0.30180000000000001</v>
      </c>
      <c r="C34" s="513">
        <v>12025</v>
      </c>
      <c r="D34" s="516">
        <f t="shared" si="0"/>
        <v>12.025</v>
      </c>
      <c r="F34" s="258">
        <v>0.30180000000000001</v>
      </c>
      <c r="G34" s="248">
        <v>12.025</v>
      </c>
      <c r="H34" s="245"/>
      <c r="I34" s="256"/>
      <c r="J34" s="513"/>
      <c r="K34" s="516">
        <f t="shared" si="1"/>
        <v>0</v>
      </c>
      <c r="M34" s="258"/>
      <c r="N34" s="248"/>
      <c r="P34" s="256"/>
      <c r="Q34" s="513"/>
      <c r="R34" s="516">
        <f t="shared" si="2"/>
        <v>0</v>
      </c>
      <c r="T34" s="258"/>
      <c r="U34" s="248"/>
    </row>
    <row r="35" spans="2:21" ht="15" customHeight="1" x14ac:dyDescent="0.2">
      <c r="B35" s="256">
        <v>0.33389999999999997</v>
      </c>
      <c r="C35" s="513">
        <v>13291</v>
      </c>
      <c r="D35" s="516">
        <f t="shared" si="0"/>
        <v>13.291</v>
      </c>
      <c r="F35" s="258">
        <v>0.33389999999999997</v>
      </c>
      <c r="G35" s="248">
        <v>13.291</v>
      </c>
      <c r="H35" s="245"/>
      <c r="I35" s="256"/>
      <c r="J35" s="513"/>
      <c r="K35" s="516">
        <f t="shared" si="1"/>
        <v>0</v>
      </c>
      <c r="M35" s="258"/>
      <c r="N35" s="248"/>
      <c r="P35" s="256"/>
      <c r="Q35" s="513"/>
      <c r="R35" s="516">
        <f t="shared" si="2"/>
        <v>0</v>
      </c>
      <c r="T35" s="258"/>
      <c r="U35" s="248"/>
    </row>
    <row r="36" spans="2:21" ht="15" customHeight="1" x14ac:dyDescent="0.2">
      <c r="B36" s="256">
        <v>0.36759999999999998</v>
      </c>
      <c r="C36" s="513">
        <v>14618</v>
      </c>
      <c r="D36" s="516">
        <f t="shared" si="0"/>
        <v>14.618</v>
      </c>
      <c r="F36" s="258">
        <v>0.36759999999999998</v>
      </c>
      <c r="G36" s="248">
        <v>14.618</v>
      </c>
      <c r="H36" s="245"/>
      <c r="I36" s="256"/>
      <c r="J36" s="513"/>
      <c r="K36" s="516">
        <f t="shared" si="1"/>
        <v>0</v>
      </c>
      <c r="M36" s="258"/>
      <c r="N36" s="248"/>
      <c r="P36" s="256"/>
      <c r="Q36" s="513"/>
      <c r="R36" s="516">
        <f t="shared" si="2"/>
        <v>0</v>
      </c>
      <c r="T36" s="258"/>
      <c r="U36" s="248"/>
    </row>
    <row r="37" spans="2:21" ht="15" customHeight="1" x14ac:dyDescent="0.2">
      <c r="B37" s="256">
        <v>0.40289999999999998</v>
      </c>
      <c r="C37" s="513">
        <v>16007</v>
      </c>
      <c r="D37" s="516">
        <f t="shared" si="0"/>
        <v>16.007000000000001</v>
      </c>
      <c r="F37" s="258">
        <v>0.40289999999999998</v>
      </c>
      <c r="G37" s="248">
        <v>16.007000000000001</v>
      </c>
      <c r="H37" s="245"/>
      <c r="I37" s="256"/>
      <c r="J37" s="513"/>
      <c r="K37" s="516">
        <f t="shared" si="1"/>
        <v>0</v>
      </c>
      <c r="M37" s="258"/>
      <c r="N37" s="248"/>
      <c r="P37" s="256"/>
      <c r="Q37" s="513"/>
      <c r="R37" s="516">
        <f t="shared" si="2"/>
        <v>0</v>
      </c>
      <c r="T37" s="258"/>
      <c r="U37" s="248"/>
    </row>
    <row r="38" spans="2:21" ht="15" customHeight="1" x14ac:dyDescent="0.2">
      <c r="B38" s="256">
        <v>0.43959999999999999</v>
      </c>
      <c r="C38" s="513">
        <v>17457</v>
      </c>
      <c r="D38" s="516">
        <f t="shared" si="0"/>
        <v>17.457000000000001</v>
      </c>
      <c r="F38" s="258">
        <v>0.43959999999999999</v>
      </c>
      <c r="G38" s="248">
        <v>17.457000000000001</v>
      </c>
      <c r="H38" s="245"/>
      <c r="I38" s="256"/>
      <c r="J38" s="513"/>
      <c r="K38" s="516">
        <f t="shared" si="1"/>
        <v>0</v>
      </c>
      <c r="M38" s="258"/>
      <c r="N38" s="248"/>
      <c r="P38" s="256"/>
      <c r="Q38" s="513"/>
      <c r="R38" s="516">
        <f t="shared" si="2"/>
        <v>0</v>
      </c>
      <c r="T38" s="258"/>
      <c r="U38" s="248"/>
    </row>
    <row r="39" spans="2:21" ht="15" customHeight="1" x14ac:dyDescent="0.2">
      <c r="B39" s="256">
        <v>0.47799999999999998</v>
      </c>
      <c r="C39" s="513">
        <v>18968</v>
      </c>
      <c r="D39" s="516">
        <f t="shared" si="0"/>
        <v>18.968</v>
      </c>
      <c r="F39" s="258">
        <v>0.47799999999999998</v>
      </c>
      <c r="G39" s="248">
        <v>18.968</v>
      </c>
      <c r="H39" s="245"/>
      <c r="I39" s="256"/>
      <c r="J39" s="513"/>
      <c r="K39" s="516">
        <f t="shared" si="1"/>
        <v>0</v>
      </c>
      <c r="M39" s="258"/>
      <c r="N39" s="248"/>
      <c r="P39" s="256"/>
      <c r="Q39" s="513"/>
      <c r="R39" s="516">
        <f t="shared" si="2"/>
        <v>0</v>
      </c>
      <c r="T39" s="258"/>
      <c r="U39" s="248"/>
    </row>
    <row r="40" spans="2:21" ht="15" customHeight="1" x14ac:dyDescent="0.2">
      <c r="B40" s="256">
        <v>0.51790000000000003</v>
      </c>
      <c r="C40" s="513">
        <v>20542</v>
      </c>
      <c r="D40" s="516">
        <f t="shared" si="0"/>
        <v>20.542000000000002</v>
      </c>
      <c r="F40" s="258">
        <v>0.51790000000000003</v>
      </c>
      <c r="G40" s="248">
        <v>20.542000000000002</v>
      </c>
      <c r="H40" s="245"/>
      <c r="I40" s="256"/>
      <c r="J40" s="513"/>
      <c r="K40" s="516">
        <f t="shared" si="1"/>
        <v>0</v>
      </c>
      <c r="M40" s="258"/>
      <c r="N40" s="248"/>
      <c r="P40" s="256"/>
      <c r="Q40" s="513"/>
      <c r="R40" s="516">
        <f t="shared" si="2"/>
        <v>0</v>
      </c>
      <c r="T40" s="258"/>
      <c r="U40" s="248"/>
    </row>
    <row r="41" spans="2:21" ht="15" customHeight="1" x14ac:dyDescent="0.2">
      <c r="B41" s="256">
        <v>0.55940000000000001</v>
      </c>
      <c r="C41" s="513">
        <v>22176</v>
      </c>
      <c r="D41" s="516">
        <f t="shared" si="0"/>
        <v>22.175999999999998</v>
      </c>
      <c r="F41" s="258">
        <v>0.55940000000000001</v>
      </c>
      <c r="G41" s="248">
        <v>22.175999999999998</v>
      </c>
      <c r="H41" s="245"/>
      <c r="I41" s="256"/>
      <c r="J41" s="513"/>
      <c r="K41" s="516">
        <f t="shared" si="1"/>
        <v>0</v>
      </c>
      <c r="M41" s="258"/>
      <c r="N41" s="248"/>
      <c r="P41" s="256"/>
      <c r="Q41" s="513"/>
      <c r="R41" s="516">
        <f t="shared" si="2"/>
        <v>0</v>
      </c>
      <c r="T41" s="258"/>
      <c r="U41" s="248"/>
    </row>
    <row r="42" spans="2:21" ht="15" customHeight="1" x14ac:dyDescent="0.2">
      <c r="B42" s="256">
        <v>0.60240000000000005</v>
      </c>
      <c r="C42" s="513">
        <v>23872</v>
      </c>
      <c r="D42" s="516">
        <f t="shared" si="0"/>
        <v>23.872</v>
      </c>
      <c r="F42" s="258">
        <v>0.60240000000000005</v>
      </c>
      <c r="G42" s="248">
        <v>23.872</v>
      </c>
      <c r="H42" s="245"/>
      <c r="I42" s="256"/>
      <c r="J42" s="513"/>
      <c r="K42" s="516">
        <f t="shared" si="1"/>
        <v>0</v>
      </c>
      <c r="M42" s="258"/>
      <c r="N42" s="248"/>
      <c r="P42" s="256"/>
      <c r="Q42" s="513"/>
      <c r="R42" s="516">
        <f t="shared" si="2"/>
        <v>0</v>
      </c>
      <c r="T42" s="258"/>
      <c r="U42" s="248"/>
    </row>
    <row r="43" spans="2:21" ht="15" customHeight="1" x14ac:dyDescent="0.2">
      <c r="B43" s="256">
        <v>0.58809999999999996</v>
      </c>
      <c r="C43" s="513">
        <v>23050</v>
      </c>
      <c r="D43" s="516">
        <f t="shared" si="0"/>
        <v>23.05</v>
      </c>
      <c r="F43" s="258">
        <v>0.58809999999999996</v>
      </c>
      <c r="G43" s="248">
        <v>23.05</v>
      </c>
      <c r="H43" s="245"/>
      <c r="I43" s="256"/>
      <c r="J43" s="513"/>
      <c r="K43" s="516">
        <f t="shared" si="1"/>
        <v>0</v>
      </c>
      <c r="M43" s="258"/>
      <c r="N43" s="248"/>
      <c r="P43" s="256"/>
      <c r="Q43" s="513"/>
      <c r="R43" s="516">
        <f t="shared" si="2"/>
        <v>0</v>
      </c>
      <c r="T43" s="258"/>
      <c r="U43" s="248"/>
    </row>
    <row r="44" spans="2:21" ht="15" customHeight="1" x14ac:dyDescent="0.2">
      <c r="B44" s="256">
        <v>0.5706</v>
      </c>
      <c r="C44" s="513">
        <v>22362</v>
      </c>
      <c r="D44" s="516">
        <f t="shared" si="0"/>
        <v>22.361999999999998</v>
      </c>
      <c r="F44" s="258">
        <v>0.5706</v>
      </c>
      <c r="G44" s="248">
        <v>22.361999999999998</v>
      </c>
      <c r="H44" s="245"/>
      <c r="I44" s="256"/>
      <c r="J44" s="513"/>
      <c r="K44" s="516">
        <f t="shared" si="1"/>
        <v>0</v>
      </c>
      <c r="M44" s="258"/>
      <c r="N44" s="248"/>
      <c r="P44" s="256"/>
      <c r="Q44" s="513"/>
      <c r="R44" s="516">
        <f t="shared" si="2"/>
        <v>0</v>
      </c>
      <c r="T44" s="258"/>
      <c r="U44" s="248"/>
    </row>
    <row r="45" spans="2:21" ht="15" customHeight="1" x14ac:dyDescent="0.2">
      <c r="B45" s="256"/>
      <c r="C45" s="513"/>
      <c r="D45" s="516">
        <f t="shared" si="0"/>
        <v>0</v>
      </c>
      <c r="F45" s="258"/>
      <c r="G45" s="248"/>
      <c r="H45" s="245"/>
      <c r="I45" s="256"/>
      <c r="J45" s="513"/>
      <c r="K45" s="516">
        <f t="shared" si="1"/>
        <v>0</v>
      </c>
      <c r="M45" s="258"/>
      <c r="N45" s="248"/>
      <c r="P45" s="256"/>
      <c r="Q45" s="513"/>
      <c r="R45" s="516">
        <f t="shared" si="2"/>
        <v>0</v>
      </c>
      <c r="T45" s="258"/>
      <c r="U45" s="248"/>
    </row>
    <row r="46" spans="2:21" ht="15" customHeight="1" x14ac:dyDescent="0.2">
      <c r="B46" s="256"/>
      <c r="C46" s="513"/>
      <c r="D46" s="516">
        <f t="shared" si="0"/>
        <v>0</v>
      </c>
      <c r="F46" s="258"/>
      <c r="G46" s="248"/>
      <c r="H46" s="245"/>
      <c r="I46" s="256"/>
      <c r="J46" s="513"/>
      <c r="K46" s="516">
        <f t="shared" si="1"/>
        <v>0</v>
      </c>
      <c r="M46" s="258"/>
      <c r="N46" s="248"/>
      <c r="P46" s="256"/>
      <c r="Q46" s="513"/>
      <c r="R46" s="516">
        <f t="shared" si="2"/>
        <v>0</v>
      </c>
      <c r="T46" s="258"/>
      <c r="U46" s="248"/>
    </row>
    <row r="47" spans="2:21" ht="15" customHeight="1" x14ac:dyDescent="0.2">
      <c r="B47" s="256"/>
      <c r="C47" s="513"/>
      <c r="D47" s="516">
        <f t="shared" si="0"/>
        <v>0</v>
      </c>
      <c r="F47" s="258"/>
      <c r="G47" s="248"/>
      <c r="H47" s="245"/>
      <c r="I47" s="256"/>
      <c r="J47" s="513"/>
      <c r="K47" s="516">
        <f t="shared" si="1"/>
        <v>0</v>
      </c>
      <c r="M47" s="258"/>
      <c r="N47" s="248"/>
      <c r="P47" s="256"/>
      <c r="Q47" s="513"/>
      <c r="R47" s="516">
        <f t="shared" si="2"/>
        <v>0</v>
      </c>
      <c r="T47" s="258"/>
      <c r="U47" s="248"/>
    </row>
    <row r="48" spans="2:21" ht="15" customHeight="1" x14ac:dyDescent="0.2">
      <c r="B48" s="256"/>
      <c r="C48" s="513"/>
      <c r="D48" s="516">
        <f t="shared" si="0"/>
        <v>0</v>
      </c>
      <c r="F48" s="258"/>
      <c r="G48" s="248"/>
      <c r="H48" s="245"/>
      <c r="I48" s="256"/>
      <c r="J48" s="513"/>
      <c r="K48" s="516">
        <f t="shared" si="1"/>
        <v>0</v>
      </c>
      <c r="M48" s="258"/>
      <c r="N48" s="248"/>
      <c r="P48" s="256"/>
      <c r="Q48" s="513"/>
      <c r="R48" s="516">
        <f t="shared" si="2"/>
        <v>0</v>
      </c>
      <c r="T48" s="258"/>
      <c r="U48" s="248"/>
    </row>
    <row r="49" spans="2:21" ht="15" customHeight="1" x14ac:dyDescent="0.2">
      <c r="B49" s="256"/>
      <c r="C49" s="513"/>
      <c r="D49" s="516">
        <f t="shared" si="0"/>
        <v>0</v>
      </c>
      <c r="F49" s="258"/>
      <c r="G49" s="248"/>
      <c r="H49" s="245"/>
      <c r="I49" s="256"/>
      <c r="J49" s="513"/>
      <c r="K49" s="516">
        <f t="shared" si="1"/>
        <v>0</v>
      </c>
      <c r="M49" s="258"/>
      <c r="N49" s="248"/>
      <c r="P49" s="256"/>
      <c r="Q49" s="513"/>
      <c r="R49" s="516">
        <f t="shared" si="2"/>
        <v>0</v>
      </c>
      <c r="T49" s="258"/>
      <c r="U49" s="248"/>
    </row>
    <row r="50" spans="2:21" ht="15" customHeight="1" x14ac:dyDescent="0.2">
      <c r="B50" s="256"/>
      <c r="C50" s="513"/>
      <c r="D50" s="516">
        <f t="shared" si="0"/>
        <v>0</v>
      </c>
      <c r="F50" s="258"/>
      <c r="G50" s="248"/>
      <c r="H50" s="245"/>
      <c r="I50" s="256"/>
      <c r="J50" s="513"/>
      <c r="K50" s="516">
        <f t="shared" si="1"/>
        <v>0</v>
      </c>
      <c r="M50" s="258"/>
      <c r="N50" s="248"/>
      <c r="P50" s="256"/>
      <c r="Q50" s="513"/>
      <c r="R50" s="516">
        <f t="shared" si="2"/>
        <v>0</v>
      </c>
      <c r="T50" s="258"/>
      <c r="U50" s="248"/>
    </row>
    <row r="51" spans="2:21" ht="15" customHeight="1" x14ac:dyDescent="0.2">
      <c r="B51" s="256"/>
      <c r="C51" s="513"/>
      <c r="D51" s="516">
        <f t="shared" si="0"/>
        <v>0</v>
      </c>
      <c r="F51" s="258"/>
      <c r="G51" s="248"/>
      <c r="H51" s="245"/>
      <c r="I51" s="256"/>
      <c r="J51" s="513"/>
      <c r="K51" s="516">
        <f t="shared" si="1"/>
        <v>0</v>
      </c>
      <c r="M51" s="258"/>
      <c r="N51" s="248"/>
      <c r="P51" s="256"/>
      <c r="Q51" s="513"/>
      <c r="R51" s="516">
        <f t="shared" si="2"/>
        <v>0</v>
      </c>
      <c r="T51" s="258"/>
      <c r="U51" s="248"/>
    </row>
    <row r="52" spans="2:21" ht="15" customHeight="1" x14ac:dyDescent="0.2">
      <c r="B52" s="256"/>
      <c r="C52" s="513"/>
      <c r="D52" s="516">
        <f t="shared" si="0"/>
        <v>0</v>
      </c>
      <c r="F52" s="258"/>
      <c r="G52" s="248"/>
      <c r="H52" s="245"/>
      <c r="I52" s="256"/>
      <c r="J52" s="513"/>
      <c r="K52" s="516">
        <f t="shared" si="1"/>
        <v>0</v>
      </c>
      <c r="M52" s="258"/>
      <c r="N52" s="248"/>
      <c r="P52" s="256"/>
      <c r="Q52" s="513"/>
      <c r="R52" s="516">
        <f t="shared" si="2"/>
        <v>0</v>
      </c>
      <c r="T52" s="258"/>
      <c r="U52" s="248"/>
    </row>
    <row r="53" spans="2:21" ht="15" customHeight="1" x14ac:dyDescent="0.2">
      <c r="B53" s="256"/>
      <c r="C53" s="513"/>
      <c r="D53" s="516">
        <f t="shared" si="0"/>
        <v>0</v>
      </c>
      <c r="F53" s="258"/>
      <c r="G53" s="248"/>
      <c r="H53" s="245"/>
      <c r="I53" s="256"/>
      <c r="J53" s="513"/>
      <c r="K53" s="516">
        <f t="shared" si="1"/>
        <v>0</v>
      </c>
      <c r="M53" s="258"/>
      <c r="N53" s="248"/>
      <c r="P53" s="256"/>
      <c r="Q53" s="513"/>
      <c r="R53" s="516">
        <f t="shared" si="2"/>
        <v>0</v>
      </c>
      <c r="T53" s="258"/>
      <c r="U53" s="248"/>
    </row>
    <row r="54" spans="2:21" ht="15" customHeight="1" x14ac:dyDescent="0.2">
      <c r="B54" s="256"/>
      <c r="C54" s="513"/>
      <c r="D54" s="516">
        <f t="shared" si="0"/>
        <v>0</v>
      </c>
      <c r="F54" s="258"/>
      <c r="G54" s="248"/>
      <c r="H54" s="245"/>
      <c r="I54" s="256"/>
      <c r="J54" s="513"/>
      <c r="K54" s="516">
        <f t="shared" si="1"/>
        <v>0</v>
      </c>
      <c r="M54" s="258"/>
      <c r="N54" s="248"/>
      <c r="P54" s="256"/>
      <c r="Q54" s="513"/>
      <c r="R54" s="516">
        <f t="shared" si="2"/>
        <v>0</v>
      </c>
      <c r="T54" s="258"/>
      <c r="U54" s="248"/>
    </row>
    <row r="55" spans="2:21" ht="15" customHeight="1" x14ac:dyDescent="0.2">
      <c r="B55" s="256"/>
      <c r="C55" s="513"/>
      <c r="D55" s="516">
        <f t="shared" si="0"/>
        <v>0</v>
      </c>
      <c r="F55" s="258"/>
      <c r="G55" s="248"/>
      <c r="H55" s="245"/>
      <c r="I55" s="256"/>
      <c r="J55" s="513"/>
      <c r="K55" s="516">
        <f t="shared" si="1"/>
        <v>0</v>
      </c>
      <c r="M55" s="258"/>
      <c r="N55" s="248"/>
      <c r="P55" s="256"/>
      <c r="Q55" s="513"/>
      <c r="R55" s="516">
        <f t="shared" si="2"/>
        <v>0</v>
      </c>
      <c r="T55" s="258"/>
      <c r="U55" s="248"/>
    </row>
    <row r="56" spans="2:21" ht="15" customHeight="1" x14ac:dyDescent="0.2">
      <c r="B56" s="256"/>
      <c r="C56" s="513"/>
      <c r="D56" s="516">
        <f t="shared" si="0"/>
        <v>0</v>
      </c>
      <c r="F56" s="258"/>
      <c r="G56" s="248"/>
      <c r="H56" s="245"/>
      <c r="I56" s="256"/>
      <c r="J56" s="513"/>
      <c r="K56" s="516">
        <f t="shared" si="1"/>
        <v>0</v>
      </c>
      <c r="M56" s="258"/>
      <c r="N56" s="248"/>
      <c r="P56" s="256"/>
      <c r="Q56" s="513"/>
      <c r="R56" s="516">
        <f t="shared" si="2"/>
        <v>0</v>
      </c>
      <c r="T56" s="258"/>
      <c r="U56" s="248"/>
    </row>
    <row r="57" spans="2:21" ht="15" customHeight="1" x14ac:dyDescent="0.2">
      <c r="B57" s="256"/>
      <c r="C57" s="513"/>
      <c r="D57" s="516">
        <f t="shared" si="0"/>
        <v>0</v>
      </c>
      <c r="F57" s="259"/>
      <c r="G57" s="250"/>
      <c r="H57" s="245"/>
      <c r="I57" s="256"/>
      <c r="J57" s="513"/>
      <c r="K57" s="516">
        <f t="shared" si="1"/>
        <v>0</v>
      </c>
      <c r="M57" s="259"/>
      <c r="N57" s="250"/>
      <c r="P57" s="256"/>
      <c r="Q57" s="513"/>
      <c r="R57" s="516">
        <f t="shared" si="2"/>
        <v>0</v>
      </c>
      <c r="T57" s="259"/>
      <c r="U57" s="250"/>
    </row>
    <row r="58" spans="2:21" ht="15" customHeight="1" x14ac:dyDescent="0.2">
      <c r="B58" s="256"/>
      <c r="C58" s="513"/>
      <c r="D58" s="516">
        <f t="shared" si="0"/>
        <v>0</v>
      </c>
      <c r="F58" s="53"/>
      <c r="G58" s="137"/>
      <c r="H58" s="245"/>
      <c r="I58" s="256"/>
      <c r="J58" s="513"/>
      <c r="K58" s="516">
        <f t="shared" si="1"/>
        <v>0</v>
      </c>
      <c r="M58" s="53"/>
      <c r="N58" s="137"/>
      <c r="P58" s="256"/>
      <c r="Q58" s="513"/>
      <c r="R58" s="516">
        <f t="shared" si="2"/>
        <v>0</v>
      </c>
      <c r="T58" s="53"/>
      <c r="U58" s="137"/>
    </row>
    <row r="59" spans="2:21" ht="15" customHeight="1" x14ac:dyDescent="0.2">
      <c r="B59" s="256"/>
      <c r="C59" s="513"/>
      <c r="D59" s="516">
        <f t="shared" si="0"/>
        <v>0</v>
      </c>
      <c r="F59" s="134"/>
      <c r="G59" s="134"/>
      <c r="H59" s="245"/>
      <c r="I59" s="256"/>
      <c r="J59" s="513"/>
      <c r="K59" s="516">
        <f t="shared" si="1"/>
        <v>0</v>
      </c>
      <c r="M59" s="134"/>
      <c r="N59" s="134"/>
      <c r="P59" s="256"/>
      <c r="Q59" s="513"/>
      <c r="R59" s="516">
        <f t="shared" si="2"/>
        <v>0</v>
      </c>
      <c r="T59" s="134"/>
      <c r="U59" s="134"/>
    </row>
    <row r="60" spans="2:21" ht="15" customHeight="1" x14ac:dyDescent="0.2">
      <c r="B60" s="256"/>
      <c r="C60" s="513"/>
      <c r="D60" s="516">
        <f t="shared" si="0"/>
        <v>0</v>
      </c>
      <c r="F60" s="136"/>
      <c r="G60" s="136"/>
      <c r="H60" s="245"/>
      <c r="I60" s="256"/>
      <c r="J60" s="513"/>
      <c r="K60" s="516">
        <f t="shared" si="1"/>
        <v>0</v>
      </c>
      <c r="M60" s="136"/>
      <c r="N60" s="136"/>
      <c r="P60" s="256"/>
      <c r="Q60" s="513"/>
      <c r="R60" s="516">
        <f t="shared" si="2"/>
        <v>0</v>
      </c>
      <c r="T60" s="136"/>
      <c r="U60" s="136"/>
    </row>
    <row r="61" spans="2:21" ht="15" customHeight="1" x14ac:dyDescent="0.2">
      <c r="B61" s="256"/>
      <c r="C61" s="513"/>
      <c r="D61" s="516">
        <f t="shared" si="0"/>
        <v>0</v>
      </c>
      <c r="F61" s="244"/>
      <c r="G61" s="137"/>
      <c r="H61" s="245"/>
      <c r="I61" s="256"/>
      <c r="J61" s="513"/>
      <c r="K61" s="516">
        <f t="shared" si="1"/>
        <v>0</v>
      </c>
      <c r="M61" s="244"/>
      <c r="N61" s="137"/>
      <c r="P61" s="256"/>
      <c r="Q61" s="513"/>
      <c r="R61" s="516">
        <f t="shared" si="2"/>
        <v>0</v>
      </c>
      <c r="T61" s="244"/>
      <c r="U61" s="137"/>
    </row>
    <row r="62" spans="2:21" ht="15" customHeight="1" x14ac:dyDescent="0.2">
      <c r="B62" s="256"/>
      <c r="C62" s="513"/>
      <c r="D62" s="516">
        <f t="shared" si="0"/>
        <v>0</v>
      </c>
      <c r="F62" s="244"/>
      <c r="G62" s="137"/>
      <c r="H62" s="245"/>
      <c r="I62" s="256"/>
      <c r="J62" s="513"/>
      <c r="K62" s="516">
        <f t="shared" si="1"/>
        <v>0</v>
      </c>
      <c r="M62" s="244"/>
      <c r="N62" s="137"/>
      <c r="P62" s="256"/>
      <c r="Q62" s="513"/>
      <c r="R62" s="516">
        <f t="shared" si="2"/>
        <v>0</v>
      </c>
      <c r="T62" s="244"/>
      <c r="U62" s="137"/>
    </row>
    <row r="63" spans="2:21" ht="15" customHeight="1" x14ac:dyDescent="0.2">
      <c r="B63" s="256"/>
      <c r="C63" s="513"/>
      <c r="D63" s="516">
        <f t="shared" si="0"/>
        <v>0</v>
      </c>
      <c r="F63" s="244"/>
      <c r="G63" s="137"/>
      <c r="H63" s="245"/>
      <c r="I63" s="256"/>
      <c r="J63" s="513"/>
      <c r="K63" s="516">
        <f t="shared" si="1"/>
        <v>0</v>
      </c>
      <c r="M63" s="244"/>
      <c r="N63" s="137"/>
      <c r="P63" s="256"/>
      <c r="Q63" s="513"/>
      <c r="R63" s="516">
        <f t="shared" si="2"/>
        <v>0</v>
      </c>
      <c r="T63" s="244"/>
      <c r="U63" s="137"/>
    </row>
    <row r="64" spans="2:21" ht="15" customHeight="1" x14ac:dyDescent="0.2">
      <c r="B64" s="256"/>
      <c r="C64" s="513"/>
      <c r="D64" s="516">
        <f t="shared" si="0"/>
        <v>0</v>
      </c>
      <c r="F64" s="244"/>
      <c r="G64" s="137"/>
      <c r="H64" s="245"/>
      <c r="I64" s="256"/>
      <c r="J64" s="513"/>
      <c r="K64" s="516">
        <f t="shared" si="1"/>
        <v>0</v>
      </c>
      <c r="M64" s="244"/>
      <c r="N64" s="137"/>
      <c r="P64" s="256"/>
      <c r="Q64" s="513"/>
      <c r="R64" s="516">
        <f t="shared" si="2"/>
        <v>0</v>
      </c>
      <c r="T64" s="244"/>
      <c r="U64" s="137"/>
    </row>
    <row r="65" spans="2:21" ht="15" customHeight="1" x14ac:dyDescent="0.2">
      <c r="B65" s="256"/>
      <c r="C65" s="513"/>
      <c r="D65" s="516">
        <f t="shared" si="0"/>
        <v>0</v>
      </c>
      <c r="F65" s="244"/>
      <c r="G65" s="137"/>
      <c r="H65" s="245"/>
      <c r="I65" s="256"/>
      <c r="J65" s="513"/>
      <c r="K65" s="516">
        <f t="shared" si="1"/>
        <v>0</v>
      </c>
      <c r="M65" s="244"/>
      <c r="N65" s="137"/>
      <c r="P65" s="256"/>
      <c r="Q65" s="513"/>
      <c r="R65" s="516">
        <f t="shared" si="2"/>
        <v>0</v>
      </c>
      <c r="T65" s="244"/>
      <c r="U65" s="137"/>
    </row>
    <row r="66" spans="2:21" ht="15" customHeight="1" x14ac:dyDescent="0.2">
      <c r="B66" s="256"/>
      <c r="C66" s="513"/>
      <c r="D66" s="516">
        <f t="shared" si="0"/>
        <v>0</v>
      </c>
      <c r="F66" s="244"/>
      <c r="G66" s="137"/>
      <c r="H66" s="245"/>
      <c r="I66" s="256"/>
      <c r="J66" s="513"/>
      <c r="K66" s="516">
        <f t="shared" si="1"/>
        <v>0</v>
      </c>
      <c r="M66" s="244"/>
      <c r="N66" s="137"/>
      <c r="P66" s="256"/>
      <c r="Q66" s="513"/>
      <c r="R66" s="516">
        <f t="shared" si="2"/>
        <v>0</v>
      </c>
      <c r="T66" s="244"/>
      <c r="U66" s="137"/>
    </row>
    <row r="67" spans="2:21" ht="15" customHeight="1" x14ac:dyDescent="0.2">
      <c r="B67" s="256"/>
      <c r="C67" s="513"/>
      <c r="D67" s="516">
        <f t="shared" si="0"/>
        <v>0</v>
      </c>
      <c r="F67" s="244"/>
      <c r="G67" s="137"/>
      <c r="H67" s="245"/>
      <c r="I67" s="256"/>
      <c r="J67" s="513"/>
      <c r="K67" s="516">
        <f t="shared" si="1"/>
        <v>0</v>
      </c>
      <c r="M67" s="244"/>
      <c r="N67" s="137"/>
      <c r="P67" s="256"/>
      <c r="Q67" s="513"/>
      <c r="R67" s="516">
        <f t="shared" si="2"/>
        <v>0</v>
      </c>
      <c r="T67" s="244"/>
      <c r="U67" s="137"/>
    </row>
    <row r="68" spans="2:21" ht="15" customHeight="1" x14ac:dyDescent="0.2">
      <c r="B68" s="256"/>
      <c r="C68" s="513"/>
      <c r="D68" s="516">
        <f t="shared" si="0"/>
        <v>0</v>
      </c>
      <c r="F68" s="244"/>
      <c r="G68" s="137"/>
      <c r="H68" s="245"/>
      <c r="I68" s="256"/>
      <c r="J68" s="513"/>
      <c r="K68" s="516">
        <f t="shared" si="1"/>
        <v>0</v>
      </c>
      <c r="M68" s="244"/>
      <c r="N68" s="137"/>
      <c r="P68" s="256"/>
      <c r="Q68" s="513"/>
      <c r="R68" s="516">
        <f t="shared" si="2"/>
        <v>0</v>
      </c>
      <c r="T68" s="244"/>
      <c r="U68" s="137"/>
    </row>
    <row r="69" spans="2:21" ht="15" customHeight="1" x14ac:dyDescent="0.2">
      <c r="B69" s="256"/>
      <c r="C69" s="513"/>
      <c r="D69" s="516">
        <f t="shared" si="0"/>
        <v>0</v>
      </c>
      <c r="F69" s="244"/>
      <c r="G69" s="137"/>
      <c r="H69" s="245"/>
      <c r="I69" s="256"/>
      <c r="J69" s="513"/>
      <c r="K69" s="516">
        <f t="shared" si="1"/>
        <v>0</v>
      </c>
      <c r="M69" s="244"/>
      <c r="N69" s="137"/>
      <c r="P69" s="256"/>
      <c r="Q69" s="513"/>
      <c r="R69" s="516">
        <f t="shared" si="2"/>
        <v>0</v>
      </c>
      <c r="T69" s="244"/>
      <c r="U69" s="137"/>
    </row>
    <row r="70" spans="2:21" ht="15" customHeight="1" x14ac:dyDescent="0.2">
      <c r="B70" s="256"/>
      <c r="C70" s="513"/>
      <c r="D70" s="516">
        <f t="shared" si="0"/>
        <v>0</v>
      </c>
      <c r="F70" s="244"/>
      <c r="G70" s="137"/>
      <c r="H70" s="245"/>
      <c r="I70" s="256"/>
      <c r="J70" s="513"/>
      <c r="K70" s="516">
        <f t="shared" si="1"/>
        <v>0</v>
      </c>
      <c r="M70" s="244"/>
      <c r="N70" s="137"/>
      <c r="P70" s="256"/>
      <c r="Q70" s="513"/>
      <c r="R70" s="516">
        <f t="shared" si="2"/>
        <v>0</v>
      </c>
      <c r="T70" s="244"/>
      <c r="U70" s="137"/>
    </row>
    <row r="71" spans="2:21" ht="15" customHeight="1" x14ac:dyDescent="0.2">
      <c r="B71" s="256"/>
      <c r="C71" s="513"/>
      <c r="D71" s="516">
        <f t="shared" si="0"/>
        <v>0</v>
      </c>
      <c r="F71" s="244"/>
      <c r="G71" s="137"/>
      <c r="H71" s="245"/>
      <c r="I71" s="256"/>
      <c r="J71" s="513"/>
      <c r="K71" s="516">
        <f t="shared" si="1"/>
        <v>0</v>
      </c>
      <c r="M71" s="244"/>
      <c r="N71" s="137"/>
      <c r="P71" s="256"/>
      <c r="Q71" s="513"/>
      <c r="R71" s="516">
        <f t="shared" si="2"/>
        <v>0</v>
      </c>
      <c r="T71" s="244"/>
      <c r="U71" s="137"/>
    </row>
    <row r="72" spans="2:21" ht="15" customHeight="1" x14ac:dyDescent="0.2">
      <c r="B72" s="256"/>
      <c r="C72" s="513"/>
      <c r="D72" s="516">
        <f t="shared" si="0"/>
        <v>0</v>
      </c>
      <c r="F72" s="244"/>
      <c r="G72" s="137"/>
      <c r="H72" s="245"/>
      <c r="I72" s="256"/>
      <c r="J72" s="513"/>
      <c r="K72" s="516">
        <f t="shared" si="1"/>
        <v>0</v>
      </c>
      <c r="M72" s="244"/>
      <c r="N72" s="137"/>
      <c r="P72" s="256"/>
      <c r="Q72" s="513"/>
      <c r="R72" s="516">
        <f t="shared" si="2"/>
        <v>0</v>
      </c>
      <c r="T72" s="244"/>
      <c r="U72" s="137"/>
    </row>
    <row r="73" spans="2:21" ht="15" customHeight="1" x14ac:dyDescent="0.2">
      <c r="B73" s="256"/>
      <c r="C73" s="513"/>
      <c r="D73" s="516">
        <f t="shared" si="0"/>
        <v>0</v>
      </c>
      <c r="F73" s="244"/>
      <c r="G73" s="137"/>
      <c r="H73" s="245"/>
      <c r="I73" s="256"/>
      <c r="J73" s="513"/>
      <c r="K73" s="516">
        <f t="shared" si="1"/>
        <v>0</v>
      </c>
      <c r="M73" s="244"/>
      <c r="N73" s="137"/>
      <c r="P73" s="256"/>
      <c r="Q73" s="513"/>
      <c r="R73" s="516">
        <f t="shared" si="2"/>
        <v>0</v>
      </c>
      <c r="T73" s="244"/>
      <c r="U73" s="137"/>
    </row>
    <row r="74" spans="2:21" ht="15" customHeight="1" x14ac:dyDescent="0.2">
      <c r="B74" s="256"/>
      <c r="C74" s="513"/>
      <c r="D74" s="516">
        <f t="shared" si="0"/>
        <v>0</v>
      </c>
      <c r="F74" s="244"/>
      <c r="G74" s="137"/>
      <c r="H74" s="245"/>
      <c r="I74" s="256"/>
      <c r="J74" s="513"/>
      <c r="K74" s="516">
        <f t="shared" si="1"/>
        <v>0</v>
      </c>
      <c r="M74" s="244"/>
      <c r="N74" s="137"/>
      <c r="P74" s="256"/>
      <c r="Q74" s="513"/>
      <c r="R74" s="516">
        <f t="shared" si="2"/>
        <v>0</v>
      </c>
      <c r="T74" s="244"/>
      <c r="U74" s="137"/>
    </row>
    <row r="75" spans="2:21" ht="15" customHeight="1" x14ac:dyDescent="0.2">
      <c r="B75" s="256"/>
      <c r="C75" s="513"/>
      <c r="D75" s="516">
        <f t="shared" si="0"/>
        <v>0</v>
      </c>
      <c r="F75" s="244"/>
      <c r="G75" s="137"/>
      <c r="H75" s="245"/>
      <c r="I75" s="256"/>
      <c r="J75" s="513"/>
      <c r="K75" s="516">
        <f t="shared" si="1"/>
        <v>0</v>
      </c>
      <c r="M75" s="244"/>
      <c r="N75" s="137"/>
      <c r="P75" s="256"/>
      <c r="Q75" s="513"/>
      <c r="R75" s="516">
        <f t="shared" si="2"/>
        <v>0</v>
      </c>
      <c r="T75" s="244"/>
      <c r="U75" s="137"/>
    </row>
    <row r="76" spans="2:21" ht="15" customHeight="1" x14ac:dyDescent="0.2">
      <c r="B76" s="256"/>
      <c r="C76" s="513"/>
      <c r="D76" s="516">
        <f t="shared" si="0"/>
        <v>0</v>
      </c>
      <c r="F76" s="244"/>
      <c r="G76" s="137"/>
      <c r="H76" s="245"/>
      <c r="I76" s="256"/>
      <c r="J76" s="513"/>
      <c r="K76" s="516">
        <f t="shared" si="1"/>
        <v>0</v>
      </c>
      <c r="M76" s="244"/>
      <c r="N76" s="137"/>
      <c r="P76" s="256"/>
      <c r="Q76" s="513"/>
      <c r="R76" s="516">
        <f t="shared" si="2"/>
        <v>0</v>
      </c>
      <c r="T76" s="244"/>
      <c r="U76" s="137"/>
    </row>
    <row r="77" spans="2:21" ht="15" customHeight="1" x14ac:dyDescent="0.2">
      <c r="B77" s="256"/>
      <c r="C77" s="513"/>
      <c r="D77" s="516">
        <f t="shared" si="0"/>
        <v>0</v>
      </c>
      <c r="F77" s="244"/>
      <c r="G77" s="137"/>
      <c r="H77" s="245"/>
      <c r="I77" s="256"/>
      <c r="J77" s="513"/>
      <c r="K77" s="516">
        <f t="shared" si="1"/>
        <v>0</v>
      </c>
      <c r="M77" s="244"/>
      <c r="N77" s="137"/>
      <c r="P77" s="256"/>
      <c r="Q77" s="513"/>
      <c r="R77" s="516">
        <f t="shared" si="2"/>
        <v>0</v>
      </c>
      <c r="T77" s="244"/>
      <c r="U77" s="137"/>
    </row>
    <row r="78" spans="2:21" ht="15" customHeight="1" x14ac:dyDescent="0.2">
      <c r="B78" s="256"/>
      <c r="C78" s="513"/>
      <c r="D78" s="516">
        <f t="shared" si="0"/>
        <v>0</v>
      </c>
      <c r="F78" s="244"/>
      <c r="G78" s="137"/>
      <c r="H78" s="245"/>
      <c r="I78" s="256"/>
      <c r="J78" s="513"/>
      <c r="K78" s="516">
        <f t="shared" si="1"/>
        <v>0</v>
      </c>
      <c r="M78" s="244"/>
      <c r="N78" s="137"/>
      <c r="P78" s="256"/>
      <c r="Q78" s="513"/>
      <c r="R78" s="516">
        <f t="shared" si="2"/>
        <v>0</v>
      </c>
      <c r="T78" s="244"/>
      <c r="U78" s="137"/>
    </row>
    <row r="79" spans="2:21" ht="15" customHeight="1" x14ac:dyDescent="0.2">
      <c r="B79" s="256"/>
      <c r="C79" s="513"/>
      <c r="D79" s="516">
        <f t="shared" si="0"/>
        <v>0</v>
      </c>
      <c r="F79" s="244"/>
      <c r="G79" s="137"/>
      <c r="H79" s="245"/>
      <c r="I79" s="256"/>
      <c r="J79" s="513"/>
      <c r="K79" s="516">
        <f t="shared" si="1"/>
        <v>0</v>
      </c>
      <c r="M79" s="244"/>
      <c r="N79" s="137"/>
      <c r="P79" s="256"/>
      <c r="Q79" s="513"/>
      <c r="R79" s="516">
        <f t="shared" si="2"/>
        <v>0</v>
      </c>
      <c r="T79" s="244"/>
      <c r="U79" s="137"/>
    </row>
    <row r="80" spans="2:21" ht="15" customHeight="1" x14ac:dyDescent="0.2">
      <c r="B80" s="256"/>
      <c r="C80" s="513"/>
      <c r="D80" s="516">
        <f t="shared" si="0"/>
        <v>0</v>
      </c>
      <c r="F80" s="244"/>
      <c r="G80" s="137"/>
      <c r="H80" s="245"/>
      <c r="I80" s="256"/>
      <c r="J80" s="513"/>
      <c r="K80" s="516">
        <f t="shared" si="1"/>
        <v>0</v>
      </c>
      <c r="M80" s="244"/>
      <c r="N80" s="137"/>
      <c r="P80" s="256"/>
      <c r="Q80" s="513"/>
      <c r="R80" s="516">
        <f t="shared" si="2"/>
        <v>0</v>
      </c>
      <c r="T80" s="244"/>
      <c r="U80" s="137"/>
    </row>
    <row r="81" spans="2:21" ht="15" customHeight="1" x14ac:dyDescent="0.2">
      <c r="B81" s="256"/>
      <c r="C81" s="513"/>
      <c r="D81" s="516">
        <f t="shared" si="0"/>
        <v>0</v>
      </c>
      <c r="F81" s="244"/>
      <c r="G81" s="137"/>
      <c r="H81" s="245"/>
      <c r="I81" s="256"/>
      <c r="J81" s="513"/>
      <c r="K81" s="516">
        <f t="shared" si="1"/>
        <v>0</v>
      </c>
      <c r="M81" s="244"/>
      <c r="N81" s="137"/>
      <c r="P81" s="256"/>
      <c r="Q81" s="513"/>
      <c r="R81" s="516">
        <f t="shared" si="2"/>
        <v>0</v>
      </c>
      <c r="T81" s="244"/>
      <c r="U81" s="137"/>
    </row>
    <row r="82" spans="2:21" ht="15" customHeight="1" x14ac:dyDescent="0.2">
      <c r="B82" s="256"/>
      <c r="C82" s="513"/>
      <c r="D82" s="516">
        <f t="shared" ref="D82:D145" si="3">C82/1000</f>
        <v>0</v>
      </c>
      <c r="F82" s="244"/>
      <c r="G82" s="137"/>
      <c r="H82" s="245"/>
      <c r="I82" s="256"/>
      <c r="J82" s="513"/>
      <c r="K82" s="516">
        <f t="shared" ref="K82:K145" si="4">J82/1000</f>
        <v>0</v>
      </c>
      <c r="M82" s="244"/>
      <c r="N82" s="137"/>
      <c r="P82" s="256"/>
      <c r="Q82" s="513"/>
      <c r="R82" s="516">
        <f t="shared" ref="R82:R145" si="5">Q82/1000</f>
        <v>0</v>
      </c>
      <c r="T82" s="244"/>
      <c r="U82" s="137"/>
    </row>
    <row r="83" spans="2:21" ht="15" customHeight="1" x14ac:dyDescent="0.2">
      <c r="B83" s="256"/>
      <c r="C83" s="513"/>
      <c r="D83" s="516">
        <f t="shared" si="3"/>
        <v>0</v>
      </c>
      <c r="F83" s="244"/>
      <c r="G83" s="137"/>
      <c r="H83" s="245"/>
      <c r="I83" s="256"/>
      <c r="J83" s="513"/>
      <c r="K83" s="516">
        <f t="shared" si="4"/>
        <v>0</v>
      </c>
      <c r="M83" s="244"/>
      <c r="N83" s="137"/>
      <c r="P83" s="256"/>
      <c r="Q83" s="513"/>
      <c r="R83" s="516">
        <f t="shared" si="5"/>
        <v>0</v>
      </c>
      <c r="T83" s="244"/>
      <c r="U83" s="137"/>
    </row>
    <row r="84" spans="2:21" ht="15" customHeight="1" x14ac:dyDescent="0.2">
      <c r="B84" s="256"/>
      <c r="C84" s="513"/>
      <c r="D84" s="516">
        <f t="shared" si="3"/>
        <v>0</v>
      </c>
      <c r="F84" s="244"/>
      <c r="G84" s="137"/>
      <c r="H84" s="245"/>
      <c r="I84" s="256"/>
      <c r="J84" s="513"/>
      <c r="K84" s="516">
        <f t="shared" si="4"/>
        <v>0</v>
      </c>
      <c r="M84" s="244"/>
      <c r="N84" s="137"/>
      <c r="P84" s="256"/>
      <c r="Q84" s="513"/>
      <c r="R84" s="516">
        <f t="shared" si="5"/>
        <v>0</v>
      </c>
      <c r="T84" s="244"/>
      <c r="U84" s="137"/>
    </row>
    <row r="85" spans="2:21" ht="15" customHeight="1" x14ac:dyDescent="0.2">
      <c r="B85" s="256"/>
      <c r="C85" s="513"/>
      <c r="D85" s="516">
        <f t="shared" si="3"/>
        <v>0</v>
      </c>
      <c r="F85" s="244"/>
      <c r="G85" s="137"/>
      <c r="H85" s="245"/>
      <c r="I85" s="256"/>
      <c r="J85" s="513"/>
      <c r="K85" s="516">
        <f t="shared" si="4"/>
        <v>0</v>
      </c>
      <c r="M85" s="244"/>
      <c r="N85" s="137"/>
      <c r="P85" s="256"/>
      <c r="Q85" s="513"/>
      <c r="R85" s="516">
        <f t="shared" si="5"/>
        <v>0</v>
      </c>
      <c r="T85" s="244"/>
      <c r="U85" s="137"/>
    </row>
    <row r="86" spans="2:21" ht="15" customHeight="1" x14ac:dyDescent="0.2">
      <c r="B86" s="256"/>
      <c r="C86" s="513"/>
      <c r="D86" s="516">
        <f t="shared" si="3"/>
        <v>0</v>
      </c>
      <c r="F86" s="244"/>
      <c r="G86" s="137"/>
      <c r="H86" s="245"/>
      <c r="I86" s="256"/>
      <c r="J86" s="513"/>
      <c r="K86" s="516">
        <f t="shared" si="4"/>
        <v>0</v>
      </c>
      <c r="M86" s="244"/>
      <c r="N86" s="137"/>
      <c r="P86" s="256"/>
      <c r="Q86" s="513"/>
      <c r="R86" s="516">
        <f t="shared" si="5"/>
        <v>0</v>
      </c>
      <c r="T86" s="244"/>
      <c r="U86" s="137"/>
    </row>
    <row r="87" spans="2:21" ht="15" customHeight="1" x14ac:dyDescent="0.2">
      <c r="B87" s="256"/>
      <c r="C87" s="513"/>
      <c r="D87" s="516">
        <f t="shared" si="3"/>
        <v>0</v>
      </c>
      <c r="F87" s="244"/>
      <c r="G87" s="137"/>
      <c r="H87" s="245"/>
      <c r="I87" s="256"/>
      <c r="J87" s="513"/>
      <c r="K87" s="516">
        <f t="shared" si="4"/>
        <v>0</v>
      </c>
      <c r="M87" s="244"/>
      <c r="N87" s="137"/>
      <c r="P87" s="256"/>
      <c r="Q87" s="513"/>
      <c r="R87" s="516">
        <f t="shared" si="5"/>
        <v>0</v>
      </c>
      <c r="T87" s="244"/>
      <c r="U87" s="137"/>
    </row>
    <row r="88" spans="2:21" ht="15" customHeight="1" x14ac:dyDescent="0.2">
      <c r="B88" s="256"/>
      <c r="C88" s="513"/>
      <c r="D88" s="516">
        <f t="shared" si="3"/>
        <v>0</v>
      </c>
      <c r="F88" s="244"/>
      <c r="G88" s="137"/>
      <c r="H88" s="245"/>
      <c r="I88" s="256"/>
      <c r="J88" s="513"/>
      <c r="K88" s="516">
        <f t="shared" si="4"/>
        <v>0</v>
      </c>
      <c r="M88" s="244"/>
      <c r="N88" s="137"/>
      <c r="P88" s="256"/>
      <c r="Q88" s="513"/>
      <c r="R88" s="516">
        <f t="shared" si="5"/>
        <v>0</v>
      </c>
      <c r="T88" s="244"/>
      <c r="U88" s="137"/>
    </row>
    <row r="89" spans="2:21" ht="15" customHeight="1" x14ac:dyDescent="0.2">
      <c r="B89" s="256"/>
      <c r="C89" s="513"/>
      <c r="D89" s="516">
        <f t="shared" si="3"/>
        <v>0</v>
      </c>
      <c r="F89" s="244"/>
      <c r="G89" s="137"/>
      <c r="H89" s="245"/>
      <c r="I89" s="256"/>
      <c r="J89" s="513"/>
      <c r="K89" s="516">
        <f t="shared" si="4"/>
        <v>0</v>
      </c>
      <c r="M89" s="244"/>
      <c r="N89" s="137"/>
      <c r="P89" s="256"/>
      <c r="Q89" s="513"/>
      <c r="R89" s="516">
        <f t="shared" si="5"/>
        <v>0</v>
      </c>
      <c r="T89" s="244"/>
      <c r="U89" s="137"/>
    </row>
    <row r="90" spans="2:21" ht="15" customHeight="1" x14ac:dyDescent="0.2">
      <c r="B90" s="256"/>
      <c r="C90" s="513"/>
      <c r="D90" s="516">
        <f t="shared" si="3"/>
        <v>0</v>
      </c>
      <c r="F90" s="244"/>
      <c r="G90" s="137"/>
      <c r="H90" s="245"/>
      <c r="I90" s="256"/>
      <c r="J90" s="513"/>
      <c r="K90" s="516">
        <f t="shared" si="4"/>
        <v>0</v>
      </c>
      <c r="M90" s="244"/>
      <c r="N90" s="137"/>
      <c r="P90" s="256"/>
      <c r="Q90" s="513"/>
      <c r="R90" s="516">
        <f t="shared" si="5"/>
        <v>0</v>
      </c>
      <c r="T90" s="244"/>
      <c r="U90" s="137"/>
    </row>
    <row r="91" spans="2:21" ht="15" customHeight="1" x14ac:dyDescent="0.2">
      <c r="B91" s="256"/>
      <c r="C91" s="513"/>
      <c r="D91" s="516">
        <f t="shared" si="3"/>
        <v>0</v>
      </c>
      <c r="F91" s="244"/>
      <c r="G91" s="137"/>
      <c r="H91" s="245"/>
      <c r="I91" s="256"/>
      <c r="J91" s="513"/>
      <c r="K91" s="516">
        <f t="shared" si="4"/>
        <v>0</v>
      </c>
      <c r="M91" s="244"/>
      <c r="N91" s="137"/>
      <c r="P91" s="256"/>
      <c r="Q91" s="513"/>
      <c r="R91" s="516">
        <f t="shared" si="5"/>
        <v>0</v>
      </c>
      <c r="T91" s="244"/>
      <c r="U91" s="137"/>
    </row>
    <row r="92" spans="2:21" ht="15" customHeight="1" x14ac:dyDescent="0.2">
      <c r="B92" s="256"/>
      <c r="C92" s="513"/>
      <c r="D92" s="516">
        <f t="shared" si="3"/>
        <v>0</v>
      </c>
      <c r="F92" s="244"/>
      <c r="G92" s="137"/>
      <c r="H92" s="245"/>
      <c r="I92" s="256"/>
      <c r="J92" s="513"/>
      <c r="K92" s="516">
        <f t="shared" si="4"/>
        <v>0</v>
      </c>
      <c r="M92" s="244"/>
      <c r="N92" s="137"/>
      <c r="P92" s="256"/>
      <c r="Q92" s="513"/>
      <c r="R92" s="516">
        <f t="shared" si="5"/>
        <v>0</v>
      </c>
      <c r="T92" s="244"/>
      <c r="U92" s="137"/>
    </row>
    <row r="93" spans="2:21" ht="15" customHeight="1" x14ac:dyDescent="0.2">
      <c r="B93" s="256"/>
      <c r="C93" s="513"/>
      <c r="D93" s="516">
        <f t="shared" si="3"/>
        <v>0</v>
      </c>
      <c r="F93" s="244"/>
      <c r="G93" s="137"/>
      <c r="H93" s="245"/>
      <c r="I93" s="256"/>
      <c r="J93" s="513"/>
      <c r="K93" s="516">
        <f t="shared" si="4"/>
        <v>0</v>
      </c>
      <c r="M93" s="244"/>
      <c r="N93" s="137"/>
      <c r="P93" s="256"/>
      <c r="Q93" s="513"/>
      <c r="R93" s="516">
        <f t="shared" si="5"/>
        <v>0</v>
      </c>
      <c r="T93" s="244"/>
      <c r="U93" s="137"/>
    </row>
    <row r="94" spans="2:21" ht="15" customHeight="1" x14ac:dyDescent="0.2">
      <c r="B94" s="256"/>
      <c r="C94" s="513"/>
      <c r="D94" s="516">
        <f t="shared" si="3"/>
        <v>0</v>
      </c>
      <c r="F94" s="244"/>
      <c r="G94" s="137"/>
      <c r="H94" s="245"/>
      <c r="I94" s="256"/>
      <c r="J94" s="513"/>
      <c r="K94" s="516">
        <f t="shared" si="4"/>
        <v>0</v>
      </c>
      <c r="M94" s="244"/>
      <c r="N94" s="137"/>
      <c r="P94" s="256"/>
      <c r="Q94" s="513"/>
      <c r="R94" s="516">
        <f t="shared" si="5"/>
        <v>0</v>
      </c>
      <c r="T94" s="244"/>
      <c r="U94" s="137"/>
    </row>
    <row r="95" spans="2:21" ht="15" customHeight="1" x14ac:dyDescent="0.2">
      <c r="B95" s="256"/>
      <c r="C95" s="513"/>
      <c r="D95" s="516">
        <f t="shared" si="3"/>
        <v>0</v>
      </c>
      <c r="F95" s="244"/>
      <c r="G95" s="137"/>
      <c r="H95" s="245"/>
      <c r="I95" s="256"/>
      <c r="J95" s="513"/>
      <c r="K95" s="516">
        <f t="shared" si="4"/>
        <v>0</v>
      </c>
      <c r="M95" s="244"/>
      <c r="N95" s="137"/>
      <c r="P95" s="256"/>
      <c r="Q95" s="513"/>
      <c r="R95" s="516">
        <f t="shared" si="5"/>
        <v>0</v>
      </c>
      <c r="T95" s="244"/>
      <c r="U95" s="137"/>
    </row>
    <row r="96" spans="2:21" ht="15" customHeight="1" x14ac:dyDescent="0.2">
      <c r="B96" s="256"/>
      <c r="C96" s="513"/>
      <c r="D96" s="516">
        <f t="shared" si="3"/>
        <v>0</v>
      </c>
      <c r="F96" s="244"/>
      <c r="G96" s="137"/>
      <c r="H96" s="245"/>
      <c r="I96" s="256"/>
      <c r="J96" s="513"/>
      <c r="K96" s="516">
        <f t="shared" si="4"/>
        <v>0</v>
      </c>
      <c r="M96" s="244"/>
      <c r="N96" s="137"/>
      <c r="P96" s="256"/>
      <c r="Q96" s="513"/>
      <c r="R96" s="516">
        <f t="shared" si="5"/>
        <v>0</v>
      </c>
      <c r="T96" s="244"/>
      <c r="U96" s="137"/>
    </row>
    <row r="97" spans="2:21" ht="15" customHeight="1" x14ac:dyDescent="0.2">
      <c r="B97" s="256"/>
      <c r="C97" s="513"/>
      <c r="D97" s="516">
        <f t="shared" si="3"/>
        <v>0</v>
      </c>
      <c r="F97" s="244"/>
      <c r="G97" s="137"/>
      <c r="H97" s="245"/>
      <c r="I97" s="256"/>
      <c r="J97" s="513"/>
      <c r="K97" s="516">
        <f t="shared" si="4"/>
        <v>0</v>
      </c>
      <c r="M97" s="244"/>
      <c r="N97" s="137"/>
      <c r="P97" s="256"/>
      <c r="Q97" s="513"/>
      <c r="R97" s="516">
        <f t="shared" si="5"/>
        <v>0</v>
      </c>
      <c r="T97" s="244"/>
      <c r="U97" s="137"/>
    </row>
    <row r="98" spans="2:21" ht="15" customHeight="1" x14ac:dyDescent="0.2">
      <c r="B98" s="256"/>
      <c r="C98" s="513"/>
      <c r="D98" s="516">
        <f t="shared" si="3"/>
        <v>0</v>
      </c>
      <c r="F98" s="244"/>
      <c r="G98" s="137"/>
      <c r="H98" s="245"/>
      <c r="I98" s="256"/>
      <c r="J98" s="513"/>
      <c r="K98" s="516">
        <f t="shared" si="4"/>
        <v>0</v>
      </c>
      <c r="M98" s="244"/>
      <c r="N98" s="137"/>
      <c r="P98" s="256"/>
      <c r="Q98" s="513"/>
      <c r="R98" s="516">
        <f t="shared" si="5"/>
        <v>0</v>
      </c>
      <c r="T98" s="244"/>
      <c r="U98" s="137"/>
    </row>
    <row r="99" spans="2:21" ht="15" customHeight="1" x14ac:dyDescent="0.2">
      <c r="B99" s="256"/>
      <c r="C99" s="513"/>
      <c r="D99" s="516">
        <f t="shared" si="3"/>
        <v>0</v>
      </c>
      <c r="F99" s="244"/>
      <c r="G99" s="137"/>
      <c r="H99" s="245"/>
      <c r="I99" s="256"/>
      <c r="J99" s="513"/>
      <c r="K99" s="516">
        <f t="shared" si="4"/>
        <v>0</v>
      </c>
      <c r="M99" s="244"/>
      <c r="N99" s="137"/>
      <c r="P99" s="256"/>
      <c r="Q99" s="513"/>
      <c r="R99" s="516">
        <f t="shared" si="5"/>
        <v>0</v>
      </c>
      <c r="T99" s="244"/>
      <c r="U99" s="137"/>
    </row>
    <row r="100" spans="2:21" ht="15" customHeight="1" x14ac:dyDescent="0.2">
      <c r="B100" s="256"/>
      <c r="C100" s="513"/>
      <c r="D100" s="516">
        <f t="shared" si="3"/>
        <v>0</v>
      </c>
      <c r="F100" s="244"/>
      <c r="G100" s="137"/>
      <c r="H100" s="245"/>
      <c r="I100" s="256"/>
      <c r="J100" s="513"/>
      <c r="K100" s="516">
        <f t="shared" si="4"/>
        <v>0</v>
      </c>
      <c r="M100" s="244"/>
      <c r="N100" s="137"/>
      <c r="P100" s="256"/>
      <c r="Q100" s="513"/>
      <c r="R100" s="516">
        <f t="shared" si="5"/>
        <v>0</v>
      </c>
      <c r="T100" s="244"/>
      <c r="U100" s="137"/>
    </row>
    <row r="101" spans="2:21" ht="15" customHeight="1" x14ac:dyDescent="0.2">
      <c r="B101" s="256"/>
      <c r="C101" s="513"/>
      <c r="D101" s="516">
        <f t="shared" si="3"/>
        <v>0</v>
      </c>
      <c r="F101" s="244"/>
      <c r="G101" s="137"/>
      <c r="H101" s="245"/>
      <c r="I101" s="256"/>
      <c r="J101" s="513"/>
      <c r="K101" s="516">
        <f t="shared" si="4"/>
        <v>0</v>
      </c>
      <c r="M101" s="244"/>
      <c r="N101" s="137"/>
      <c r="P101" s="256"/>
      <c r="Q101" s="513"/>
      <c r="R101" s="516">
        <f t="shared" si="5"/>
        <v>0</v>
      </c>
      <c r="T101" s="244"/>
      <c r="U101" s="137"/>
    </row>
    <row r="102" spans="2:21" ht="15" customHeight="1" x14ac:dyDescent="0.2">
      <c r="B102" s="256"/>
      <c r="C102" s="513"/>
      <c r="D102" s="516">
        <f t="shared" si="3"/>
        <v>0</v>
      </c>
      <c r="F102" s="770"/>
      <c r="G102" s="770"/>
      <c r="H102" s="245"/>
      <c r="I102" s="256"/>
      <c r="J102" s="513"/>
      <c r="K102" s="516">
        <f t="shared" si="4"/>
        <v>0</v>
      </c>
      <c r="M102" s="770"/>
      <c r="N102" s="770"/>
      <c r="P102" s="256"/>
      <c r="Q102" s="513"/>
      <c r="R102" s="516">
        <f t="shared" si="5"/>
        <v>0</v>
      </c>
      <c r="T102" s="770"/>
      <c r="U102" s="770"/>
    </row>
    <row r="103" spans="2:21" ht="15" customHeight="1" x14ac:dyDescent="0.2">
      <c r="B103" s="256"/>
      <c r="C103" s="513"/>
      <c r="D103" s="516">
        <f t="shared" si="3"/>
        <v>0</v>
      </c>
      <c r="F103" s="136"/>
      <c r="G103" s="136"/>
      <c r="H103" s="245"/>
      <c r="I103" s="256"/>
      <c r="J103" s="513"/>
      <c r="K103" s="516">
        <f t="shared" si="4"/>
        <v>0</v>
      </c>
      <c r="M103" s="136"/>
      <c r="N103" s="136"/>
      <c r="P103" s="256"/>
      <c r="Q103" s="513"/>
      <c r="R103" s="516">
        <f t="shared" si="5"/>
        <v>0</v>
      </c>
      <c r="T103" s="136"/>
      <c r="U103" s="136"/>
    </row>
    <row r="104" spans="2:21" ht="15" customHeight="1" x14ac:dyDescent="0.2">
      <c r="B104" s="256"/>
      <c r="C104" s="513"/>
      <c r="D104" s="516">
        <f t="shared" si="3"/>
        <v>0</v>
      </c>
      <c r="F104" s="244"/>
      <c r="G104" s="137"/>
      <c r="H104" s="245"/>
      <c r="I104" s="256"/>
      <c r="J104" s="513"/>
      <c r="K104" s="516">
        <f t="shared" si="4"/>
        <v>0</v>
      </c>
      <c r="M104" s="244"/>
      <c r="N104" s="137"/>
      <c r="P104" s="256"/>
      <c r="Q104" s="513"/>
      <c r="R104" s="516">
        <f t="shared" si="5"/>
        <v>0</v>
      </c>
      <c r="T104" s="244"/>
      <c r="U104" s="137"/>
    </row>
    <row r="105" spans="2:21" ht="15" customHeight="1" x14ac:dyDescent="0.2">
      <c r="B105" s="256"/>
      <c r="C105" s="513"/>
      <c r="D105" s="516">
        <f t="shared" si="3"/>
        <v>0</v>
      </c>
      <c r="F105" s="244"/>
      <c r="G105" s="137"/>
      <c r="H105" s="245"/>
      <c r="I105" s="256"/>
      <c r="J105" s="513"/>
      <c r="K105" s="516">
        <f t="shared" si="4"/>
        <v>0</v>
      </c>
      <c r="M105" s="244"/>
      <c r="N105" s="137"/>
      <c r="P105" s="256"/>
      <c r="Q105" s="513"/>
      <c r="R105" s="516">
        <f t="shared" si="5"/>
        <v>0</v>
      </c>
      <c r="T105" s="244"/>
      <c r="U105" s="137"/>
    </row>
    <row r="106" spans="2:21" ht="15" customHeight="1" x14ac:dyDescent="0.2">
      <c r="B106" s="256"/>
      <c r="C106" s="513"/>
      <c r="D106" s="516">
        <f t="shared" si="3"/>
        <v>0</v>
      </c>
      <c r="F106" s="244"/>
      <c r="G106" s="137"/>
      <c r="H106" s="245"/>
      <c r="I106" s="256"/>
      <c r="J106" s="513"/>
      <c r="K106" s="516">
        <f t="shared" si="4"/>
        <v>0</v>
      </c>
      <c r="M106" s="244"/>
      <c r="N106" s="137"/>
      <c r="P106" s="256"/>
      <c r="Q106" s="513"/>
      <c r="R106" s="516">
        <f t="shared" si="5"/>
        <v>0</v>
      </c>
      <c r="T106" s="244"/>
      <c r="U106" s="137"/>
    </row>
    <row r="107" spans="2:21" ht="15" customHeight="1" x14ac:dyDescent="0.2">
      <c r="B107" s="256"/>
      <c r="C107" s="513"/>
      <c r="D107" s="516">
        <f t="shared" si="3"/>
        <v>0</v>
      </c>
      <c r="F107" s="244"/>
      <c r="G107" s="137"/>
      <c r="H107" s="245"/>
      <c r="I107" s="256"/>
      <c r="J107" s="513"/>
      <c r="K107" s="516">
        <f t="shared" si="4"/>
        <v>0</v>
      </c>
      <c r="M107" s="244"/>
      <c r="N107" s="137"/>
      <c r="P107" s="256"/>
      <c r="Q107" s="513"/>
      <c r="R107" s="516">
        <f t="shared" si="5"/>
        <v>0</v>
      </c>
      <c r="T107" s="244"/>
      <c r="U107" s="137"/>
    </row>
    <row r="108" spans="2:21" ht="15" customHeight="1" x14ac:dyDescent="0.2">
      <c r="B108" s="256"/>
      <c r="C108" s="513"/>
      <c r="D108" s="516">
        <f t="shared" si="3"/>
        <v>0</v>
      </c>
      <c r="F108" s="244"/>
      <c r="G108" s="137"/>
      <c r="H108" s="245"/>
      <c r="I108" s="256"/>
      <c r="J108" s="513"/>
      <c r="K108" s="516">
        <f t="shared" si="4"/>
        <v>0</v>
      </c>
      <c r="M108" s="244"/>
      <c r="N108" s="137"/>
      <c r="P108" s="256"/>
      <c r="Q108" s="513"/>
      <c r="R108" s="516">
        <f t="shared" si="5"/>
        <v>0</v>
      </c>
      <c r="T108" s="244"/>
      <c r="U108" s="137"/>
    </row>
    <row r="109" spans="2:21" ht="15" customHeight="1" x14ac:dyDescent="0.2">
      <c r="B109" s="256"/>
      <c r="C109" s="513"/>
      <c r="D109" s="516">
        <f t="shared" si="3"/>
        <v>0</v>
      </c>
      <c r="F109" s="244"/>
      <c r="G109" s="137"/>
      <c r="H109" s="245"/>
      <c r="I109" s="256"/>
      <c r="J109" s="513"/>
      <c r="K109" s="516">
        <f t="shared" si="4"/>
        <v>0</v>
      </c>
      <c r="M109" s="244"/>
      <c r="N109" s="137"/>
      <c r="P109" s="256"/>
      <c r="Q109" s="513"/>
      <c r="R109" s="516">
        <f t="shared" si="5"/>
        <v>0</v>
      </c>
      <c r="T109" s="244"/>
      <c r="U109" s="137"/>
    </row>
    <row r="110" spans="2:21" ht="15" customHeight="1" x14ac:dyDescent="0.2">
      <c r="B110" s="256"/>
      <c r="C110" s="513"/>
      <c r="D110" s="516">
        <f t="shared" si="3"/>
        <v>0</v>
      </c>
      <c r="F110" s="244"/>
      <c r="G110" s="137"/>
      <c r="H110" s="245"/>
      <c r="I110" s="256"/>
      <c r="J110" s="513"/>
      <c r="K110" s="516">
        <f t="shared" si="4"/>
        <v>0</v>
      </c>
      <c r="M110" s="244"/>
      <c r="N110" s="137"/>
      <c r="P110" s="256"/>
      <c r="Q110" s="513"/>
      <c r="R110" s="516">
        <f t="shared" si="5"/>
        <v>0</v>
      </c>
      <c r="T110" s="244"/>
      <c r="U110" s="137"/>
    </row>
    <row r="111" spans="2:21" ht="15" customHeight="1" x14ac:dyDescent="0.2">
      <c r="B111" s="256"/>
      <c r="C111" s="513"/>
      <c r="D111" s="516">
        <f t="shared" si="3"/>
        <v>0</v>
      </c>
      <c r="F111" s="244"/>
      <c r="G111" s="137"/>
      <c r="H111" s="245"/>
      <c r="I111" s="256"/>
      <c r="J111" s="513"/>
      <c r="K111" s="516">
        <f t="shared" si="4"/>
        <v>0</v>
      </c>
      <c r="M111" s="244"/>
      <c r="N111" s="137"/>
      <c r="P111" s="256"/>
      <c r="Q111" s="513"/>
      <c r="R111" s="516">
        <f t="shared" si="5"/>
        <v>0</v>
      </c>
      <c r="T111" s="244"/>
      <c r="U111" s="137"/>
    </row>
    <row r="112" spans="2:21" ht="15" customHeight="1" x14ac:dyDescent="0.2">
      <c r="B112" s="256"/>
      <c r="C112" s="513"/>
      <c r="D112" s="516">
        <f t="shared" si="3"/>
        <v>0</v>
      </c>
      <c r="F112" s="244"/>
      <c r="G112" s="137"/>
      <c r="H112" s="245"/>
      <c r="I112" s="256"/>
      <c r="J112" s="513"/>
      <c r="K112" s="516">
        <f t="shared" si="4"/>
        <v>0</v>
      </c>
      <c r="M112" s="244"/>
      <c r="N112" s="137"/>
      <c r="P112" s="256"/>
      <c r="Q112" s="513"/>
      <c r="R112" s="516">
        <f t="shared" si="5"/>
        <v>0</v>
      </c>
      <c r="T112" s="244"/>
      <c r="U112" s="137"/>
    </row>
    <row r="113" spans="2:21" ht="15" customHeight="1" x14ac:dyDescent="0.2">
      <c r="B113" s="256"/>
      <c r="C113" s="513"/>
      <c r="D113" s="516">
        <f t="shared" si="3"/>
        <v>0</v>
      </c>
      <c r="F113" s="244"/>
      <c r="G113" s="137"/>
      <c r="H113" s="245"/>
      <c r="I113" s="256"/>
      <c r="J113" s="513"/>
      <c r="K113" s="516">
        <f t="shared" si="4"/>
        <v>0</v>
      </c>
      <c r="M113" s="244"/>
      <c r="N113" s="137"/>
      <c r="P113" s="256"/>
      <c r="Q113" s="513"/>
      <c r="R113" s="516">
        <f t="shared" si="5"/>
        <v>0</v>
      </c>
      <c r="T113" s="244"/>
      <c r="U113" s="137"/>
    </row>
    <row r="114" spans="2:21" ht="15" customHeight="1" x14ac:dyDescent="0.2">
      <c r="B114" s="256"/>
      <c r="C114" s="513"/>
      <c r="D114" s="516">
        <f t="shared" si="3"/>
        <v>0</v>
      </c>
      <c r="F114" s="244"/>
      <c r="G114" s="137"/>
      <c r="H114" s="245"/>
      <c r="I114" s="256"/>
      <c r="J114" s="513"/>
      <c r="K114" s="516">
        <f t="shared" si="4"/>
        <v>0</v>
      </c>
      <c r="M114" s="244"/>
      <c r="N114" s="137"/>
      <c r="P114" s="256"/>
      <c r="Q114" s="513"/>
      <c r="R114" s="516">
        <f t="shared" si="5"/>
        <v>0</v>
      </c>
      <c r="T114" s="244"/>
      <c r="U114" s="137"/>
    </row>
    <row r="115" spans="2:21" ht="15" customHeight="1" x14ac:dyDescent="0.2">
      <c r="B115" s="256"/>
      <c r="C115" s="513"/>
      <c r="D115" s="516">
        <f t="shared" si="3"/>
        <v>0</v>
      </c>
      <c r="F115" s="244"/>
      <c r="G115" s="137"/>
      <c r="H115" s="245"/>
      <c r="I115" s="256"/>
      <c r="J115" s="513"/>
      <c r="K115" s="516">
        <f t="shared" si="4"/>
        <v>0</v>
      </c>
      <c r="M115" s="244"/>
      <c r="N115" s="137"/>
      <c r="P115" s="256"/>
      <c r="Q115" s="513"/>
      <c r="R115" s="516">
        <f t="shared" si="5"/>
        <v>0</v>
      </c>
      <c r="T115" s="244"/>
      <c r="U115" s="137"/>
    </row>
    <row r="116" spans="2:21" ht="15" customHeight="1" x14ac:dyDescent="0.2">
      <c r="B116" s="256"/>
      <c r="C116" s="513"/>
      <c r="D116" s="516">
        <f t="shared" si="3"/>
        <v>0</v>
      </c>
      <c r="F116" s="244"/>
      <c r="G116" s="137"/>
      <c r="H116" s="245"/>
      <c r="I116" s="256"/>
      <c r="J116" s="513"/>
      <c r="K116" s="516">
        <f t="shared" si="4"/>
        <v>0</v>
      </c>
      <c r="M116" s="244"/>
      <c r="N116" s="137"/>
      <c r="P116" s="256"/>
      <c r="Q116" s="513"/>
      <c r="R116" s="516">
        <f t="shared" si="5"/>
        <v>0</v>
      </c>
      <c r="T116" s="244"/>
      <c r="U116" s="137"/>
    </row>
    <row r="117" spans="2:21" ht="15" customHeight="1" x14ac:dyDescent="0.2">
      <c r="B117" s="256"/>
      <c r="C117" s="513"/>
      <c r="D117" s="516">
        <f t="shared" si="3"/>
        <v>0</v>
      </c>
      <c r="F117" s="244"/>
      <c r="G117" s="137"/>
      <c r="H117" s="245"/>
      <c r="I117" s="256"/>
      <c r="J117" s="513"/>
      <c r="K117" s="516">
        <f t="shared" si="4"/>
        <v>0</v>
      </c>
      <c r="M117" s="244"/>
      <c r="N117" s="137"/>
      <c r="P117" s="256"/>
      <c r="Q117" s="513"/>
      <c r="R117" s="516">
        <f t="shared" si="5"/>
        <v>0</v>
      </c>
      <c r="T117" s="244"/>
      <c r="U117" s="137"/>
    </row>
    <row r="118" spans="2:21" ht="15" customHeight="1" x14ac:dyDescent="0.2">
      <c r="B118" s="256"/>
      <c r="C118" s="513"/>
      <c r="D118" s="516">
        <f t="shared" si="3"/>
        <v>0</v>
      </c>
      <c r="F118" s="244"/>
      <c r="G118" s="137"/>
      <c r="H118" s="245"/>
      <c r="I118" s="256"/>
      <c r="J118" s="513"/>
      <c r="K118" s="516">
        <f t="shared" si="4"/>
        <v>0</v>
      </c>
      <c r="M118" s="244"/>
      <c r="N118" s="137"/>
      <c r="P118" s="256"/>
      <c r="Q118" s="513"/>
      <c r="R118" s="516">
        <f t="shared" si="5"/>
        <v>0</v>
      </c>
      <c r="T118" s="244"/>
      <c r="U118" s="137"/>
    </row>
    <row r="119" spans="2:21" ht="15" customHeight="1" x14ac:dyDescent="0.2">
      <c r="B119" s="256"/>
      <c r="C119" s="513"/>
      <c r="D119" s="516">
        <f t="shared" si="3"/>
        <v>0</v>
      </c>
      <c r="F119" s="244"/>
      <c r="G119" s="137"/>
      <c r="H119" s="245"/>
      <c r="I119" s="256"/>
      <c r="J119" s="513"/>
      <c r="K119" s="516">
        <f t="shared" si="4"/>
        <v>0</v>
      </c>
      <c r="M119" s="244"/>
      <c r="N119" s="137"/>
      <c r="P119" s="256"/>
      <c r="Q119" s="513"/>
      <c r="R119" s="516">
        <f t="shared" si="5"/>
        <v>0</v>
      </c>
      <c r="T119" s="244"/>
      <c r="U119" s="137"/>
    </row>
    <row r="120" spans="2:21" ht="15" customHeight="1" x14ac:dyDescent="0.2">
      <c r="B120" s="256"/>
      <c r="C120" s="513"/>
      <c r="D120" s="516">
        <f t="shared" si="3"/>
        <v>0</v>
      </c>
      <c r="F120" s="244"/>
      <c r="G120" s="137"/>
      <c r="H120" s="245"/>
      <c r="I120" s="256"/>
      <c r="J120" s="513"/>
      <c r="K120" s="516">
        <f t="shared" si="4"/>
        <v>0</v>
      </c>
      <c r="M120" s="244"/>
      <c r="N120" s="137"/>
      <c r="P120" s="256"/>
      <c r="Q120" s="513"/>
      <c r="R120" s="516">
        <f t="shared" si="5"/>
        <v>0</v>
      </c>
      <c r="T120" s="244"/>
      <c r="U120" s="137"/>
    </row>
    <row r="121" spans="2:21" ht="15" customHeight="1" x14ac:dyDescent="0.2">
      <c r="B121" s="256"/>
      <c r="C121" s="513"/>
      <c r="D121" s="516">
        <f t="shared" si="3"/>
        <v>0</v>
      </c>
      <c r="F121" s="244"/>
      <c r="G121" s="137"/>
      <c r="H121" s="245"/>
      <c r="I121" s="256"/>
      <c r="J121" s="513"/>
      <c r="K121" s="516">
        <f t="shared" si="4"/>
        <v>0</v>
      </c>
      <c r="M121" s="244"/>
      <c r="N121" s="137"/>
      <c r="P121" s="256"/>
      <c r="Q121" s="513"/>
      <c r="R121" s="516">
        <f t="shared" si="5"/>
        <v>0</v>
      </c>
      <c r="T121" s="244"/>
      <c r="U121" s="137"/>
    </row>
    <row r="122" spans="2:21" ht="15" customHeight="1" x14ac:dyDescent="0.2">
      <c r="B122" s="256"/>
      <c r="C122" s="513"/>
      <c r="D122" s="516">
        <f t="shared" si="3"/>
        <v>0</v>
      </c>
      <c r="F122" s="244"/>
      <c r="G122" s="137"/>
      <c r="H122" s="245"/>
      <c r="I122" s="256"/>
      <c r="J122" s="513"/>
      <c r="K122" s="516">
        <f t="shared" si="4"/>
        <v>0</v>
      </c>
      <c r="M122" s="244"/>
      <c r="N122" s="137"/>
      <c r="P122" s="256"/>
      <c r="Q122" s="513"/>
      <c r="R122" s="516">
        <f t="shared" si="5"/>
        <v>0</v>
      </c>
      <c r="T122" s="244"/>
      <c r="U122" s="137"/>
    </row>
    <row r="123" spans="2:21" ht="15" customHeight="1" x14ac:dyDescent="0.2">
      <c r="B123" s="256"/>
      <c r="C123" s="513"/>
      <c r="D123" s="516">
        <f t="shared" si="3"/>
        <v>0</v>
      </c>
      <c r="F123" s="244"/>
      <c r="G123" s="137"/>
      <c r="H123" s="245"/>
      <c r="I123" s="256"/>
      <c r="J123" s="513"/>
      <c r="K123" s="516">
        <f t="shared" si="4"/>
        <v>0</v>
      </c>
      <c r="M123" s="244"/>
      <c r="N123" s="137"/>
      <c r="P123" s="256"/>
      <c r="Q123" s="513"/>
      <c r="R123" s="516">
        <f t="shared" si="5"/>
        <v>0</v>
      </c>
      <c r="T123" s="244"/>
      <c r="U123" s="137"/>
    </row>
    <row r="124" spans="2:21" ht="15" customHeight="1" x14ac:dyDescent="0.2">
      <c r="B124" s="256"/>
      <c r="C124" s="513"/>
      <c r="D124" s="516">
        <f t="shared" si="3"/>
        <v>0</v>
      </c>
      <c r="F124" s="244"/>
      <c r="G124" s="137"/>
      <c r="H124" s="245"/>
      <c r="I124" s="256"/>
      <c r="J124" s="513"/>
      <c r="K124" s="516">
        <f t="shared" si="4"/>
        <v>0</v>
      </c>
      <c r="M124" s="244"/>
      <c r="N124" s="137"/>
      <c r="P124" s="256"/>
      <c r="Q124" s="513"/>
      <c r="R124" s="516">
        <f t="shared" si="5"/>
        <v>0</v>
      </c>
      <c r="T124" s="244"/>
      <c r="U124" s="137"/>
    </row>
    <row r="125" spans="2:21" ht="15" customHeight="1" x14ac:dyDescent="0.2">
      <c r="B125" s="256"/>
      <c r="C125" s="513"/>
      <c r="D125" s="516">
        <f t="shared" si="3"/>
        <v>0</v>
      </c>
      <c r="F125" s="138"/>
      <c r="G125" s="138"/>
      <c r="H125" s="245"/>
      <c r="I125" s="256"/>
      <c r="J125" s="513"/>
      <c r="K125" s="516">
        <f t="shared" si="4"/>
        <v>0</v>
      </c>
      <c r="M125" s="138"/>
      <c r="N125" s="138"/>
      <c r="P125" s="256"/>
      <c r="Q125" s="513"/>
      <c r="R125" s="516">
        <f t="shared" si="5"/>
        <v>0</v>
      </c>
      <c r="T125" s="138"/>
      <c r="U125" s="138"/>
    </row>
    <row r="126" spans="2:21" ht="15" customHeight="1" x14ac:dyDescent="0.2">
      <c r="B126" s="256"/>
      <c r="C126" s="513"/>
      <c r="D126" s="516">
        <f t="shared" si="3"/>
        <v>0</v>
      </c>
      <c r="F126" s="138"/>
      <c r="G126" s="138"/>
      <c r="H126" s="245"/>
      <c r="I126" s="256"/>
      <c r="J126" s="513"/>
      <c r="K126" s="516">
        <f t="shared" si="4"/>
        <v>0</v>
      </c>
      <c r="M126" s="138"/>
      <c r="N126" s="138"/>
      <c r="P126" s="256"/>
      <c r="Q126" s="513"/>
      <c r="R126" s="516">
        <f t="shared" si="5"/>
        <v>0</v>
      </c>
      <c r="T126" s="138"/>
      <c r="U126" s="138"/>
    </row>
    <row r="127" spans="2:21" ht="15" customHeight="1" x14ac:dyDescent="0.2">
      <c r="B127" s="256"/>
      <c r="C127" s="513"/>
      <c r="D127" s="516">
        <f t="shared" si="3"/>
        <v>0</v>
      </c>
      <c r="F127" s="138"/>
      <c r="G127" s="138"/>
      <c r="H127" s="245"/>
      <c r="I127" s="256"/>
      <c r="J127" s="513"/>
      <c r="K127" s="516">
        <f t="shared" si="4"/>
        <v>0</v>
      </c>
      <c r="M127" s="138"/>
      <c r="N127" s="138"/>
      <c r="P127" s="256"/>
      <c r="Q127" s="513"/>
      <c r="R127" s="516">
        <f t="shared" si="5"/>
        <v>0</v>
      </c>
      <c r="T127" s="138"/>
      <c r="U127" s="138"/>
    </row>
    <row r="128" spans="2:21" ht="15" customHeight="1" x14ac:dyDescent="0.2">
      <c r="B128" s="256"/>
      <c r="C128" s="513"/>
      <c r="D128" s="516">
        <f t="shared" si="3"/>
        <v>0</v>
      </c>
      <c r="F128" s="138"/>
      <c r="G128" s="138"/>
      <c r="H128" s="245"/>
      <c r="I128" s="256"/>
      <c r="J128" s="513"/>
      <c r="K128" s="516">
        <f t="shared" si="4"/>
        <v>0</v>
      </c>
      <c r="M128" s="138"/>
      <c r="N128" s="138"/>
      <c r="P128" s="256"/>
      <c r="Q128" s="513"/>
      <c r="R128" s="516">
        <f t="shared" si="5"/>
        <v>0</v>
      </c>
      <c r="T128" s="138"/>
      <c r="U128" s="138"/>
    </row>
    <row r="129" spans="2:21" ht="15" customHeight="1" x14ac:dyDescent="0.2">
      <c r="B129" s="256"/>
      <c r="C129" s="513"/>
      <c r="D129" s="516">
        <f t="shared" si="3"/>
        <v>0</v>
      </c>
      <c r="F129" s="138"/>
      <c r="G129" s="138"/>
      <c r="H129" s="245"/>
      <c r="I129" s="256"/>
      <c r="J129" s="513"/>
      <c r="K129" s="516">
        <f t="shared" si="4"/>
        <v>0</v>
      </c>
      <c r="M129" s="138"/>
      <c r="N129" s="138"/>
      <c r="P129" s="256"/>
      <c r="Q129" s="513"/>
      <c r="R129" s="516">
        <f t="shared" si="5"/>
        <v>0</v>
      </c>
      <c r="T129" s="138"/>
      <c r="U129" s="138"/>
    </row>
    <row r="130" spans="2:21" ht="15" customHeight="1" x14ac:dyDescent="0.2">
      <c r="B130" s="256"/>
      <c r="C130" s="513"/>
      <c r="D130" s="516">
        <f t="shared" si="3"/>
        <v>0</v>
      </c>
      <c r="F130" s="138"/>
      <c r="G130" s="138"/>
      <c r="H130" s="245"/>
      <c r="I130" s="256"/>
      <c r="J130" s="513"/>
      <c r="K130" s="516">
        <f t="shared" si="4"/>
        <v>0</v>
      </c>
      <c r="M130" s="138"/>
      <c r="N130" s="138"/>
      <c r="P130" s="256"/>
      <c r="Q130" s="513"/>
      <c r="R130" s="516">
        <f t="shared" si="5"/>
        <v>0</v>
      </c>
      <c r="T130" s="138"/>
      <c r="U130" s="138"/>
    </row>
    <row r="131" spans="2:21" ht="15" customHeight="1" x14ac:dyDescent="0.2">
      <c r="B131" s="256"/>
      <c r="C131" s="513"/>
      <c r="D131" s="516">
        <f t="shared" si="3"/>
        <v>0</v>
      </c>
      <c r="F131" s="138"/>
      <c r="G131" s="138"/>
      <c r="H131" s="245"/>
      <c r="I131" s="256"/>
      <c r="J131" s="513"/>
      <c r="K131" s="516">
        <f t="shared" si="4"/>
        <v>0</v>
      </c>
      <c r="M131" s="138"/>
      <c r="N131" s="138"/>
      <c r="P131" s="256"/>
      <c r="Q131" s="513"/>
      <c r="R131" s="516">
        <f t="shared" si="5"/>
        <v>0</v>
      </c>
      <c r="T131" s="138"/>
      <c r="U131" s="138"/>
    </row>
    <row r="132" spans="2:21" ht="15" customHeight="1" x14ac:dyDescent="0.2">
      <c r="B132" s="256"/>
      <c r="C132" s="513"/>
      <c r="D132" s="516">
        <f t="shared" si="3"/>
        <v>0</v>
      </c>
      <c r="F132" s="138"/>
      <c r="G132" s="138"/>
      <c r="H132" s="245"/>
      <c r="I132" s="256"/>
      <c r="J132" s="513"/>
      <c r="K132" s="516">
        <f t="shared" si="4"/>
        <v>0</v>
      </c>
      <c r="M132" s="138"/>
      <c r="N132" s="138"/>
      <c r="P132" s="256"/>
      <c r="Q132" s="513"/>
      <c r="R132" s="516">
        <f t="shared" si="5"/>
        <v>0</v>
      </c>
      <c r="T132" s="138"/>
      <c r="U132" s="138"/>
    </row>
    <row r="133" spans="2:21" ht="15" customHeight="1" x14ac:dyDescent="0.2">
      <c r="B133" s="256"/>
      <c r="C133" s="513"/>
      <c r="D133" s="516">
        <f t="shared" si="3"/>
        <v>0</v>
      </c>
      <c r="F133" s="138"/>
      <c r="G133" s="138"/>
      <c r="H133" s="245"/>
      <c r="I133" s="256"/>
      <c r="J133" s="513"/>
      <c r="K133" s="516">
        <f t="shared" si="4"/>
        <v>0</v>
      </c>
      <c r="M133" s="138"/>
      <c r="N133" s="138"/>
      <c r="P133" s="256"/>
      <c r="Q133" s="513"/>
      <c r="R133" s="516">
        <f t="shared" si="5"/>
        <v>0</v>
      </c>
      <c r="T133" s="138"/>
      <c r="U133" s="138"/>
    </row>
    <row r="134" spans="2:21" ht="15" customHeight="1" x14ac:dyDescent="0.2">
      <c r="B134" s="256"/>
      <c r="C134" s="513"/>
      <c r="D134" s="516">
        <f t="shared" si="3"/>
        <v>0</v>
      </c>
      <c r="F134" s="138"/>
      <c r="G134" s="138"/>
      <c r="H134" s="245"/>
      <c r="I134" s="256"/>
      <c r="J134" s="513"/>
      <c r="K134" s="516">
        <f t="shared" si="4"/>
        <v>0</v>
      </c>
      <c r="M134" s="138"/>
      <c r="N134" s="138"/>
      <c r="P134" s="256"/>
      <c r="Q134" s="513"/>
      <c r="R134" s="516">
        <f t="shared" si="5"/>
        <v>0</v>
      </c>
      <c r="T134" s="138"/>
      <c r="U134" s="138"/>
    </row>
    <row r="135" spans="2:21" ht="15" customHeight="1" x14ac:dyDescent="0.2">
      <c r="B135" s="256"/>
      <c r="C135" s="513"/>
      <c r="D135" s="516">
        <f t="shared" si="3"/>
        <v>0</v>
      </c>
      <c r="F135" s="138"/>
      <c r="G135" s="138"/>
      <c r="H135" s="245"/>
      <c r="I135" s="256"/>
      <c r="J135" s="513"/>
      <c r="K135" s="516">
        <f t="shared" si="4"/>
        <v>0</v>
      </c>
      <c r="M135" s="138"/>
      <c r="N135" s="138"/>
      <c r="P135" s="256"/>
      <c r="Q135" s="513"/>
      <c r="R135" s="516">
        <f t="shared" si="5"/>
        <v>0</v>
      </c>
      <c r="T135" s="138"/>
      <c r="U135" s="138"/>
    </row>
    <row r="136" spans="2:21" ht="15" customHeight="1" x14ac:dyDescent="0.2">
      <c r="B136" s="256"/>
      <c r="C136" s="513"/>
      <c r="D136" s="516">
        <f t="shared" si="3"/>
        <v>0</v>
      </c>
      <c r="F136" s="138"/>
      <c r="G136" s="138"/>
      <c r="H136" s="245"/>
      <c r="I136" s="256"/>
      <c r="J136" s="513"/>
      <c r="K136" s="516">
        <f t="shared" si="4"/>
        <v>0</v>
      </c>
      <c r="M136" s="138"/>
      <c r="N136" s="138"/>
      <c r="P136" s="256"/>
      <c r="Q136" s="513"/>
      <c r="R136" s="516">
        <f t="shared" si="5"/>
        <v>0</v>
      </c>
      <c r="T136" s="138"/>
      <c r="U136" s="138"/>
    </row>
    <row r="137" spans="2:21" ht="15" customHeight="1" x14ac:dyDescent="0.2">
      <c r="B137" s="256"/>
      <c r="C137" s="513"/>
      <c r="D137" s="516">
        <f t="shared" si="3"/>
        <v>0</v>
      </c>
      <c r="F137" s="138"/>
      <c r="G137" s="138"/>
      <c r="H137" s="245"/>
      <c r="I137" s="256"/>
      <c r="J137" s="513"/>
      <c r="K137" s="516">
        <f t="shared" si="4"/>
        <v>0</v>
      </c>
      <c r="M137" s="138"/>
      <c r="N137" s="138"/>
      <c r="P137" s="256"/>
      <c r="Q137" s="513"/>
      <c r="R137" s="516">
        <f t="shared" si="5"/>
        <v>0</v>
      </c>
      <c r="T137" s="138"/>
      <c r="U137" s="138"/>
    </row>
    <row r="138" spans="2:21" ht="15" customHeight="1" x14ac:dyDescent="0.2">
      <c r="B138" s="256"/>
      <c r="C138" s="513"/>
      <c r="D138" s="516">
        <f t="shared" si="3"/>
        <v>0</v>
      </c>
      <c r="F138" s="138"/>
      <c r="G138" s="138"/>
      <c r="H138" s="245"/>
      <c r="I138" s="256"/>
      <c r="J138" s="513"/>
      <c r="K138" s="516">
        <f t="shared" si="4"/>
        <v>0</v>
      </c>
      <c r="M138" s="138"/>
      <c r="N138" s="138"/>
      <c r="P138" s="256"/>
      <c r="Q138" s="513"/>
      <c r="R138" s="516">
        <f t="shared" si="5"/>
        <v>0</v>
      </c>
      <c r="T138" s="138"/>
      <c r="U138" s="138"/>
    </row>
    <row r="139" spans="2:21" ht="15" customHeight="1" x14ac:dyDescent="0.2">
      <c r="B139" s="256"/>
      <c r="C139" s="513"/>
      <c r="D139" s="516">
        <f t="shared" si="3"/>
        <v>0</v>
      </c>
      <c r="F139" s="138"/>
      <c r="G139" s="138"/>
      <c r="H139" s="245"/>
      <c r="I139" s="256"/>
      <c r="J139" s="513"/>
      <c r="K139" s="516">
        <f t="shared" si="4"/>
        <v>0</v>
      </c>
      <c r="M139" s="138"/>
      <c r="N139" s="138"/>
      <c r="P139" s="256"/>
      <c r="Q139" s="513"/>
      <c r="R139" s="516">
        <f t="shared" si="5"/>
        <v>0</v>
      </c>
      <c r="T139" s="138"/>
      <c r="U139" s="138"/>
    </row>
    <row r="140" spans="2:21" ht="15" customHeight="1" x14ac:dyDescent="0.2">
      <c r="B140" s="256"/>
      <c r="C140" s="513"/>
      <c r="D140" s="516">
        <f t="shared" si="3"/>
        <v>0</v>
      </c>
      <c r="F140" s="138"/>
      <c r="G140" s="138"/>
      <c r="H140" s="245"/>
      <c r="I140" s="256"/>
      <c r="J140" s="513"/>
      <c r="K140" s="516">
        <f t="shared" si="4"/>
        <v>0</v>
      </c>
      <c r="M140" s="138"/>
      <c r="N140" s="138"/>
      <c r="P140" s="256"/>
      <c r="Q140" s="513"/>
      <c r="R140" s="516">
        <f t="shared" si="5"/>
        <v>0</v>
      </c>
      <c r="T140" s="138"/>
      <c r="U140" s="138"/>
    </row>
    <row r="141" spans="2:21" ht="15" customHeight="1" x14ac:dyDescent="0.2">
      <c r="B141" s="256"/>
      <c r="C141" s="513"/>
      <c r="D141" s="516">
        <f t="shared" si="3"/>
        <v>0</v>
      </c>
      <c r="F141" s="138"/>
      <c r="G141" s="138"/>
      <c r="H141" s="245"/>
      <c r="I141" s="256"/>
      <c r="J141" s="513"/>
      <c r="K141" s="516">
        <f t="shared" si="4"/>
        <v>0</v>
      </c>
      <c r="M141" s="138"/>
      <c r="N141" s="138"/>
      <c r="P141" s="256"/>
      <c r="Q141" s="513"/>
      <c r="R141" s="516">
        <f t="shared" si="5"/>
        <v>0</v>
      </c>
      <c r="T141" s="138"/>
      <c r="U141" s="138"/>
    </row>
    <row r="142" spans="2:21" ht="15" customHeight="1" x14ac:dyDescent="0.2">
      <c r="B142" s="256"/>
      <c r="C142" s="513"/>
      <c r="D142" s="516">
        <f t="shared" si="3"/>
        <v>0</v>
      </c>
      <c r="F142" s="138"/>
      <c r="G142" s="138"/>
      <c r="H142" s="245"/>
      <c r="I142" s="256"/>
      <c r="J142" s="513"/>
      <c r="K142" s="516">
        <f t="shared" si="4"/>
        <v>0</v>
      </c>
      <c r="M142" s="138"/>
      <c r="N142" s="138"/>
      <c r="P142" s="256"/>
      <c r="Q142" s="513"/>
      <c r="R142" s="516">
        <f t="shared" si="5"/>
        <v>0</v>
      </c>
      <c r="T142" s="138"/>
      <c r="U142" s="138"/>
    </row>
    <row r="143" spans="2:21" ht="15" customHeight="1" x14ac:dyDescent="0.2">
      <c r="B143" s="256"/>
      <c r="C143" s="513"/>
      <c r="D143" s="516">
        <f t="shared" si="3"/>
        <v>0</v>
      </c>
      <c r="F143" s="138"/>
      <c r="G143" s="138"/>
      <c r="H143" s="245"/>
      <c r="I143" s="256"/>
      <c r="J143" s="513"/>
      <c r="K143" s="516">
        <f t="shared" si="4"/>
        <v>0</v>
      </c>
      <c r="M143" s="138"/>
      <c r="N143" s="138"/>
      <c r="P143" s="256"/>
      <c r="Q143" s="513"/>
      <c r="R143" s="516">
        <f t="shared" si="5"/>
        <v>0</v>
      </c>
      <c r="T143" s="138"/>
      <c r="U143" s="138"/>
    </row>
    <row r="144" spans="2:21" ht="15" customHeight="1" x14ac:dyDescent="0.2">
      <c r="B144" s="256"/>
      <c r="C144" s="513"/>
      <c r="D144" s="516">
        <f t="shared" si="3"/>
        <v>0</v>
      </c>
      <c r="F144" s="138"/>
      <c r="G144" s="138"/>
      <c r="H144" s="245"/>
      <c r="I144" s="256"/>
      <c r="J144" s="513"/>
      <c r="K144" s="516">
        <f t="shared" si="4"/>
        <v>0</v>
      </c>
      <c r="M144" s="138"/>
      <c r="N144" s="138"/>
      <c r="P144" s="256"/>
      <c r="Q144" s="513"/>
      <c r="R144" s="516">
        <f t="shared" si="5"/>
        <v>0</v>
      </c>
      <c r="T144" s="138"/>
      <c r="U144" s="138"/>
    </row>
    <row r="145" spans="2:21" ht="15" customHeight="1" x14ac:dyDescent="0.2">
      <c r="B145" s="256"/>
      <c r="C145" s="513"/>
      <c r="D145" s="516">
        <f t="shared" si="3"/>
        <v>0</v>
      </c>
      <c r="F145" s="138"/>
      <c r="G145" s="138"/>
      <c r="H145" s="245"/>
      <c r="I145" s="256"/>
      <c r="J145" s="513"/>
      <c r="K145" s="516">
        <f t="shared" si="4"/>
        <v>0</v>
      </c>
      <c r="M145" s="138"/>
      <c r="N145" s="138"/>
      <c r="P145" s="256"/>
      <c r="Q145" s="513"/>
      <c r="R145" s="516">
        <f t="shared" si="5"/>
        <v>0</v>
      </c>
      <c r="T145" s="138"/>
      <c r="U145" s="138"/>
    </row>
    <row r="146" spans="2:21" ht="15" customHeight="1" x14ac:dyDescent="0.2">
      <c r="B146" s="256"/>
      <c r="C146" s="513"/>
      <c r="D146" s="516">
        <f t="shared" ref="D146:D209" si="6">C146/1000</f>
        <v>0</v>
      </c>
      <c r="F146" s="138"/>
      <c r="G146" s="138"/>
      <c r="H146" s="245"/>
      <c r="I146" s="256"/>
      <c r="J146" s="513"/>
      <c r="K146" s="516">
        <f t="shared" ref="K146:K209" si="7">J146/1000</f>
        <v>0</v>
      </c>
      <c r="M146" s="138"/>
      <c r="N146" s="138"/>
      <c r="P146" s="256"/>
      <c r="Q146" s="513"/>
      <c r="R146" s="516">
        <f t="shared" ref="R146:R209" si="8">Q146/1000</f>
        <v>0</v>
      </c>
      <c r="T146" s="138"/>
      <c r="U146" s="138"/>
    </row>
    <row r="147" spans="2:21" ht="15" customHeight="1" x14ac:dyDescent="0.2">
      <c r="B147" s="256"/>
      <c r="C147" s="513"/>
      <c r="D147" s="516">
        <f t="shared" si="6"/>
        <v>0</v>
      </c>
      <c r="F147" s="138"/>
      <c r="G147" s="138"/>
      <c r="H147" s="245"/>
      <c r="I147" s="256"/>
      <c r="J147" s="513"/>
      <c r="K147" s="516">
        <f t="shared" si="7"/>
        <v>0</v>
      </c>
      <c r="M147" s="138"/>
      <c r="N147" s="138"/>
      <c r="P147" s="256"/>
      <c r="Q147" s="513"/>
      <c r="R147" s="516">
        <f t="shared" si="8"/>
        <v>0</v>
      </c>
      <c r="T147" s="138"/>
      <c r="U147" s="138"/>
    </row>
    <row r="148" spans="2:21" ht="15" customHeight="1" x14ac:dyDescent="0.2">
      <c r="B148" s="256"/>
      <c r="C148" s="513"/>
      <c r="D148" s="516">
        <f t="shared" si="6"/>
        <v>0</v>
      </c>
      <c r="F148" s="138"/>
      <c r="G148" s="138"/>
      <c r="H148" s="245"/>
      <c r="I148" s="256"/>
      <c r="J148" s="513"/>
      <c r="K148" s="516">
        <f t="shared" si="7"/>
        <v>0</v>
      </c>
      <c r="M148" s="138"/>
      <c r="N148" s="138"/>
      <c r="P148" s="256"/>
      <c r="Q148" s="513"/>
      <c r="R148" s="516">
        <f t="shared" si="8"/>
        <v>0</v>
      </c>
      <c r="T148" s="138"/>
      <c r="U148" s="138"/>
    </row>
    <row r="149" spans="2:21" ht="15" customHeight="1" x14ac:dyDescent="0.2">
      <c r="B149" s="256"/>
      <c r="C149" s="513"/>
      <c r="D149" s="516">
        <f t="shared" si="6"/>
        <v>0</v>
      </c>
      <c r="F149" s="138"/>
      <c r="G149" s="138"/>
      <c r="H149" s="245"/>
      <c r="I149" s="256"/>
      <c r="J149" s="513"/>
      <c r="K149" s="516">
        <f t="shared" si="7"/>
        <v>0</v>
      </c>
      <c r="M149" s="138"/>
      <c r="N149" s="138"/>
      <c r="P149" s="256"/>
      <c r="Q149" s="513"/>
      <c r="R149" s="516">
        <f t="shared" si="8"/>
        <v>0</v>
      </c>
      <c r="T149" s="138"/>
      <c r="U149" s="138"/>
    </row>
    <row r="150" spans="2:21" ht="15" customHeight="1" x14ac:dyDescent="0.2">
      <c r="B150" s="256"/>
      <c r="C150" s="513"/>
      <c r="D150" s="516">
        <f t="shared" si="6"/>
        <v>0</v>
      </c>
      <c r="F150" s="138"/>
      <c r="G150" s="138"/>
      <c r="H150" s="245"/>
      <c r="I150" s="256"/>
      <c r="J150" s="513"/>
      <c r="K150" s="516">
        <f t="shared" si="7"/>
        <v>0</v>
      </c>
      <c r="M150" s="138"/>
      <c r="N150" s="138"/>
      <c r="P150" s="256"/>
      <c r="Q150" s="513"/>
      <c r="R150" s="516">
        <f t="shared" si="8"/>
        <v>0</v>
      </c>
      <c r="T150" s="138"/>
      <c r="U150" s="138"/>
    </row>
    <row r="151" spans="2:21" ht="15" customHeight="1" x14ac:dyDescent="0.2">
      <c r="B151" s="256"/>
      <c r="C151" s="513"/>
      <c r="D151" s="516">
        <f t="shared" si="6"/>
        <v>0</v>
      </c>
      <c r="F151" s="138"/>
      <c r="G151" s="138"/>
      <c r="H151" s="245"/>
      <c r="I151" s="256"/>
      <c r="J151" s="513"/>
      <c r="K151" s="516">
        <f t="shared" si="7"/>
        <v>0</v>
      </c>
      <c r="M151" s="138"/>
      <c r="N151" s="138"/>
      <c r="P151" s="256"/>
      <c r="Q151" s="513"/>
      <c r="R151" s="516">
        <f t="shared" si="8"/>
        <v>0</v>
      </c>
      <c r="T151" s="138"/>
      <c r="U151" s="138"/>
    </row>
    <row r="152" spans="2:21" ht="15" customHeight="1" x14ac:dyDescent="0.2">
      <c r="B152" s="256"/>
      <c r="C152" s="513"/>
      <c r="D152" s="516">
        <f t="shared" si="6"/>
        <v>0</v>
      </c>
      <c r="F152" s="138"/>
      <c r="G152" s="138"/>
      <c r="H152" s="245"/>
      <c r="I152" s="256"/>
      <c r="J152" s="513"/>
      <c r="K152" s="516">
        <f t="shared" si="7"/>
        <v>0</v>
      </c>
      <c r="M152" s="138"/>
      <c r="N152" s="138"/>
      <c r="P152" s="256"/>
      <c r="Q152" s="513"/>
      <c r="R152" s="516">
        <f t="shared" si="8"/>
        <v>0</v>
      </c>
      <c r="T152" s="138"/>
      <c r="U152" s="138"/>
    </row>
    <row r="153" spans="2:21" ht="15" customHeight="1" x14ac:dyDescent="0.2">
      <c r="B153" s="256"/>
      <c r="C153" s="513"/>
      <c r="D153" s="516">
        <f t="shared" si="6"/>
        <v>0</v>
      </c>
      <c r="F153" s="138"/>
      <c r="G153" s="138"/>
      <c r="H153" s="245"/>
      <c r="I153" s="256"/>
      <c r="J153" s="513"/>
      <c r="K153" s="516">
        <f t="shared" si="7"/>
        <v>0</v>
      </c>
      <c r="M153" s="138"/>
      <c r="N153" s="138"/>
      <c r="P153" s="256"/>
      <c r="Q153" s="513"/>
      <c r="R153" s="516">
        <f t="shared" si="8"/>
        <v>0</v>
      </c>
      <c r="T153" s="138"/>
      <c r="U153" s="138"/>
    </row>
    <row r="154" spans="2:21" ht="15" customHeight="1" x14ac:dyDescent="0.2">
      <c r="B154" s="256"/>
      <c r="C154" s="513"/>
      <c r="D154" s="516">
        <f t="shared" si="6"/>
        <v>0</v>
      </c>
      <c r="F154" s="138"/>
      <c r="G154" s="138"/>
      <c r="H154" s="245"/>
      <c r="I154" s="256"/>
      <c r="J154" s="513"/>
      <c r="K154" s="516">
        <f t="shared" si="7"/>
        <v>0</v>
      </c>
      <c r="M154" s="138"/>
      <c r="N154" s="138"/>
      <c r="P154" s="256"/>
      <c r="Q154" s="513"/>
      <c r="R154" s="516">
        <f t="shared" si="8"/>
        <v>0</v>
      </c>
      <c r="T154" s="138"/>
      <c r="U154" s="138"/>
    </row>
    <row r="155" spans="2:21" ht="15" customHeight="1" x14ac:dyDescent="0.2">
      <c r="B155" s="256"/>
      <c r="C155" s="513"/>
      <c r="D155" s="516">
        <f t="shared" si="6"/>
        <v>0</v>
      </c>
      <c r="F155" s="138"/>
      <c r="G155" s="138"/>
      <c r="H155" s="245"/>
      <c r="I155" s="256"/>
      <c r="J155" s="513"/>
      <c r="K155" s="516">
        <f t="shared" si="7"/>
        <v>0</v>
      </c>
      <c r="M155" s="138"/>
      <c r="N155" s="138"/>
      <c r="P155" s="256"/>
      <c r="Q155" s="513"/>
      <c r="R155" s="516">
        <f t="shared" si="8"/>
        <v>0</v>
      </c>
      <c r="T155" s="138"/>
      <c r="U155" s="138"/>
    </row>
    <row r="156" spans="2:21" ht="15" customHeight="1" x14ac:dyDescent="0.2">
      <c r="B156" s="256"/>
      <c r="C156" s="513"/>
      <c r="D156" s="516">
        <f t="shared" si="6"/>
        <v>0</v>
      </c>
      <c r="F156" s="138"/>
      <c r="G156" s="138"/>
      <c r="H156" s="245"/>
      <c r="I156" s="256"/>
      <c r="J156" s="513"/>
      <c r="K156" s="516">
        <f t="shared" si="7"/>
        <v>0</v>
      </c>
      <c r="M156" s="138"/>
      <c r="N156" s="138"/>
      <c r="P156" s="256"/>
      <c r="Q156" s="513"/>
      <c r="R156" s="516">
        <f t="shared" si="8"/>
        <v>0</v>
      </c>
      <c r="T156" s="138"/>
      <c r="U156" s="138"/>
    </row>
    <row r="157" spans="2:21" ht="15" customHeight="1" x14ac:dyDescent="0.2">
      <c r="B157" s="256"/>
      <c r="C157" s="513"/>
      <c r="D157" s="516">
        <f t="shared" si="6"/>
        <v>0</v>
      </c>
      <c r="F157" s="138"/>
      <c r="G157" s="138"/>
      <c r="H157" s="245"/>
      <c r="I157" s="256"/>
      <c r="J157" s="513"/>
      <c r="K157" s="516">
        <f t="shared" si="7"/>
        <v>0</v>
      </c>
      <c r="M157" s="138"/>
      <c r="N157" s="138"/>
      <c r="P157" s="256"/>
      <c r="Q157" s="513"/>
      <c r="R157" s="516">
        <f t="shared" si="8"/>
        <v>0</v>
      </c>
      <c r="T157" s="138"/>
      <c r="U157" s="138"/>
    </row>
    <row r="158" spans="2:21" ht="15" customHeight="1" x14ac:dyDescent="0.2">
      <c r="B158" s="256"/>
      <c r="C158" s="513"/>
      <c r="D158" s="516">
        <f t="shared" si="6"/>
        <v>0</v>
      </c>
      <c r="F158" s="138"/>
      <c r="G158" s="138"/>
      <c r="H158" s="245"/>
      <c r="I158" s="256"/>
      <c r="J158" s="513"/>
      <c r="K158" s="516">
        <f t="shared" si="7"/>
        <v>0</v>
      </c>
      <c r="M158" s="138"/>
      <c r="N158" s="138"/>
      <c r="P158" s="256"/>
      <c r="Q158" s="513"/>
      <c r="R158" s="516">
        <f t="shared" si="8"/>
        <v>0</v>
      </c>
      <c r="T158" s="138"/>
      <c r="U158" s="138"/>
    </row>
    <row r="159" spans="2:21" ht="15" customHeight="1" x14ac:dyDescent="0.2">
      <c r="B159" s="256"/>
      <c r="C159" s="513"/>
      <c r="D159" s="516">
        <f t="shared" si="6"/>
        <v>0</v>
      </c>
      <c r="F159" s="138"/>
      <c r="G159" s="138"/>
      <c r="H159" s="245"/>
      <c r="I159" s="256"/>
      <c r="J159" s="513"/>
      <c r="K159" s="516">
        <f t="shared" si="7"/>
        <v>0</v>
      </c>
      <c r="M159" s="138"/>
      <c r="N159" s="138"/>
      <c r="P159" s="256"/>
      <c r="Q159" s="513"/>
      <c r="R159" s="516">
        <f t="shared" si="8"/>
        <v>0</v>
      </c>
      <c r="T159" s="138"/>
      <c r="U159" s="138"/>
    </row>
    <row r="160" spans="2:21" ht="15" customHeight="1" x14ac:dyDescent="0.2">
      <c r="B160" s="256"/>
      <c r="C160" s="513"/>
      <c r="D160" s="516">
        <f t="shared" si="6"/>
        <v>0</v>
      </c>
      <c r="F160" s="138"/>
      <c r="G160" s="138"/>
      <c r="H160" s="245"/>
      <c r="I160" s="256"/>
      <c r="J160" s="513"/>
      <c r="K160" s="516">
        <f t="shared" si="7"/>
        <v>0</v>
      </c>
      <c r="M160" s="138"/>
      <c r="N160" s="138"/>
      <c r="P160" s="256"/>
      <c r="Q160" s="513"/>
      <c r="R160" s="516">
        <f t="shared" si="8"/>
        <v>0</v>
      </c>
      <c r="T160" s="138"/>
      <c r="U160" s="138"/>
    </row>
    <row r="161" spans="2:21" ht="15" customHeight="1" x14ac:dyDescent="0.2">
      <c r="B161" s="256"/>
      <c r="C161" s="513"/>
      <c r="D161" s="516">
        <f t="shared" si="6"/>
        <v>0</v>
      </c>
      <c r="F161" s="138"/>
      <c r="G161" s="138"/>
      <c r="H161" s="245"/>
      <c r="I161" s="256"/>
      <c r="J161" s="513"/>
      <c r="K161" s="516">
        <f t="shared" si="7"/>
        <v>0</v>
      </c>
      <c r="M161" s="138"/>
      <c r="N161" s="138"/>
      <c r="P161" s="256"/>
      <c r="Q161" s="513"/>
      <c r="R161" s="516">
        <f t="shared" si="8"/>
        <v>0</v>
      </c>
      <c r="T161" s="138"/>
      <c r="U161" s="138"/>
    </row>
    <row r="162" spans="2:21" ht="15" customHeight="1" x14ac:dyDescent="0.2">
      <c r="B162" s="256"/>
      <c r="C162" s="513"/>
      <c r="D162" s="516">
        <f t="shared" si="6"/>
        <v>0</v>
      </c>
      <c r="F162" s="138"/>
      <c r="G162" s="138"/>
      <c r="H162" s="245"/>
      <c r="I162" s="256"/>
      <c r="J162" s="513"/>
      <c r="K162" s="516">
        <f t="shared" si="7"/>
        <v>0</v>
      </c>
      <c r="M162" s="138"/>
      <c r="N162" s="138"/>
      <c r="P162" s="256"/>
      <c r="Q162" s="513"/>
      <c r="R162" s="516">
        <f t="shared" si="8"/>
        <v>0</v>
      </c>
      <c r="T162" s="138"/>
      <c r="U162" s="138"/>
    </row>
    <row r="163" spans="2:21" ht="15" customHeight="1" x14ac:dyDescent="0.2">
      <c r="B163" s="256"/>
      <c r="C163" s="513"/>
      <c r="D163" s="516">
        <f t="shared" si="6"/>
        <v>0</v>
      </c>
      <c r="F163" s="138"/>
      <c r="G163" s="138"/>
      <c r="H163" s="245"/>
      <c r="I163" s="256"/>
      <c r="J163" s="513"/>
      <c r="K163" s="516">
        <f t="shared" si="7"/>
        <v>0</v>
      </c>
      <c r="M163" s="138"/>
      <c r="N163" s="138"/>
      <c r="P163" s="256"/>
      <c r="Q163" s="513"/>
      <c r="R163" s="516">
        <f t="shared" si="8"/>
        <v>0</v>
      </c>
      <c r="T163" s="138"/>
      <c r="U163" s="138"/>
    </row>
    <row r="164" spans="2:21" ht="15" customHeight="1" x14ac:dyDescent="0.2">
      <c r="B164" s="256"/>
      <c r="C164" s="513"/>
      <c r="D164" s="516">
        <f t="shared" si="6"/>
        <v>0</v>
      </c>
      <c r="F164" s="138"/>
      <c r="G164" s="138"/>
      <c r="H164" s="245"/>
      <c r="I164" s="256"/>
      <c r="J164" s="513"/>
      <c r="K164" s="516">
        <f t="shared" si="7"/>
        <v>0</v>
      </c>
      <c r="M164" s="138"/>
      <c r="N164" s="138"/>
      <c r="P164" s="256"/>
      <c r="Q164" s="513"/>
      <c r="R164" s="516">
        <f t="shared" si="8"/>
        <v>0</v>
      </c>
      <c r="T164" s="138"/>
      <c r="U164" s="138"/>
    </row>
    <row r="165" spans="2:21" ht="15" customHeight="1" x14ac:dyDescent="0.2">
      <c r="B165" s="256"/>
      <c r="C165" s="513"/>
      <c r="D165" s="516">
        <f t="shared" si="6"/>
        <v>0</v>
      </c>
      <c r="F165" s="138"/>
      <c r="G165" s="138"/>
      <c r="H165" s="245"/>
      <c r="I165" s="256"/>
      <c r="J165" s="513"/>
      <c r="K165" s="516">
        <f t="shared" si="7"/>
        <v>0</v>
      </c>
      <c r="M165" s="138"/>
      <c r="N165" s="138"/>
      <c r="P165" s="256"/>
      <c r="Q165" s="513"/>
      <c r="R165" s="516">
        <f t="shared" si="8"/>
        <v>0</v>
      </c>
      <c r="T165" s="138"/>
      <c r="U165" s="138"/>
    </row>
    <row r="166" spans="2:21" ht="15" customHeight="1" x14ac:dyDescent="0.2">
      <c r="B166" s="256"/>
      <c r="C166" s="513"/>
      <c r="D166" s="516">
        <f t="shared" si="6"/>
        <v>0</v>
      </c>
      <c r="F166" s="138"/>
      <c r="G166" s="138"/>
      <c r="H166" s="245"/>
      <c r="I166" s="256"/>
      <c r="J166" s="513"/>
      <c r="K166" s="516">
        <f t="shared" si="7"/>
        <v>0</v>
      </c>
      <c r="M166" s="138"/>
      <c r="N166" s="138"/>
      <c r="P166" s="256"/>
      <c r="Q166" s="513"/>
      <c r="R166" s="516">
        <f t="shared" si="8"/>
        <v>0</v>
      </c>
      <c r="T166" s="138"/>
      <c r="U166" s="138"/>
    </row>
    <row r="167" spans="2:21" ht="15" customHeight="1" x14ac:dyDescent="0.2">
      <c r="B167" s="256"/>
      <c r="C167" s="513"/>
      <c r="D167" s="516">
        <f t="shared" si="6"/>
        <v>0</v>
      </c>
      <c r="F167" s="138"/>
      <c r="G167" s="138"/>
      <c r="H167" s="245"/>
      <c r="I167" s="256"/>
      <c r="J167" s="513"/>
      <c r="K167" s="516">
        <f t="shared" si="7"/>
        <v>0</v>
      </c>
      <c r="M167" s="138"/>
      <c r="N167" s="138"/>
      <c r="P167" s="256"/>
      <c r="Q167" s="513"/>
      <c r="R167" s="516">
        <f t="shared" si="8"/>
        <v>0</v>
      </c>
      <c r="T167" s="138"/>
      <c r="U167" s="138"/>
    </row>
    <row r="168" spans="2:21" ht="15" customHeight="1" x14ac:dyDescent="0.2">
      <c r="B168" s="256"/>
      <c r="C168" s="513"/>
      <c r="D168" s="516">
        <f t="shared" si="6"/>
        <v>0</v>
      </c>
      <c r="F168" s="138"/>
      <c r="G168" s="138"/>
      <c r="H168" s="245"/>
      <c r="I168" s="256"/>
      <c r="J168" s="513"/>
      <c r="K168" s="516">
        <f t="shared" si="7"/>
        <v>0</v>
      </c>
      <c r="M168" s="138"/>
      <c r="N168" s="138"/>
      <c r="P168" s="256"/>
      <c r="Q168" s="513"/>
      <c r="R168" s="516">
        <f t="shared" si="8"/>
        <v>0</v>
      </c>
      <c r="T168" s="138"/>
      <c r="U168" s="138"/>
    </row>
    <row r="169" spans="2:21" ht="15" customHeight="1" x14ac:dyDescent="0.2">
      <c r="B169" s="256"/>
      <c r="C169" s="513"/>
      <c r="D169" s="516">
        <f t="shared" si="6"/>
        <v>0</v>
      </c>
      <c r="F169" s="138"/>
      <c r="G169" s="138"/>
      <c r="H169" s="245"/>
      <c r="I169" s="256"/>
      <c r="J169" s="513"/>
      <c r="K169" s="516">
        <f t="shared" si="7"/>
        <v>0</v>
      </c>
      <c r="M169" s="138"/>
      <c r="N169" s="138"/>
      <c r="P169" s="256"/>
      <c r="Q169" s="513"/>
      <c r="R169" s="516">
        <f t="shared" si="8"/>
        <v>0</v>
      </c>
      <c r="T169" s="138"/>
      <c r="U169" s="138"/>
    </row>
    <row r="170" spans="2:21" ht="15" customHeight="1" x14ac:dyDescent="0.2">
      <c r="B170" s="256"/>
      <c r="C170" s="513"/>
      <c r="D170" s="516">
        <f t="shared" si="6"/>
        <v>0</v>
      </c>
      <c r="F170" s="138"/>
      <c r="G170" s="138"/>
      <c r="H170" s="245"/>
      <c r="I170" s="256"/>
      <c r="J170" s="513"/>
      <c r="K170" s="516">
        <f t="shared" si="7"/>
        <v>0</v>
      </c>
      <c r="M170" s="138"/>
      <c r="N170" s="138"/>
      <c r="P170" s="256"/>
      <c r="Q170" s="513"/>
      <c r="R170" s="516">
        <f t="shared" si="8"/>
        <v>0</v>
      </c>
      <c r="T170" s="138"/>
      <c r="U170" s="138"/>
    </row>
    <row r="171" spans="2:21" ht="15" customHeight="1" x14ac:dyDescent="0.2">
      <c r="B171" s="256"/>
      <c r="C171" s="513"/>
      <c r="D171" s="516">
        <f t="shared" si="6"/>
        <v>0</v>
      </c>
      <c r="F171" s="138"/>
      <c r="G171" s="138"/>
      <c r="H171" s="245"/>
      <c r="I171" s="256"/>
      <c r="J171" s="513"/>
      <c r="K171" s="516">
        <f t="shared" si="7"/>
        <v>0</v>
      </c>
      <c r="M171" s="138"/>
      <c r="N171" s="138"/>
      <c r="P171" s="256"/>
      <c r="Q171" s="513"/>
      <c r="R171" s="516">
        <f t="shared" si="8"/>
        <v>0</v>
      </c>
      <c r="T171" s="138"/>
      <c r="U171" s="138"/>
    </row>
    <row r="172" spans="2:21" ht="15" customHeight="1" x14ac:dyDescent="0.2">
      <c r="B172" s="256"/>
      <c r="C172" s="513"/>
      <c r="D172" s="516">
        <f t="shared" si="6"/>
        <v>0</v>
      </c>
      <c r="F172" s="138"/>
      <c r="G172" s="138"/>
      <c r="H172" s="245"/>
      <c r="I172" s="256"/>
      <c r="J172" s="513"/>
      <c r="K172" s="516">
        <f t="shared" si="7"/>
        <v>0</v>
      </c>
      <c r="M172" s="138"/>
      <c r="N172" s="138"/>
      <c r="P172" s="256"/>
      <c r="Q172" s="513"/>
      <c r="R172" s="516">
        <f t="shared" si="8"/>
        <v>0</v>
      </c>
      <c r="T172" s="138"/>
      <c r="U172" s="138"/>
    </row>
    <row r="173" spans="2:21" ht="15" customHeight="1" x14ac:dyDescent="0.2">
      <c r="B173" s="256"/>
      <c r="C173" s="513"/>
      <c r="D173" s="516">
        <f t="shared" si="6"/>
        <v>0</v>
      </c>
      <c r="F173" s="138"/>
      <c r="G173" s="138"/>
      <c r="H173" s="245"/>
      <c r="I173" s="256"/>
      <c r="J173" s="513"/>
      <c r="K173" s="516">
        <f t="shared" si="7"/>
        <v>0</v>
      </c>
      <c r="M173" s="138"/>
      <c r="N173" s="138"/>
      <c r="P173" s="256"/>
      <c r="Q173" s="513"/>
      <c r="R173" s="516">
        <f t="shared" si="8"/>
        <v>0</v>
      </c>
      <c r="T173" s="138"/>
      <c r="U173" s="138"/>
    </row>
    <row r="174" spans="2:21" ht="15" customHeight="1" x14ac:dyDescent="0.2">
      <c r="B174" s="256"/>
      <c r="C174" s="513"/>
      <c r="D174" s="516">
        <f t="shared" si="6"/>
        <v>0</v>
      </c>
      <c r="F174" s="138"/>
      <c r="G174" s="138"/>
      <c r="H174" s="245"/>
      <c r="I174" s="256"/>
      <c r="J174" s="513"/>
      <c r="K174" s="516">
        <f t="shared" si="7"/>
        <v>0</v>
      </c>
      <c r="M174" s="138"/>
      <c r="N174" s="138"/>
      <c r="P174" s="256"/>
      <c r="Q174" s="513"/>
      <c r="R174" s="516">
        <f t="shared" si="8"/>
        <v>0</v>
      </c>
      <c r="T174" s="138"/>
      <c r="U174" s="138"/>
    </row>
    <row r="175" spans="2:21" ht="15" customHeight="1" x14ac:dyDescent="0.2">
      <c r="B175" s="256"/>
      <c r="C175" s="513"/>
      <c r="D175" s="516">
        <f t="shared" si="6"/>
        <v>0</v>
      </c>
      <c r="F175" s="138"/>
      <c r="G175" s="138"/>
      <c r="H175" s="245"/>
      <c r="I175" s="256"/>
      <c r="J175" s="513"/>
      <c r="K175" s="516">
        <f t="shared" si="7"/>
        <v>0</v>
      </c>
      <c r="M175" s="138"/>
      <c r="N175" s="138"/>
      <c r="P175" s="256"/>
      <c r="Q175" s="513"/>
      <c r="R175" s="516">
        <f t="shared" si="8"/>
        <v>0</v>
      </c>
      <c r="T175" s="138"/>
      <c r="U175" s="138"/>
    </row>
    <row r="176" spans="2:21" ht="15" customHeight="1" x14ac:dyDescent="0.2">
      <c r="B176" s="256"/>
      <c r="C176" s="513"/>
      <c r="D176" s="516">
        <f t="shared" si="6"/>
        <v>0</v>
      </c>
      <c r="F176" s="138"/>
      <c r="G176" s="138"/>
      <c r="H176" s="245"/>
      <c r="I176" s="256"/>
      <c r="J176" s="513"/>
      <c r="K176" s="516">
        <f t="shared" si="7"/>
        <v>0</v>
      </c>
      <c r="M176" s="138"/>
      <c r="N176" s="138"/>
      <c r="P176" s="256"/>
      <c r="Q176" s="513"/>
      <c r="R176" s="516">
        <f t="shared" si="8"/>
        <v>0</v>
      </c>
      <c r="T176" s="138"/>
      <c r="U176" s="138"/>
    </row>
    <row r="177" spans="2:21" ht="15" customHeight="1" x14ac:dyDescent="0.2">
      <c r="B177" s="256"/>
      <c r="C177" s="513"/>
      <c r="D177" s="516">
        <f t="shared" si="6"/>
        <v>0</v>
      </c>
      <c r="F177" s="138"/>
      <c r="G177" s="138"/>
      <c r="H177" s="245"/>
      <c r="I177" s="256"/>
      <c r="J177" s="513"/>
      <c r="K177" s="516">
        <f t="shared" si="7"/>
        <v>0</v>
      </c>
      <c r="M177" s="138"/>
      <c r="N177" s="138"/>
      <c r="P177" s="256"/>
      <c r="Q177" s="513"/>
      <c r="R177" s="516">
        <f t="shared" si="8"/>
        <v>0</v>
      </c>
      <c r="T177" s="138"/>
      <c r="U177" s="138"/>
    </row>
    <row r="178" spans="2:21" ht="15" customHeight="1" x14ac:dyDescent="0.2">
      <c r="B178" s="256"/>
      <c r="C178" s="513"/>
      <c r="D178" s="516">
        <f t="shared" si="6"/>
        <v>0</v>
      </c>
      <c r="F178" s="138"/>
      <c r="G178" s="138"/>
      <c r="H178" s="245"/>
      <c r="I178" s="256"/>
      <c r="J178" s="513"/>
      <c r="K178" s="516">
        <f t="shared" si="7"/>
        <v>0</v>
      </c>
      <c r="M178" s="138"/>
      <c r="N178" s="138"/>
      <c r="P178" s="256"/>
      <c r="Q178" s="513"/>
      <c r="R178" s="516">
        <f t="shared" si="8"/>
        <v>0</v>
      </c>
      <c r="T178" s="138"/>
      <c r="U178" s="138"/>
    </row>
    <row r="179" spans="2:21" ht="15" customHeight="1" x14ac:dyDescent="0.2">
      <c r="B179" s="256"/>
      <c r="C179" s="513"/>
      <c r="D179" s="516">
        <f t="shared" si="6"/>
        <v>0</v>
      </c>
      <c r="F179" s="138"/>
      <c r="G179" s="138"/>
      <c r="H179" s="245"/>
      <c r="I179" s="256"/>
      <c r="J179" s="513"/>
      <c r="K179" s="516">
        <f t="shared" si="7"/>
        <v>0</v>
      </c>
      <c r="M179" s="138"/>
      <c r="N179" s="138"/>
      <c r="P179" s="256"/>
      <c r="Q179" s="513"/>
      <c r="R179" s="516">
        <f t="shared" si="8"/>
        <v>0</v>
      </c>
      <c r="T179" s="138"/>
      <c r="U179" s="138"/>
    </row>
    <row r="180" spans="2:21" ht="15" customHeight="1" x14ac:dyDescent="0.2">
      <c r="B180" s="256"/>
      <c r="C180" s="513"/>
      <c r="D180" s="516">
        <f t="shared" si="6"/>
        <v>0</v>
      </c>
      <c r="F180" s="138"/>
      <c r="G180" s="138"/>
      <c r="H180" s="245"/>
      <c r="I180" s="256"/>
      <c r="J180" s="513"/>
      <c r="K180" s="516">
        <f t="shared" si="7"/>
        <v>0</v>
      </c>
      <c r="M180" s="138"/>
      <c r="N180" s="138"/>
      <c r="P180" s="256"/>
      <c r="Q180" s="513"/>
      <c r="R180" s="516">
        <f t="shared" si="8"/>
        <v>0</v>
      </c>
      <c r="T180" s="138"/>
      <c r="U180" s="138"/>
    </row>
    <row r="181" spans="2:21" ht="15" customHeight="1" x14ac:dyDescent="0.2">
      <c r="B181" s="256"/>
      <c r="C181" s="513"/>
      <c r="D181" s="516">
        <f t="shared" si="6"/>
        <v>0</v>
      </c>
      <c r="F181" s="138"/>
      <c r="G181" s="138"/>
      <c r="H181" s="245"/>
      <c r="I181" s="256"/>
      <c r="J181" s="513"/>
      <c r="K181" s="516">
        <f t="shared" si="7"/>
        <v>0</v>
      </c>
      <c r="M181" s="138"/>
      <c r="N181" s="138"/>
      <c r="P181" s="256"/>
      <c r="Q181" s="513"/>
      <c r="R181" s="516">
        <f t="shared" si="8"/>
        <v>0</v>
      </c>
      <c r="T181" s="138"/>
      <c r="U181" s="138"/>
    </row>
    <row r="182" spans="2:21" ht="15" customHeight="1" x14ac:dyDescent="0.2">
      <c r="B182" s="256"/>
      <c r="C182" s="513"/>
      <c r="D182" s="516">
        <f t="shared" si="6"/>
        <v>0</v>
      </c>
      <c r="F182" s="138"/>
      <c r="G182" s="138"/>
      <c r="H182" s="245"/>
      <c r="I182" s="256"/>
      <c r="J182" s="513"/>
      <c r="K182" s="516">
        <f t="shared" si="7"/>
        <v>0</v>
      </c>
      <c r="M182" s="138"/>
      <c r="N182" s="138"/>
      <c r="P182" s="256"/>
      <c r="Q182" s="513"/>
      <c r="R182" s="516">
        <f t="shared" si="8"/>
        <v>0</v>
      </c>
      <c r="T182" s="138"/>
      <c r="U182" s="138"/>
    </row>
    <row r="183" spans="2:21" ht="15" customHeight="1" x14ac:dyDescent="0.2">
      <c r="B183" s="256"/>
      <c r="C183" s="513"/>
      <c r="D183" s="516">
        <f t="shared" si="6"/>
        <v>0</v>
      </c>
      <c r="F183" s="138"/>
      <c r="G183" s="138"/>
      <c r="H183" s="245"/>
      <c r="I183" s="256"/>
      <c r="J183" s="513"/>
      <c r="K183" s="516">
        <f t="shared" si="7"/>
        <v>0</v>
      </c>
      <c r="M183" s="138"/>
      <c r="N183" s="138"/>
      <c r="P183" s="256"/>
      <c r="Q183" s="513"/>
      <c r="R183" s="516">
        <f t="shared" si="8"/>
        <v>0</v>
      </c>
      <c r="T183" s="138"/>
      <c r="U183" s="138"/>
    </row>
    <row r="184" spans="2:21" ht="15" customHeight="1" x14ac:dyDescent="0.2">
      <c r="B184" s="256"/>
      <c r="C184" s="513"/>
      <c r="D184" s="516">
        <f t="shared" si="6"/>
        <v>0</v>
      </c>
      <c r="F184" s="138"/>
      <c r="G184" s="138"/>
      <c r="H184" s="245"/>
      <c r="I184" s="256"/>
      <c r="J184" s="513"/>
      <c r="K184" s="516">
        <f t="shared" si="7"/>
        <v>0</v>
      </c>
      <c r="M184" s="138"/>
      <c r="N184" s="138"/>
      <c r="P184" s="256"/>
      <c r="Q184" s="513"/>
      <c r="R184" s="516">
        <f t="shared" si="8"/>
        <v>0</v>
      </c>
      <c r="T184" s="138"/>
      <c r="U184" s="138"/>
    </row>
    <row r="185" spans="2:21" ht="15" customHeight="1" x14ac:dyDescent="0.2">
      <c r="B185" s="256"/>
      <c r="C185" s="513"/>
      <c r="D185" s="516">
        <f t="shared" si="6"/>
        <v>0</v>
      </c>
      <c r="F185" s="138"/>
      <c r="G185" s="138"/>
      <c r="H185" s="245"/>
      <c r="I185" s="256"/>
      <c r="J185" s="513"/>
      <c r="K185" s="516">
        <f t="shared" si="7"/>
        <v>0</v>
      </c>
      <c r="M185" s="138"/>
      <c r="N185" s="138"/>
      <c r="P185" s="256"/>
      <c r="Q185" s="513"/>
      <c r="R185" s="516">
        <f t="shared" si="8"/>
        <v>0</v>
      </c>
      <c r="T185" s="138"/>
      <c r="U185" s="138"/>
    </row>
    <row r="186" spans="2:21" ht="15" customHeight="1" x14ac:dyDescent="0.2">
      <c r="B186" s="256"/>
      <c r="C186" s="513"/>
      <c r="D186" s="516">
        <f t="shared" si="6"/>
        <v>0</v>
      </c>
      <c r="F186" s="138"/>
      <c r="G186" s="138"/>
      <c r="H186" s="245"/>
      <c r="I186" s="256"/>
      <c r="J186" s="513"/>
      <c r="K186" s="516">
        <f t="shared" si="7"/>
        <v>0</v>
      </c>
      <c r="M186" s="138"/>
      <c r="N186" s="138"/>
      <c r="P186" s="256"/>
      <c r="Q186" s="513"/>
      <c r="R186" s="516">
        <f t="shared" si="8"/>
        <v>0</v>
      </c>
      <c r="T186" s="138"/>
      <c r="U186" s="138"/>
    </row>
    <row r="187" spans="2:21" ht="15" customHeight="1" x14ac:dyDescent="0.2">
      <c r="B187" s="256"/>
      <c r="C187" s="513"/>
      <c r="D187" s="516">
        <f t="shared" si="6"/>
        <v>0</v>
      </c>
      <c r="F187" s="138"/>
      <c r="G187" s="138"/>
      <c r="H187" s="245"/>
      <c r="I187" s="256"/>
      <c r="J187" s="513"/>
      <c r="K187" s="516">
        <f t="shared" si="7"/>
        <v>0</v>
      </c>
      <c r="M187" s="138"/>
      <c r="N187" s="138"/>
      <c r="P187" s="256"/>
      <c r="Q187" s="513"/>
      <c r="R187" s="516">
        <f t="shared" si="8"/>
        <v>0</v>
      </c>
      <c r="T187" s="138"/>
      <c r="U187" s="138"/>
    </row>
    <row r="188" spans="2:21" ht="15" customHeight="1" x14ac:dyDescent="0.2">
      <c r="B188" s="256"/>
      <c r="C188" s="513"/>
      <c r="D188" s="516">
        <f t="shared" si="6"/>
        <v>0</v>
      </c>
      <c r="F188" s="138"/>
      <c r="G188" s="138"/>
      <c r="H188" s="245"/>
      <c r="I188" s="256"/>
      <c r="J188" s="513"/>
      <c r="K188" s="516">
        <f t="shared" si="7"/>
        <v>0</v>
      </c>
      <c r="M188" s="138"/>
      <c r="N188" s="138"/>
      <c r="P188" s="256"/>
      <c r="Q188" s="513"/>
      <c r="R188" s="516">
        <f t="shared" si="8"/>
        <v>0</v>
      </c>
      <c r="T188" s="138"/>
      <c r="U188" s="138"/>
    </row>
    <row r="189" spans="2:21" ht="15" customHeight="1" x14ac:dyDescent="0.2">
      <c r="B189" s="256"/>
      <c r="C189" s="513"/>
      <c r="D189" s="516">
        <f t="shared" si="6"/>
        <v>0</v>
      </c>
      <c r="F189" s="138"/>
      <c r="G189" s="138"/>
      <c r="H189" s="245"/>
      <c r="I189" s="256"/>
      <c r="J189" s="513"/>
      <c r="K189" s="516">
        <f t="shared" si="7"/>
        <v>0</v>
      </c>
      <c r="M189" s="138"/>
      <c r="N189" s="138"/>
      <c r="P189" s="256"/>
      <c r="Q189" s="513"/>
      <c r="R189" s="516">
        <f t="shared" si="8"/>
        <v>0</v>
      </c>
      <c r="T189" s="138"/>
      <c r="U189" s="138"/>
    </row>
    <row r="190" spans="2:21" ht="15" customHeight="1" x14ac:dyDescent="0.2">
      <c r="B190" s="256"/>
      <c r="C190" s="513"/>
      <c r="D190" s="516">
        <f t="shared" si="6"/>
        <v>0</v>
      </c>
      <c r="F190" s="138"/>
      <c r="G190" s="138"/>
      <c r="H190" s="245"/>
      <c r="I190" s="256"/>
      <c r="J190" s="513"/>
      <c r="K190" s="516">
        <f t="shared" si="7"/>
        <v>0</v>
      </c>
      <c r="M190" s="138"/>
      <c r="N190" s="138"/>
      <c r="P190" s="256"/>
      <c r="Q190" s="513"/>
      <c r="R190" s="516">
        <f t="shared" si="8"/>
        <v>0</v>
      </c>
      <c r="T190" s="138"/>
      <c r="U190" s="138"/>
    </row>
    <row r="191" spans="2:21" ht="15" customHeight="1" x14ac:dyDescent="0.2">
      <c r="B191" s="256"/>
      <c r="C191" s="513"/>
      <c r="D191" s="516">
        <f t="shared" si="6"/>
        <v>0</v>
      </c>
      <c r="F191" s="138"/>
      <c r="G191" s="138"/>
      <c r="H191" s="245"/>
      <c r="I191" s="256"/>
      <c r="J191" s="513"/>
      <c r="K191" s="516">
        <f t="shared" si="7"/>
        <v>0</v>
      </c>
      <c r="M191" s="138"/>
      <c r="N191" s="138"/>
      <c r="P191" s="256"/>
      <c r="Q191" s="513"/>
      <c r="R191" s="516">
        <f t="shared" si="8"/>
        <v>0</v>
      </c>
      <c r="T191" s="138"/>
      <c r="U191" s="138"/>
    </row>
    <row r="192" spans="2:21" ht="15" customHeight="1" x14ac:dyDescent="0.2">
      <c r="B192" s="256"/>
      <c r="C192" s="513"/>
      <c r="D192" s="516">
        <f t="shared" si="6"/>
        <v>0</v>
      </c>
      <c r="F192" s="138"/>
      <c r="G192" s="138"/>
      <c r="H192" s="245"/>
      <c r="I192" s="256"/>
      <c r="J192" s="513"/>
      <c r="K192" s="516">
        <f t="shared" si="7"/>
        <v>0</v>
      </c>
      <c r="M192" s="138"/>
      <c r="N192" s="138"/>
      <c r="P192" s="256"/>
      <c r="Q192" s="513"/>
      <c r="R192" s="516">
        <f t="shared" si="8"/>
        <v>0</v>
      </c>
      <c r="T192" s="138"/>
      <c r="U192" s="138"/>
    </row>
    <row r="193" spans="2:21" ht="15" customHeight="1" x14ac:dyDescent="0.2">
      <c r="B193" s="256"/>
      <c r="C193" s="513"/>
      <c r="D193" s="516">
        <f t="shared" si="6"/>
        <v>0</v>
      </c>
      <c r="F193" s="138"/>
      <c r="G193" s="138"/>
      <c r="H193" s="245"/>
      <c r="I193" s="256"/>
      <c r="J193" s="513"/>
      <c r="K193" s="516">
        <f t="shared" si="7"/>
        <v>0</v>
      </c>
      <c r="M193" s="138"/>
      <c r="N193" s="138"/>
      <c r="P193" s="256"/>
      <c r="Q193" s="513"/>
      <c r="R193" s="516">
        <f t="shared" si="8"/>
        <v>0</v>
      </c>
      <c r="T193" s="138"/>
      <c r="U193" s="138"/>
    </row>
    <row r="194" spans="2:21" ht="15" customHeight="1" x14ac:dyDescent="0.2">
      <c r="B194" s="256"/>
      <c r="C194" s="513"/>
      <c r="D194" s="516">
        <f t="shared" si="6"/>
        <v>0</v>
      </c>
      <c r="F194" s="138"/>
      <c r="G194" s="138"/>
      <c r="H194" s="245"/>
      <c r="I194" s="256"/>
      <c r="J194" s="513"/>
      <c r="K194" s="516">
        <f t="shared" si="7"/>
        <v>0</v>
      </c>
      <c r="M194" s="138"/>
      <c r="N194" s="138"/>
      <c r="P194" s="256"/>
      <c r="Q194" s="513"/>
      <c r="R194" s="516">
        <f t="shared" si="8"/>
        <v>0</v>
      </c>
      <c r="T194" s="138"/>
      <c r="U194" s="138"/>
    </row>
    <row r="195" spans="2:21" ht="15" customHeight="1" x14ac:dyDescent="0.2">
      <c r="B195" s="256"/>
      <c r="C195" s="513"/>
      <c r="D195" s="516">
        <f t="shared" si="6"/>
        <v>0</v>
      </c>
      <c r="F195" s="138"/>
      <c r="G195" s="138"/>
      <c r="H195" s="245"/>
      <c r="I195" s="256"/>
      <c r="J195" s="513"/>
      <c r="K195" s="516">
        <f t="shared" si="7"/>
        <v>0</v>
      </c>
      <c r="M195" s="138"/>
      <c r="N195" s="138"/>
      <c r="P195" s="256"/>
      <c r="Q195" s="513"/>
      <c r="R195" s="516">
        <f t="shared" si="8"/>
        <v>0</v>
      </c>
      <c r="T195" s="138"/>
      <c r="U195" s="138"/>
    </row>
    <row r="196" spans="2:21" ht="15" customHeight="1" x14ac:dyDescent="0.2">
      <c r="B196" s="256"/>
      <c r="C196" s="513"/>
      <c r="D196" s="516">
        <f t="shared" si="6"/>
        <v>0</v>
      </c>
      <c r="F196" s="138"/>
      <c r="G196" s="138"/>
      <c r="H196" s="245"/>
      <c r="I196" s="256"/>
      <c r="J196" s="513"/>
      <c r="K196" s="516">
        <f t="shared" si="7"/>
        <v>0</v>
      </c>
      <c r="M196" s="138"/>
      <c r="N196" s="138"/>
      <c r="P196" s="256"/>
      <c r="Q196" s="513"/>
      <c r="R196" s="516">
        <f t="shared" si="8"/>
        <v>0</v>
      </c>
      <c r="T196" s="138"/>
      <c r="U196" s="138"/>
    </row>
    <row r="197" spans="2:21" ht="15" customHeight="1" x14ac:dyDescent="0.2">
      <c r="B197" s="256"/>
      <c r="C197" s="513"/>
      <c r="D197" s="516">
        <f t="shared" si="6"/>
        <v>0</v>
      </c>
      <c r="F197" s="138"/>
      <c r="G197" s="138"/>
      <c r="H197" s="245"/>
      <c r="I197" s="256"/>
      <c r="J197" s="513"/>
      <c r="K197" s="516">
        <f t="shared" si="7"/>
        <v>0</v>
      </c>
      <c r="M197" s="138"/>
      <c r="N197" s="138"/>
      <c r="P197" s="256"/>
      <c r="Q197" s="513"/>
      <c r="R197" s="516">
        <f t="shared" si="8"/>
        <v>0</v>
      </c>
      <c r="T197" s="138"/>
      <c r="U197" s="138"/>
    </row>
    <row r="198" spans="2:21" ht="15" customHeight="1" x14ac:dyDescent="0.2">
      <c r="B198" s="256"/>
      <c r="C198" s="513"/>
      <c r="D198" s="516">
        <f t="shared" si="6"/>
        <v>0</v>
      </c>
      <c r="F198" s="138"/>
      <c r="G198" s="138"/>
      <c r="H198" s="245"/>
      <c r="I198" s="256"/>
      <c r="J198" s="513"/>
      <c r="K198" s="516">
        <f t="shared" si="7"/>
        <v>0</v>
      </c>
      <c r="M198" s="138"/>
      <c r="N198" s="138"/>
      <c r="P198" s="256"/>
      <c r="Q198" s="513"/>
      <c r="R198" s="516">
        <f t="shared" si="8"/>
        <v>0</v>
      </c>
      <c r="T198" s="138"/>
      <c r="U198" s="138"/>
    </row>
    <row r="199" spans="2:21" ht="15" customHeight="1" x14ac:dyDescent="0.2">
      <c r="B199" s="256"/>
      <c r="C199" s="513"/>
      <c r="D199" s="516">
        <f t="shared" si="6"/>
        <v>0</v>
      </c>
      <c r="F199" s="138"/>
      <c r="G199" s="138"/>
      <c r="H199" s="245"/>
      <c r="I199" s="256"/>
      <c r="J199" s="513"/>
      <c r="K199" s="516">
        <f t="shared" si="7"/>
        <v>0</v>
      </c>
      <c r="M199" s="138"/>
      <c r="N199" s="138"/>
      <c r="P199" s="256"/>
      <c r="Q199" s="513"/>
      <c r="R199" s="516">
        <f t="shared" si="8"/>
        <v>0</v>
      </c>
      <c r="T199" s="138"/>
      <c r="U199" s="138"/>
    </row>
    <row r="200" spans="2:21" ht="15" customHeight="1" x14ac:dyDescent="0.2">
      <c r="B200" s="256"/>
      <c r="C200" s="513"/>
      <c r="D200" s="516">
        <f t="shared" si="6"/>
        <v>0</v>
      </c>
      <c r="F200" s="138"/>
      <c r="G200" s="138"/>
      <c r="H200" s="245"/>
      <c r="I200" s="256"/>
      <c r="J200" s="513"/>
      <c r="K200" s="516">
        <f t="shared" si="7"/>
        <v>0</v>
      </c>
      <c r="M200" s="138"/>
      <c r="N200" s="138"/>
      <c r="P200" s="256"/>
      <c r="Q200" s="513"/>
      <c r="R200" s="516">
        <f t="shared" si="8"/>
        <v>0</v>
      </c>
      <c r="T200" s="138"/>
      <c r="U200" s="138"/>
    </row>
    <row r="201" spans="2:21" ht="15" customHeight="1" x14ac:dyDescent="0.2">
      <c r="B201" s="256"/>
      <c r="C201" s="513"/>
      <c r="D201" s="516">
        <f t="shared" si="6"/>
        <v>0</v>
      </c>
      <c r="F201" s="138"/>
      <c r="G201" s="138"/>
      <c r="H201" s="245"/>
      <c r="I201" s="256"/>
      <c r="J201" s="513"/>
      <c r="K201" s="516">
        <f t="shared" si="7"/>
        <v>0</v>
      </c>
      <c r="M201" s="138"/>
      <c r="N201" s="138"/>
      <c r="P201" s="256"/>
      <c r="Q201" s="513"/>
      <c r="R201" s="516">
        <f t="shared" si="8"/>
        <v>0</v>
      </c>
      <c r="T201" s="138"/>
      <c r="U201" s="138"/>
    </row>
    <row r="202" spans="2:21" ht="15" customHeight="1" x14ac:dyDescent="0.2">
      <c r="B202" s="256"/>
      <c r="C202" s="513"/>
      <c r="D202" s="516">
        <f t="shared" si="6"/>
        <v>0</v>
      </c>
      <c r="F202" s="138"/>
      <c r="G202" s="138"/>
      <c r="H202" s="245"/>
      <c r="I202" s="256"/>
      <c r="J202" s="513"/>
      <c r="K202" s="516">
        <f t="shared" si="7"/>
        <v>0</v>
      </c>
      <c r="M202" s="138"/>
      <c r="N202" s="138"/>
      <c r="P202" s="256"/>
      <c r="Q202" s="513"/>
      <c r="R202" s="516">
        <f t="shared" si="8"/>
        <v>0</v>
      </c>
      <c r="T202" s="138"/>
      <c r="U202" s="138"/>
    </row>
    <row r="203" spans="2:21" ht="15" customHeight="1" x14ac:dyDescent="0.2">
      <c r="B203" s="256"/>
      <c r="C203" s="513"/>
      <c r="D203" s="516">
        <f t="shared" si="6"/>
        <v>0</v>
      </c>
      <c r="F203" s="138"/>
      <c r="G203" s="138"/>
      <c r="H203" s="245"/>
      <c r="I203" s="256"/>
      <c r="J203" s="513"/>
      <c r="K203" s="516">
        <f t="shared" si="7"/>
        <v>0</v>
      </c>
      <c r="M203" s="138"/>
      <c r="N203" s="138"/>
      <c r="P203" s="256"/>
      <c r="Q203" s="513"/>
      <c r="R203" s="516">
        <f t="shared" si="8"/>
        <v>0</v>
      </c>
      <c r="T203" s="138"/>
      <c r="U203" s="138"/>
    </row>
    <row r="204" spans="2:21" ht="15" customHeight="1" x14ac:dyDescent="0.2">
      <c r="B204" s="256"/>
      <c r="C204" s="513"/>
      <c r="D204" s="516">
        <f t="shared" si="6"/>
        <v>0</v>
      </c>
      <c r="F204" s="138"/>
      <c r="G204" s="138"/>
      <c r="H204" s="245"/>
      <c r="I204" s="256"/>
      <c r="J204" s="513"/>
      <c r="K204" s="516">
        <f t="shared" si="7"/>
        <v>0</v>
      </c>
      <c r="M204" s="138"/>
      <c r="N204" s="138"/>
      <c r="P204" s="256"/>
      <c r="Q204" s="513"/>
      <c r="R204" s="516">
        <f t="shared" si="8"/>
        <v>0</v>
      </c>
      <c r="T204" s="138"/>
      <c r="U204" s="138"/>
    </row>
    <row r="205" spans="2:21" ht="15" customHeight="1" x14ac:dyDescent="0.2">
      <c r="B205" s="256"/>
      <c r="C205" s="513"/>
      <c r="D205" s="516">
        <f t="shared" si="6"/>
        <v>0</v>
      </c>
      <c r="F205" s="138"/>
      <c r="G205" s="138"/>
      <c r="H205" s="245"/>
      <c r="I205" s="256"/>
      <c r="J205" s="513"/>
      <c r="K205" s="516">
        <f t="shared" si="7"/>
        <v>0</v>
      </c>
      <c r="M205" s="138"/>
      <c r="N205" s="138"/>
      <c r="P205" s="256"/>
      <c r="Q205" s="513"/>
      <c r="R205" s="516">
        <f t="shared" si="8"/>
        <v>0</v>
      </c>
      <c r="T205" s="138"/>
      <c r="U205" s="138"/>
    </row>
    <row r="206" spans="2:21" ht="15" customHeight="1" x14ac:dyDescent="0.2">
      <c r="B206" s="256"/>
      <c r="C206" s="513"/>
      <c r="D206" s="516">
        <f t="shared" si="6"/>
        <v>0</v>
      </c>
      <c r="F206" s="138"/>
      <c r="G206" s="138"/>
      <c r="H206" s="245"/>
      <c r="I206" s="256"/>
      <c r="J206" s="513"/>
      <c r="K206" s="516">
        <f t="shared" si="7"/>
        <v>0</v>
      </c>
      <c r="M206" s="138"/>
      <c r="N206" s="138"/>
      <c r="P206" s="256"/>
      <c r="Q206" s="513"/>
      <c r="R206" s="516">
        <f t="shared" si="8"/>
        <v>0</v>
      </c>
      <c r="T206" s="138"/>
      <c r="U206" s="138"/>
    </row>
    <row r="207" spans="2:21" ht="15" customHeight="1" x14ac:dyDescent="0.2">
      <c r="B207" s="256"/>
      <c r="C207" s="513"/>
      <c r="D207" s="516">
        <f t="shared" si="6"/>
        <v>0</v>
      </c>
      <c r="F207" s="138"/>
      <c r="G207" s="138"/>
      <c r="H207" s="245"/>
      <c r="I207" s="256"/>
      <c r="J207" s="513"/>
      <c r="K207" s="516">
        <f t="shared" si="7"/>
        <v>0</v>
      </c>
      <c r="M207" s="138"/>
      <c r="N207" s="138"/>
      <c r="P207" s="256"/>
      <c r="Q207" s="513"/>
      <c r="R207" s="516">
        <f t="shared" si="8"/>
        <v>0</v>
      </c>
      <c r="T207" s="138"/>
      <c r="U207" s="138"/>
    </row>
    <row r="208" spans="2:21" ht="15" customHeight="1" x14ac:dyDescent="0.2">
      <c r="B208" s="256"/>
      <c r="C208" s="513"/>
      <c r="D208" s="516">
        <f t="shared" si="6"/>
        <v>0</v>
      </c>
      <c r="F208" s="138"/>
      <c r="G208" s="138"/>
      <c r="H208" s="245"/>
      <c r="I208" s="256"/>
      <c r="J208" s="513"/>
      <c r="K208" s="516">
        <f t="shared" si="7"/>
        <v>0</v>
      </c>
      <c r="M208" s="138"/>
      <c r="N208" s="138"/>
      <c r="P208" s="256"/>
      <c r="Q208" s="513"/>
      <c r="R208" s="516">
        <f t="shared" si="8"/>
        <v>0</v>
      </c>
      <c r="T208" s="138"/>
      <c r="U208" s="138"/>
    </row>
    <row r="209" spans="2:21" ht="15" customHeight="1" x14ac:dyDescent="0.2">
      <c r="B209" s="256"/>
      <c r="C209" s="513"/>
      <c r="D209" s="516">
        <f t="shared" si="6"/>
        <v>0</v>
      </c>
      <c r="F209" s="138"/>
      <c r="G209" s="138"/>
      <c r="H209" s="245"/>
      <c r="I209" s="256"/>
      <c r="J209" s="513"/>
      <c r="K209" s="516">
        <f t="shared" si="7"/>
        <v>0</v>
      </c>
      <c r="M209" s="138"/>
      <c r="N209" s="138"/>
      <c r="P209" s="256"/>
      <c r="Q209" s="513"/>
      <c r="R209" s="516">
        <f t="shared" si="8"/>
        <v>0</v>
      </c>
      <c r="T209" s="138"/>
      <c r="U209" s="138"/>
    </row>
    <row r="210" spans="2:21" ht="15" customHeight="1" x14ac:dyDescent="0.2">
      <c r="B210" s="256"/>
      <c r="C210" s="513"/>
      <c r="D210" s="516">
        <f t="shared" ref="D210:D273" si="9">C210/1000</f>
        <v>0</v>
      </c>
      <c r="F210" s="138"/>
      <c r="G210" s="138"/>
      <c r="H210" s="245"/>
      <c r="I210" s="256"/>
      <c r="J210" s="513"/>
      <c r="K210" s="516">
        <f t="shared" ref="K210:K273" si="10">J210/1000</f>
        <v>0</v>
      </c>
      <c r="M210" s="138"/>
      <c r="N210" s="138"/>
      <c r="P210" s="256"/>
      <c r="Q210" s="513"/>
      <c r="R210" s="516">
        <f t="shared" ref="R210:R273" si="11">Q210/1000</f>
        <v>0</v>
      </c>
      <c r="T210" s="138"/>
      <c r="U210" s="138"/>
    </row>
    <row r="211" spans="2:21" ht="15" customHeight="1" x14ac:dyDescent="0.2">
      <c r="B211" s="256"/>
      <c r="C211" s="513"/>
      <c r="D211" s="516">
        <f t="shared" si="9"/>
        <v>0</v>
      </c>
      <c r="F211" s="138"/>
      <c r="G211" s="138"/>
      <c r="H211" s="245"/>
      <c r="I211" s="256"/>
      <c r="J211" s="513"/>
      <c r="K211" s="516">
        <f t="shared" si="10"/>
        <v>0</v>
      </c>
      <c r="M211" s="138"/>
      <c r="N211" s="138"/>
      <c r="P211" s="256"/>
      <c r="Q211" s="513"/>
      <c r="R211" s="516">
        <f t="shared" si="11"/>
        <v>0</v>
      </c>
      <c r="T211" s="138"/>
      <c r="U211" s="138"/>
    </row>
    <row r="212" spans="2:21" ht="15" customHeight="1" x14ac:dyDescent="0.2">
      <c r="B212" s="256"/>
      <c r="C212" s="513"/>
      <c r="D212" s="516">
        <f t="shared" si="9"/>
        <v>0</v>
      </c>
      <c r="F212" s="138"/>
      <c r="G212" s="138"/>
      <c r="H212" s="245"/>
      <c r="I212" s="256"/>
      <c r="J212" s="513"/>
      <c r="K212" s="516">
        <f t="shared" si="10"/>
        <v>0</v>
      </c>
      <c r="M212" s="138"/>
      <c r="N212" s="138"/>
      <c r="P212" s="256"/>
      <c r="Q212" s="513"/>
      <c r="R212" s="516">
        <f t="shared" si="11"/>
        <v>0</v>
      </c>
      <c r="T212" s="138"/>
      <c r="U212" s="138"/>
    </row>
    <row r="213" spans="2:21" ht="15" customHeight="1" x14ac:dyDescent="0.2">
      <c r="B213" s="256"/>
      <c r="C213" s="513"/>
      <c r="D213" s="516">
        <f t="shared" si="9"/>
        <v>0</v>
      </c>
      <c r="F213" s="138"/>
      <c r="G213" s="138"/>
      <c r="H213" s="245"/>
      <c r="I213" s="256"/>
      <c r="J213" s="513"/>
      <c r="K213" s="516">
        <f t="shared" si="10"/>
        <v>0</v>
      </c>
      <c r="M213" s="138"/>
      <c r="N213" s="138"/>
      <c r="P213" s="256"/>
      <c r="Q213" s="513"/>
      <c r="R213" s="516">
        <f t="shared" si="11"/>
        <v>0</v>
      </c>
      <c r="T213" s="138"/>
      <c r="U213" s="138"/>
    </row>
    <row r="214" spans="2:21" ht="15" customHeight="1" x14ac:dyDescent="0.2">
      <c r="B214" s="256"/>
      <c r="C214" s="513"/>
      <c r="D214" s="516">
        <f t="shared" si="9"/>
        <v>0</v>
      </c>
      <c r="F214" s="138"/>
      <c r="G214" s="138"/>
      <c r="H214" s="245"/>
      <c r="I214" s="256"/>
      <c r="J214" s="513"/>
      <c r="K214" s="516">
        <f t="shared" si="10"/>
        <v>0</v>
      </c>
      <c r="M214" s="138"/>
      <c r="N214" s="138"/>
      <c r="P214" s="256"/>
      <c r="Q214" s="513"/>
      <c r="R214" s="516">
        <f t="shared" si="11"/>
        <v>0</v>
      </c>
      <c r="T214" s="138"/>
      <c r="U214" s="138"/>
    </row>
    <row r="215" spans="2:21" ht="15" customHeight="1" x14ac:dyDescent="0.2">
      <c r="B215" s="256"/>
      <c r="C215" s="513"/>
      <c r="D215" s="516">
        <f t="shared" si="9"/>
        <v>0</v>
      </c>
      <c r="F215" s="138"/>
      <c r="G215" s="138"/>
      <c r="H215" s="245"/>
      <c r="I215" s="256"/>
      <c r="J215" s="513"/>
      <c r="K215" s="516">
        <f t="shared" si="10"/>
        <v>0</v>
      </c>
      <c r="M215" s="138"/>
      <c r="N215" s="138"/>
      <c r="P215" s="256"/>
      <c r="Q215" s="513"/>
      <c r="R215" s="516">
        <f t="shared" si="11"/>
        <v>0</v>
      </c>
      <c r="T215" s="138"/>
      <c r="U215" s="138"/>
    </row>
    <row r="216" spans="2:21" ht="15" customHeight="1" x14ac:dyDescent="0.2">
      <c r="B216" s="256"/>
      <c r="C216" s="513"/>
      <c r="D216" s="516">
        <f t="shared" si="9"/>
        <v>0</v>
      </c>
      <c r="F216" s="138"/>
      <c r="G216" s="138"/>
      <c r="H216" s="245"/>
      <c r="I216" s="256"/>
      <c r="J216" s="513"/>
      <c r="K216" s="516">
        <f t="shared" si="10"/>
        <v>0</v>
      </c>
      <c r="M216" s="138"/>
      <c r="N216" s="138"/>
      <c r="P216" s="256"/>
      <c r="Q216" s="513"/>
      <c r="R216" s="516">
        <f t="shared" si="11"/>
        <v>0</v>
      </c>
      <c r="T216" s="138"/>
      <c r="U216" s="138"/>
    </row>
    <row r="217" spans="2:21" ht="15" customHeight="1" x14ac:dyDescent="0.2">
      <c r="B217" s="256"/>
      <c r="C217" s="513"/>
      <c r="D217" s="516">
        <f t="shared" si="9"/>
        <v>0</v>
      </c>
      <c r="F217" s="138"/>
      <c r="G217" s="138"/>
      <c r="H217" s="245"/>
      <c r="I217" s="256"/>
      <c r="J217" s="513"/>
      <c r="K217" s="516">
        <f t="shared" si="10"/>
        <v>0</v>
      </c>
      <c r="M217" s="138"/>
      <c r="N217" s="138"/>
      <c r="P217" s="256"/>
      <c r="Q217" s="513"/>
      <c r="R217" s="516">
        <f t="shared" si="11"/>
        <v>0</v>
      </c>
      <c r="T217" s="138"/>
      <c r="U217" s="138"/>
    </row>
    <row r="218" spans="2:21" ht="15" customHeight="1" x14ac:dyDescent="0.2">
      <c r="B218" s="256"/>
      <c r="C218" s="513"/>
      <c r="D218" s="516">
        <f t="shared" si="9"/>
        <v>0</v>
      </c>
      <c r="F218" s="138"/>
      <c r="G218" s="138"/>
      <c r="H218" s="245"/>
      <c r="I218" s="256"/>
      <c r="J218" s="513"/>
      <c r="K218" s="516">
        <f t="shared" si="10"/>
        <v>0</v>
      </c>
      <c r="M218" s="138"/>
      <c r="N218" s="138"/>
      <c r="P218" s="256"/>
      <c r="Q218" s="513"/>
      <c r="R218" s="516">
        <f t="shared" si="11"/>
        <v>0</v>
      </c>
      <c r="T218" s="138"/>
      <c r="U218" s="138"/>
    </row>
    <row r="219" spans="2:21" ht="15" customHeight="1" x14ac:dyDescent="0.2">
      <c r="B219" s="256"/>
      <c r="C219" s="513"/>
      <c r="D219" s="516">
        <f t="shared" si="9"/>
        <v>0</v>
      </c>
      <c r="F219" s="138"/>
      <c r="G219" s="138"/>
      <c r="H219" s="245"/>
      <c r="I219" s="256"/>
      <c r="J219" s="513"/>
      <c r="K219" s="516">
        <f t="shared" si="10"/>
        <v>0</v>
      </c>
      <c r="M219" s="138"/>
      <c r="N219" s="138"/>
      <c r="P219" s="256"/>
      <c r="Q219" s="513"/>
      <c r="R219" s="516">
        <f t="shared" si="11"/>
        <v>0</v>
      </c>
      <c r="T219" s="138"/>
      <c r="U219" s="138"/>
    </row>
    <row r="220" spans="2:21" ht="15" customHeight="1" x14ac:dyDescent="0.2">
      <c r="B220" s="256"/>
      <c r="C220" s="513"/>
      <c r="D220" s="516">
        <f t="shared" si="9"/>
        <v>0</v>
      </c>
      <c r="F220" s="138"/>
      <c r="G220" s="138"/>
      <c r="H220" s="245"/>
      <c r="I220" s="256"/>
      <c r="J220" s="513"/>
      <c r="K220" s="516">
        <f t="shared" si="10"/>
        <v>0</v>
      </c>
      <c r="M220" s="138"/>
      <c r="N220" s="138"/>
      <c r="P220" s="256"/>
      <c r="Q220" s="513"/>
      <c r="R220" s="516">
        <f t="shared" si="11"/>
        <v>0</v>
      </c>
      <c r="T220" s="138"/>
      <c r="U220" s="138"/>
    </row>
    <row r="221" spans="2:21" ht="15" customHeight="1" x14ac:dyDescent="0.2">
      <c r="B221" s="256"/>
      <c r="C221" s="513"/>
      <c r="D221" s="516">
        <f t="shared" si="9"/>
        <v>0</v>
      </c>
      <c r="F221" s="138"/>
      <c r="G221" s="138"/>
      <c r="H221" s="245"/>
      <c r="I221" s="256"/>
      <c r="J221" s="513"/>
      <c r="K221" s="516">
        <f t="shared" si="10"/>
        <v>0</v>
      </c>
      <c r="M221" s="138"/>
      <c r="N221" s="138"/>
      <c r="P221" s="256"/>
      <c r="Q221" s="513"/>
      <c r="R221" s="516">
        <f t="shared" si="11"/>
        <v>0</v>
      </c>
      <c r="T221" s="138"/>
      <c r="U221" s="138"/>
    </row>
    <row r="222" spans="2:21" ht="15" customHeight="1" x14ac:dyDescent="0.2">
      <c r="B222" s="256"/>
      <c r="C222" s="513"/>
      <c r="D222" s="516">
        <f t="shared" si="9"/>
        <v>0</v>
      </c>
      <c r="F222" s="138"/>
      <c r="G222" s="138"/>
      <c r="H222" s="245"/>
      <c r="I222" s="256"/>
      <c r="J222" s="513"/>
      <c r="K222" s="516">
        <f t="shared" si="10"/>
        <v>0</v>
      </c>
      <c r="M222" s="138"/>
      <c r="N222" s="138"/>
      <c r="P222" s="256"/>
      <c r="Q222" s="513"/>
      <c r="R222" s="516">
        <f t="shared" si="11"/>
        <v>0</v>
      </c>
      <c r="T222" s="138"/>
      <c r="U222" s="138"/>
    </row>
    <row r="223" spans="2:21" ht="15" customHeight="1" x14ac:dyDescent="0.2">
      <c r="B223" s="256"/>
      <c r="C223" s="513"/>
      <c r="D223" s="516">
        <f t="shared" si="9"/>
        <v>0</v>
      </c>
      <c r="F223" s="138"/>
      <c r="G223" s="138"/>
      <c r="H223" s="245"/>
      <c r="I223" s="256"/>
      <c r="J223" s="513"/>
      <c r="K223" s="516">
        <f t="shared" si="10"/>
        <v>0</v>
      </c>
      <c r="M223" s="138"/>
      <c r="N223" s="138"/>
      <c r="P223" s="256"/>
      <c r="Q223" s="513"/>
      <c r="R223" s="516">
        <f t="shared" si="11"/>
        <v>0</v>
      </c>
      <c r="T223" s="138"/>
      <c r="U223" s="138"/>
    </row>
    <row r="224" spans="2:21" ht="15" customHeight="1" x14ac:dyDescent="0.2">
      <c r="B224" s="256"/>
      <c r="C224" s="513"/>
      <c r="D224" s="516">
        <f t="shared" si="9"/>
        <v>0</v>
      </c>
      <c r="F224" s="138"/>
      <c r="G224" s="138"/>
      <c r="H224" s="245"/>
      <c r="I224" s="256"/>
      <c r="J224" s="513"/>
      <c r="K224" s="516">
        <f t="shared" si="10"/>
        <v>0</v>
      </c>
      <c r="M224" s="138"/>
      <c r="N224" s="138"/>
      <c r="P224" s="256"/>
      <c r="Q224" s="513"/>
      <c r="R224" s="516">
        <f t="shared" si="11"/>
        <v>0</v>
      </c>
      <c r="T224" s="138"/>
      <c r="U224" s="138"/>
    </row>
    <row r="225" spans="2:21" ht="15" customHeight="1" x14ac:dyDescent="0.2">
      <c r="B225" s="256"/>
      <c r="C225" s="513"/>
      <c r="D225" s="516">
        <f t="shared" si="9"/>
        <v>0</v>
      </c>
      <c r="F225" s="138"/>
      <c r="G225" s="138"/>
      <c r="H225" s="245"/>
      <c r="I225" s="256"/>
      <c r="J225" s="513"/>
      <c r="K225" s="516">
        <f t="shared" si="10"/>
        <v>0</v>
      </c>
      <c r="M225" s="138"/>
      <c r="N225" s="138"/>
      <c r="P225" s="256"/>
      <c r="Q225" s="513"/>
      <c r="R225" s="516">
        <f t="shared" si="11"/>
        <v>0</v>
      </c>
      <c r="T225" s="138"/>
      <c r="U225" s="138"/>
    </row>
    <row r="226" spans="2:21" ht="15" customHeight="1" x14ac:dyDescent="0.2">
      <c r="B226" s="256"/>
      <c r="C226" s="513"/>
      <c r="D226" s="516">
        <f t="shared" si="9"/>
        <v>0</v>
      </c>
      <c r="F226" s="138"/>
      <c r="G226" s="138"/>
      <c r="H226" s="245"/>
      <c r="I226" s="256"/>
      <c r="J226" s="513"/>
      <c r="K226" s="516">
        <f t="shared" si="10"/>
        <v>0</v>
      </c>
      <c r="M226" s="138"/>
      <c r="N226" s="138"/>
      <c r="P226" s="256"/>
      <c r="Q226" s="513"/>
      <c r="R226" s="516">
        <f t="shared" si="11"/>
        <v>0</v>
      </c>
      <c r="T226" s="138"/>
      <c r="U226" s="138"/>
    </row>
    <row r="227" spans="2:21" ht="15" customHeight="1" x14ac:dyDescent="0.2">
      <c r="B227" s="256"/>
      <c r="C227" s="513"/>
      <c r="D227" s="516">
        <f t="shared" si="9"/>
        <v>0</v>
      </c>
      <c r="F227" s="138"/>
      <c r="G227" s="138"/>
      <c r="H227" s="245"/>
      <c r="I227" s="256"/>
      <c r="J227" s="513"/>
      <c r="K227" s="516">
        <f t="shared" si="10"/>
        <v>0</v>
      </c>
      <c r="M227" s="138"/>
      <c r="N227" s="138"/>
      <c r="P227" s="256"/>
      <c r="Q227" s="513"/>
      <c r="R227" s="516">
        <f t="shared" si="11"/>
        <v>0</v>
      </c>
      <c r="T227" s="138"/>
      <c r="U227" s="138"/>
    </row>
    <row r="228" spans="2:21" ht="15" customHeight="1" x14ac:dyDescent="0.2">
      <c r="B228" s="256"/>
      <c r="C228" s="513"/>
      <c r="D228" s="516">
        <f t="shared" si="9"/>
        <v>0</v>
      </c>
      <c r="F228" s="138"/>
      <c r="G228" s="138"/>
      <c r="H228" s="245"/>
      <c r="I228" s="256"/>
      <c r="J228" s="513"/>
      <c r="K228" s="516">
        <f t="shared" si="10"/>
        <v>0</v>
      </c>
      <c r="M228" s="138"/>
      <c r="N228" s="138"/>
      <c r="P228" s="256"/>
      <c r="Q228" s="513"/>
      <c r="R228" s="516">
        <f t="shared" si="11"/>
        <v>0</v>
      </c>
      <c r="T228" s="138"/>
      <c r="U228" s="138"/>
    </row>
    <row r="229" spans="2:21" ht="15" customHeight="1" x14ac:dyDescent="0.2">
      <c r="B229" s="256"/>
      <c r="C229" s="513"/>
      <c r="D229" s="516">
        <f t="shared" si="9"/>
        <v>0</v>
      </c>
      <c r="F229" s="138"/>
      <c r="G229" s="138"/>
      <c r="H229" s="245"/>
      <c r="I229" s="256"/>
      <c r="J229" s="513"/>
      <c r="K229" s="516">
        <f t="shared" si="10"/>
        <v>0</v>
      </c>
      <c r="M229" s="138"/>
      <c r="N229" s="138"/>
      <c r="P229" s="256"/>
      <c r="Q229" s="513"/>
      <c r="R229" s="516">
        <f t="shared" si="11"/>
        <v>0</v>
      </c>
      <c r="T229" s="138"/>
      <c r="U229" s="138"/>
    </row>
    <row r="230" spans="2:21" ht="15" customHeight="1" x14ac:dyDescent="0.2">
      <c r="B230" s="256"/>
      <c r="C230" s="513"/>
      <c r="D230" s="516">
        <f t="shared" si="9"/>
        <v>0</v>
      </c>
      <c r="F230" s="138"/>
      <c r="G230" s="138"/>
      <c r="H230" s="245"/>
      <c r="I230" s="256"/>
      <c r="J230" s="513"/>
      <c r="K230" s="516">
        <f t="shared" si="10"/>
        <v>0</v>
      </c>
      <c r="M230" s="138"/>
      <c r="N230" s="138"/>
      <c r="P230" s="256"/>
      <c r="Q230" s="513"/>
      <c r="R230" s="516">
        <f t="shared" si="11"/>
        <v>0</v>
      </c>
      <c r="T230" s="138"/>
      <c r="U230" s="138"/>
    </row>
    <row r="231" spans="2:21" ht="15" customHeight="1" x14ac:dyDescent="0.2">
      <c r="B231" s="256"/>
      <c r="C231" s="513"/>
      <c r="D231" s="516">
        <f t="shared" si="9"/>
        <v>0</v>
      </c>
      <c r="F231" s="138"/>
      <c r="G231" s="138"/>
      <c r="H231" s="245"/>
      <c r="I231" s="256"/>
      <c r="J231" s="513"/>
      <c r="K231" s="516">
        <f t="shared" si="10"/>
        <v>0</v>
      </c>
      <c r="M231" s="138"/>
      <c r="N231" s="138"/>
      <c r="P231" s="256"/>
      <c r="Q231" s="513"/>
      <c r="R231" s="516">
        <f t="shared" si="11"/>
        <v>0</v>
      </c>
      <c r="T231" s="138"/>
      <c r="U231" s="138"/>
    </row>
    <row r="232" spans="2:21" ht="15" customHeight="1" x14ac:dyDescent="0.2">
      <c r="B232" s="256"/>
      <c r="C232" s="513"/>
      <c r="D232" s="516">
        <f t="shared" si="9"/>
        <v>0</v>
      </c>
      <c r="F232" s="138"/>
      <c r="G232" s="138"/>
      <c r="H232" s="245"/>
      <c r="I232" s="256"/>
      <c r="J232" s="513"/>
      <c r="K232" s="516">
        <f t="shared" si="10"/>
        <v>0</v>
      </c>
      <c r="M232" s="138"/>
      <c r="N232" s="138"/>
      <c r="P232" s="256"/>
      <c r="Q232" s="513"/>
      <c r="R232" s="516">
        <f t="shared" si="11"/>
        <v>0</v>
      </c>
      <c r="T232" s="138"/>
      <c r="U232" s="138"/>
    </row>
    <row r="233" spans="2:21" ht="15" customHeight="1" x14ac:dyDescent="0.2">
      <c r="B233" s="256"/>
      <c r="C233" s="513"/>
      <c r="D233" s="516">
        <f t="shared" si="9"/>
        <v>0</v>
      </c>
      <c r="F233" s="138"/>
      <c r="G233" s="138"/>
      <c r="H233" s="245"/>
      <c r="I233" s="256"/>
      <c r="J233" s="513"/>
      <c r="K233" s="516">
        <f t="shared" si="10"/>
        <v>0</v>
      </c>
      <c r="M233" s="138"/>
      <c r="N233" s="138"/>
      <c r="P233" s="256"/>
      <c r="Q233" s="513"/>
      <c r="R233" s="516">
        <f t="shared" si="11"/>
        <v>0</v>
      </c>
      <c r="T233" s="138"/>
      <c r="U233" s="138"/>
    </row>
    <row r="234" spans="2:21" ht="15" customHeight="1" x14ac:dyDescent="0.2">
      <c r="B234" s="256"/>
      <c r="C234" s="513"/>
      <c r="D234" s="516">
        <f t="shared" si="9"/>
        <v>0</v>
      </c>
      <c r="F234" s="138"/>
      <c r="G234" s="138"/>
      <c r="H234" s="245"/>
      <c r="I234" s="256"/>
      <c r="J234" s="513"/>
      <c r="K234" s="516">
        <f t="shared" si="10"/>
        <v>0</v>
      </c>
      <c r="M234" s="138"/>
      <c r="N234" s="138"/>
      <c r="P234" s="256"/>
      <c r="Q234" s="513"/>
      <c r="R234" s="516">
        <f t="shared" si="11"/>
        <v>0</v>
      </c>
      <c r="T234" s="138"/>
      <c r="U234" s="138"/>
    </row>
    <row r="235" spans="2:21" ht="15" customHeight="1" x14ac:dyDescent="0.2">
      <c r="B235" s="256"/>
      <c r="C235" s="513"/>
      <c r="D235" s="516">
        <f t="shared" si="9"/>
        <v>0</v>
      </c>
      <c r="F235" s="138"/>
      <c r="G235" s="138"/>
      <c r="H235" s="245"/>
      <c r="I235" s="256"/>
      <c r="J235" s="513"/>
      <c r="K235" s="516">
        <f t="shared" si="10"/>
        <v>0</v>
      </c>
      <c r="M235" s="138"/>
      <c r="N235" s="138"/>
      <c r="P235" s="256"/>
      <c r="Q235" s="513"/>
      <c r="R235" s="516">
        <f t="shared" si="11"/>
        <v>0</v>
      </c>
      <c r="T235" s="138"/>
      <c r="U235" s="138"/>
    </row>
    <row r="236" spans="2:21" ht="15" customHeight="1" x14ac:dyDescent="0.2">
      <c r="B236" s="256"/>
      <c r="C236" s="513"/>
      <c r="D236" s="516">
        <f t="shared" si="9"/>
        <v>0</v>
      </c>
      <c r="F236" s="138"/>
      <c r="G236" s="138"/>
      <c r="H236" s="245"/>
      <c r="I236" s="256"/>
      <c r="J236" s="513"/>
      <c r="K236" s="516">
        <f t="shared" si="10"/>
        <v>0</v>
      </c>
      <c r="M236" s="138"/>
      <c r="N236" s="138"/>
      <c r="P236" s="256"/>
      <c r="Q236" s="513"/>
      <c r="R236" s="516">
        <f t="shared" si="11"/>
        <v>0</v>
      </c>
      <c r="T236" s="138"/>
      <c r="U236" s="138"/>
    </row>
    <row r="237" spans="2:21" ht="15" customHeight="1" x14ac:dyDescent="0.2">
      <c r="B237" s="256"/>
      <c r="C237" s="513"/>
      <c r="D237" s="516">
        <f t="shared" si="9"/>
        <v>0</v>
      </c>
      <c r="F237" s="138"/>
      <c r="G237" s="138"/>
      <c r="H237" s="245"/>
      <c r="I237" s="256"/>
      <c r="J237" s="513"/>
      <c r="K237" s="516">
        <f t="shared" si="10"/>
        <v>0</v>
      </c>
      <c r="M237" s="138"/>
      <c r="N237" s="138"/>
      <c r="P237" s="256"/>
      <c r="Q237" s="513"/>
      <c r="R237" s="516">
        <f t="shared" si="11"/>
        <v>0</v>
      </c>
      <c r="T237" s="138"/>
      <c r="U237" s="138"/>
    </row>
    <row r="238" spans="2:21" ht="15" customHeight="1" x14ac:dyDescent="0.2">
      <c r="B238" s="256"/>
      <c r="C238" s="513"/>
      <c r="D238" s="516">
        <f t="shared" si="9"/>
        <v>0</v>
      </c>
      <c r="F238" s="138"/>
      <c r="G238" s="138"/>
      <c r="H238" s="245"/>
      <c r="I238" s="256"/>
      <c r="J238" s="513"/>
      <c r="K238" s="516">
        <f t="shared" si="10"/>
        <v>0</v>
      </c>
      <c r="M238" s="138"/>
      <c r="N238" s="138"/>
      <c r="P238" s="256"/>
      <c r="Q238" s="513"/>
      <c r="R238" s="516">
        <f t="shared" si="11"/>
        <v>0</v>
      </c>
      <c r="T238" s="138"/>
      <c r="U238" s="138"/>
    </row>
    <row r="239" spans="2:21" ht="15" customHeight="1" x14ac:dyDescent="0.2">
      <c r="B239" s="256"/>
      <c r="C239" s="513"/>
      <c r="D239" s="516">
        <f t="shared" si="9"/>
        <v>0</v>
      </c>
      <c r="F239" s="138"/>
      <c r="G239" s="138"/>
      <c r="H239" s="245"/>
      <c r="I239" s="256"/>
      <c r="J239" s="513"/>
      <c r="K239" s="516">
        <f t="shared" si="10"/>
        <v>0</v>
      </c>
      <c r="M239" s="138"/>
      <c r="N239" s="138"/>
      <c r="P239" s="256"/>
      <c r="Q239" s="513"/>
      <c r="R239" s="516">
        <f t="shared" si="11"/>
        <v>0</v>
      </c>
      <c r="T239" s="138"/>
      <c r="U239" s="138"/>
    </row>
    <row r="240" spans="2:21" ht="15" customHeight="1" x14ac:dyDescent="0.2">
      <c r="B240" s="256"/>
      <c r="C240" s="513"/>
      <c r="D240" s="516">
        <f t="shared" si="9"/>
        <v>0</v>
      </c>
      <c r="F240" s="138"/>
      <c r="G240" s="138"/>
      <c r="H240" s="245"/>
      <c r="I240" s="256"/>
      <c r="J240" s="513"/>
      <c r="K240" s="516">
        <f t="shared" si="10"/>
        <v>0</v>
      </c>
      <c r="M240" s="138"/>
      <c r="N240" s="138"/>
      <c r="P240" s="256"/>
      <c r="Q240" s="513"/>
      <c r="R240" s="516">
        <f t="shared" si="11"/>
        <v>0</v>
      </c>
      <c r="T240" s="138"/>
      <c r="U240" s="138"/>
    </row>
    <row r="241" spans="2:21" ht="15" customHeight="1" x14ac:dyDescent="0.2">
      <c r="B241" s="256"/>
      <c r="C241" s="513"/>
      <c r="D241" s="516">
        <f t="shared" si="9"/>
        <v>0</v>
      </c>
      <c r="F241" s="138"/>
      <c r="G241" s="138"/>
      <c r="H241" s="245"/>
      <c r="I241" s="256"/>
      <c r="J241" s="513"/>
      <c r="K241" s="516">
        <f t="shared" si="10"/>
        <v>0</v>
      </c>
      <c r="M241" s="138"/>
      <c r="N241" s="138"/>
      <c r="P241" s="256"/>
      <c r="Q241" s="513"/>
      <c r="R241" s="516">
        <f t="shared" si="11"/>
        <v>0</v>
      </c>
      <c r="T241" s="138"/>
      <c r="U241" s="138"/>
    </row>
    <row r="242" spans="2:21" ht="15" customHeight="1" x14ac:dyDescent="0.2">
      <c r="B242" s="256"/>
      <c r="C242" s="513"/>
      <c r="D242" s="516">
        <f t="shared" si="9"/>
        <v>0</v>
      </c>
      <c r="F242" s="138"/>
      <c r="G242" s="138"/>
      <c r="H242" s="245"/>
      <c r="I242" s="256"/>
      <c r="J242" s="513"/>
      <c r="K242" s="516">
        <f t="shared" si="10"/>
        <v>0</v>
      </c>
      <c r="M242" s="138"/>
      <c r="N242" s="138"/>
      <c r="P242" s="256"/>
      <c r="Q242" s="513"/>
      <c r="R242" s="516">
        <f t="shared" si="11"/>
        <v>0</v>
      </c>
      <c r="T242" s="138"/>
      <c r="U242" s="138"/>
    </row>
    <row r="243" spans="2:21" ht="15" customHeight="1" x14ac:dyDescent="0.2">
      <c r="B243" s="256"/>
      <c r="C243" s="513"/>
      <c r="D243" s="516">
        <f t="shared" si="9"/>
        <v>0</v>
      </c>
      <c r="F243" s="138"/>
      <c r="G243" s="138"/>
      <c r="H243" s="245"/>
      <c r="I243" s="256"/>
      <c r="J243" s="513"/>
      <c r="K243" s="516">
        <f t="shared" si="10"/>
        <v>0</v>
      </c>
      <c r="M243" s="138"/>
      <c r="N243" s="138"/>
      <c r="P243" s="256"/>
      <c r="Q243" s="513"/>
      <c r="R243" s="516">
        <f t="shared" si="11"/>
        <v>0</v>
      </c>
      <c r="T243" s="138"/>
      <c r="U243" s="138"/>
    </row>
    <row r="244" spans="2:21" ht="15" customHeight="1" x14ac:dyDescent="0.2">
      <c r="B244" s="256"/>
      <c r="C244" s="513"/>
      <c r="D244" s="516">
        <f t="shared" si="9"/>
        <v>0</v>
      </c>
      <c r="F244" s="138"/>
      <c r="G244" s="138"/>
      <c r="H244" s="245"/>
      <c r="I244" s="256"/>
      <c r="J244" s="513"/>
      <c r="K244" s="516">
        <f t="shared" si="10"/>
        <v>0</v>
      </c>
      <c r="M244" s="138"/>
      <c r="N244" s="138"/>
      <c r="P244" s="256"/>
      <c r="Q244" s="513"/>
      <c r="R244" s="516">
        <f t="shared" si="11"/>
        <v>0</v>
      </c>
      <c r="T244" s="138"/>
      <c r="U244" s="138"/>
    </row>
    <row r="245" spans="2:21" ht="15" customHeight="1" x14ac:dyDescent="0.2">
      <c r="B245" s="256"/>
      <c r="C245" s="513"/>
      <c r="D245" s="516">
        <f t="shared" si="9"/>
        <v>0</v>
      </c>
      <c r="F245" s="138"/>
      <c r="G245" s="138"/>
      <c r="H245" s="245"/>
      <c r="I245" s="256"/>
      <c r="J245" s="513"/>
      <c r="K245" s="516">
        <f t="shared" si="10"/>
        <v>0</v>
      </c>
      <c r="M245" s="138"/>
      <c r="N245" s="138"/>
      <c r="P245" s="256"/>
      <c r="Q245" s="513"/>
      <c r="R245" s="516">
        <f t="shared" si="11"/>
        <v>0</v>
      </c>
      <c r="T245" s="138"/>
      <c r="U245" s="138"/>
    </row>
    <row r="246" spans="2:21" ht="15" customHeight="1" x14ac:dyDescent="0.2">
      <c r="B246" s="256"/>
      <c r="C246" s="513"/>
      <c r="D246" s="516">
        <f t="shared" si="9"/>
        <v>0</v>
      </c>
      <c r="F246" s="138"/>
      <c r="G246" s="138"/>
      <c r="H246" s="245"/>
      <c r="I246" s="256"/>
      <c r="J246" s="513"/>
      <c r="K246" s="516">
        <f t="shared" si="10"/>
        <v>0</v>
      </c>
      <c r="M246" s="138"/>
      <c r="N246" s="138"/>
      <c r="P246" s="256"/>
      <c r="Q246" s="513"/>
      <c r="R246" s="516">
        <f t="shared" si="11"/>
        <v>0</v>
      </c>
      <c r="T246" s="138"/>
      <c r="U246" s="138"/>
    </row>
    <row r="247" spans="2:21" ht="15" customHeight="1" x14ac:dyDescent="0.2">
      <c r="B247" s="256"/>
      <c r="C247" s="513"/>
      <c r="D247" s="516">
        <f t="shared" si="9"/>
        <v>0</v>
      </c>
      <c r="F247" s="138"/>
      <c r="G247" s="138"/>
      <c r="H247" s="245"/>
      <c r="I247" s="256"/>
      <c r="J247" s="513"/>
      <c r="K247" s="516">
        <f t="shared" si="10"/>
        <v>0</v>
      </c>
      <c r="M247" s="138"/>
      <c r="N247" s="138"/>
      <c r="P247" s="256"/>
      <c r="Q247" s="513"/>
      <c r="R247" s="516">
        <f t="shared" si="11"/>
        <v>0</v>
      </c>
      <c r="T247" s="138"/>
      <c r="U247" s="138"/>
    </row>
    <row r="248" spans="2:21" ht="15" customHeight="1" x14ac:dyDescent="0.2">
      <c r="B248" s="256"/>
      <c r="C248" s="513"/>
      <c r="D248" s="516">
        <f t="shared" si="9"/>
        <v>0</v>
      </c>
      <c r="F248" s="138"/>
      <c r="G248" s="138"/>
      <c r="H248" s="245"/>
      <c r="I248" s="256"/>
      <c r="J248" s="513"/>
      <c r="K248" s="516">
        <f t="shared" si="10"/>
        <v>0</v>
      </c>
      <c r="M248" s="138"/>
      <c r="N248" s="138"/>
      <c r="P248" s="256"/>
      <c r="Q248" s="513"/>
      <c r="R248" s="516">
        <f t="shared" si="11"/>
        <v>0</v>
      </c>
      <c r="T248" s="138"/>
      <c r="U248" s="138"/>
    </row>
    <row r="249" spans="2:21" ht="15" customHeight="1" x14ac:dyDescent="0.2">
      <c r="B249" s="256"/>
      <c r="C249" s="513"/>
      <c r="D249" s="516">
        <f t="shared" si="9"/>
        <v>0</v>
      </c>
      <c r="F249" s="138"/>
      <c r="G249" s="138"/>
      <c r="H249" s="245"/>
      <c r="I249" s="256"/>
      <c r="J249" s="513"/>
      <c r="K249" s="516">
        <f t="shared" si="10"/>
        <v>0</v>
      </c>
      <c r="M249" s="138"/>
      <c r="N249" s="138"/>
      <c r="P249" s="256"/>
      <c r="Q249" s="513"/>
      <c r="R249" s="516">
        <f t="shared" si="11"/>
        <v>0</v>
      </c>
      <c r="T249" s="138"/>
      <c r="U249" s="138"/>
    </row>
    <row r="250" spans="2:21" ht="15" customHeight="1" x14ac:dyDescent="0.2">
      <c r="B250" s="256"/>
      <c r="C250" s="513"/>
      <c r="D250" s="516">
        <f t="shared" si="9"/>
        <v>0</v>
      </c>
      <c r="F250" s="138"/>
      <c r="G250" s="138"/>
      <c r="H250" s="245"/>
      <c r="I250" s="256"/>
      <c r="J250" s="513"/>
      <c r="K250" s="516">
        <f t="shared" si="10"/>
        <v>0</v>
      </c>
      <c r="M250" s="138"/>
      <c r="N250" s="138"/>
      <c r="P250" s="256"/>
      <c r="Q250" s="513"/>
      <c r="R250" s="516">
        <f t="shared" si="11"/>
        <v>0</v>
      </c>
      <c r="T250" s="138"/>
      <c r="U250" s="138"/>
    </row>
    <row r="251" spans="2:21" ht="15" customHeight="1" x14ac:dyDescent="0.2">
      <c r="B251" s="256"/>
      <c r="C251" s="513"/>
      <c r="D251" s="516">
        <f t="shared" si="9"/>
        <v>0</v>
      </c>
      <c r="F251" s="138"/>
      <c r="G251" s="138"/>
      <c r="H251" s="245"/>
      <c r="I251" s="256"/>
      <c r="J251" s="513"/>
      <c r="K251" s="516">
        <f t="shared" si="10"/>
        <v>0</v>
      </c>
      <c r="M251" s="138"/>
      <c r="N251" s="138"/>
      <c r="P251" s="256"/>
      <c r="Q251" s="513"/>
      <c r="R251" s="516">
        <f t="shared" si="11"/>
        <v>0</v>
      </c>
      <c r="T251" s="138"/>
      <c r="U251" s="138"/>
    </row>
    <row r="252" spans="2:21" ht="15" customHeight="1" x14ac:dyDescent="0.2">
      <c r="B252" s="256"/>
      <c r="C252" s="513"/>
      <c r="D252" s="516">
        <f t="shared" si="9"/>
        <v>0</v>
      </c>
      <c r="F252" s="138"/>
      <c r="G252" s="138"/>
      <c r="H252" s="245"/>
      <c r="I252" s="256"/>
      <c r="J252" s="513"/>
      <c r="K252" s="516">
        <f t="shared" si="10"/>
        <v>0</v>
      </c>
      <c r="M252" s="138"/>
      <c r="N252" s="138"/>
      <c r="P252" s="256"/>
      <c r="Q252" s="513"/>
      <c r="R252" s="516">
        <f t="shared" si="11"/>
        <v>0</v>
      </c>
      <c r="T252" s="138"/>
      <c r="U252" s="138"/>
    </row>
    <row r="253" spans="2:21" ht="15" customHeight="1" x14ac:dyDescent="0.2">
      <c r="B253" s="256"/>
      <c r="C253" s="513"/>
      <c r="D253" s="516">
        <f t="shared" si="9"/>
        <v>0</v>
      </c>
      <c r="F253" s="138"/>
      <c r="G253" s="138"/>
      <c r="H253" s="245"/>
      <c r="I253" s="256"/>
      <c r="J253" s="513"/>
      <c r="K253" s="516">
        <f t="shared" si="10"/>
        <v>0</v>
      </c>
      <c r="M253" s="138"/>
      <c r="N253" s="138"/>
      <c r="P253" s="256"/>
      <c r="Q253" s="513"/>
      <c r="R253" s="516">
        <f t="shared" si="11"/>
        <v>0</v>
      </c>
      <c r="T253" s="138"/>
      <c r="U253" s="138"/>
    </row>
    <row r="254" spans="2:21" ht="15" customHeight="1" x14ac:dyDescent="0.2">
      <c r="B254" s="256"/>
      <c r="C254" s="513"/>
      <c r="D254" s="516">
        <f t="shared" si="9"/>
        <v>0</v>
      </c>
      <c r="F254" s="138"/>
      <c r="G254" s="138"/>
      <c r="H254" s="245"/>
      <c r="I254" s="256"/>
      <c r="J254" s="513"/>
      <c r="K254" s="516">
        <f t="shared" si="10"/>
        <v>0</v>
      </c>
      <c r="M254" s="138"/>
      <c r="N254" s="138"/>
      <c r="P254" s="256"/>
      <c r="Q254" s="513"/>
      <c r="R254" s="516">
        <f t="shared" si="11"/>
        <v>0</v>
      </c>
      <c r="T254" s="138"/>
      <c r="U254" s="138"/>
    </row>
    <row r="255" spans="2:21" ht="15" customHeight="1" x14ac:dyDescent="0.2">
      <c r="B255" s="256"/>
      <c r="C255" s="513"/>
      <c r="D255" s="516">
        <f t="shared" si="9"/>
        <v>0</v>
      </c>
      <c r="F255" s="138"/>
      <c r="G255" s="138"/>
      <c r="H255" s="245"/>
      <c r="I255" s="256"/>
      <c r="J255" s="513"/>
      <c r="K255" s="516">
        <f t="shared" si="10"/>
        <v>0</v>
      </c>
      <c r="M255" s="138"/>
      <c r="N255" s="138"/>
      <c r="P255" s="256"/>
      <c r="Q255" s="513"/>
      <c r="R255" s="516">
        <f t="shared" si="11"/>
        <v>0</v>
      </c>
      <c r="T255" s="138"/>
      <c r="U255" s="138"/>
    </row>
    <row r="256" spans="2:21" ht="15" customHeight="1" x14ac:dyDescent="0.2">
      <c r="B256" s="256"/>
      <c r="C256" s="513"/>
      <c r="D256" s="516">
        <f t="shared" si="9"/>
        <v>0</v>
      </c>
      <c r="F256" s="138"/>
      <c r="G256" s="138"/>
      <c r="H256" s="245"/>
      <c r="I256" s="256"/>
      <c r="J256" s="513"/>
      <c r="K256" s="516">
        <f t="shared" si="10"/>
        <v>0</v>
      </c>
      <c r="M256" s="138"/>
      <c r="N256" s="138"/>
      <c r="P256" s="256"/>
      <c r="Q256" s="513"/>
      <c r="R256" s="516">
        <f t="shared" si="11"/>
        <v>0</v>
      </c>
      <c r="T256" s="138"/>
      <c r="U256" s="138"/>
    </row>
    <row r="257" spans="2:21" ht="15" customHeight="1" x14ac:dyDescent="0.2">
      <c r="B257" s="256"/>
      <c r="C257" s="513"/>
      <c r="D257" s="516">
        <f t="shared" si="9"/>
        <v>0</v>
      </c>
      <c r="F257" s="138"/>
      <c r="G257" s="138"/>
      <c r="H257" s="245"/>
      <c r="I257" s="256"/>
      <c r="J257" s="513"/>
      <c r="K257" s="516">
        <f t="shared" si="10"/>
        <v>0</v>
      </c>
      <c r="M257" s="138"/>
      <c r="N257" s="138"/>
      <c r="P257" s="256"/>
      <c r="Q257" s="513"/>
      <c r="R257" s="516">
        <f t="shared" si="11"/>
        <v>0</v>
      </c>
      <c r="T257" s="138"/>
      <c r="U257" s="138"/>
    </row>
    <row r="258" spans="2:21" ht="15" customHeight="1" x14ac:dyDescent="0.2">
      <c r="B258" s="256"/>
      <c r="C258" s="513"/>
      <c r="D258" s="516">
        <f t="shared" si="9"/>
        <v>0</v>
      </c>
      <c r="F258" s="138"/>
      <c r="G258" s="138"/>
      <c r="H258" s="245"/>
      <c r="I258" s="256"/>
      <c r="J258" s="513"/>
      <c r="K258" s="516">
        <f t="shared" si="10"/>
        <v>0</v>
      </c>
      <c r="M258" s="138"/>
      <c r="N258" s="138"/>
      <c r="P258" s="256"/>
      <c r="Q258" s="513"/>
      <c r="R258" s="516">
        <f t="shared" si="11"/>
        <v>0</v>
      </c>
      <c r="T258" s="138"/>
      <c r="U258" s="138"/>
    </row>
    <row r="259" spans="2:21" ht="15" customHeight="1" x14ac:dyDescent="0.2">
      <c r="B259" s="256"/>
      <c r="C259" s="513"/>
      <c r="D259" s="516">
        <f t="shared" si="9"/>
        <v>0</v>
      </c>
      <c r="F259" s="138"/>
      <c r="G259" s="138"/>
      <c r="H259" s="245"/>
      <c r="I259" s="256"/>
      <c r="J259" s="513"/>
      <c r="K259" s="516">
        <f t="shared" si="10"/>
        <v>0</v>
      </c>
      <c r="M259" s="138"/>
      <c r="N259" s="138"/>
      <c r="P259" s="256"/>
      <c r="Q259" s="513"/>
      <c r="R259" s="516">
        <f t="shared" si="11"/>
        <v>0</v>
      </c>
      <c r="T259" s="138"/>
      <c r="U259" s="138"/>
    </row>
    <row r="260" spans="2:21" ht="15" customHeight="1" x14ac:dyDescent="0.2">
      <c r="B260" s="256"/>
      <c r="C260" s="513"/>
      <c r="D260" s="516">
        <f t="shared" si="9"/>
        <v>0</v>
      </c>
      <c r="F260" s="138"/>
      <c r="G260" s="138"/>
      <c r="H260" s="245"/>
      <c r="I260" s="256"/>
      <c r="J260" s="513"/>
      <c r="K260" s="516">
        <f t="shared" si="10"/>
        <v>0</v>
      </c>
      <c r="M260" s="138"/>
      <c r="N260" s="138"/>
      <c r="P260" s="256"/>
      <c r="Q260" s="513"/>
      <c r="R260" s="516">
        <f t="shared" si="11"/>
        <v>0</v>
      </c>
      <c r="T260" s="138"/>
      <c r="U260" s="138"/>
    </row>
    <row r="261" spans="2:21" ht="15" customHeight="1" x14ac:dyDescent="0.2">
      <c r="B261" s="256"/>
      <c r="C261" s="513"/>
      <c r="D261" s="516">
        <f t="shared" si="9"/>
        <v>0</v>
      </c>
      <c r="F261" s="138"/>
      <c r="G261" s="138"/>
      <c r="H261" s="245"/>
      <c r="I261" s="256"/>
      <c r="J261" s="513"/>
      <c r="K261" s="516">
        <f t="shared" si="10"/>
        <v>0</v>
      </c>
      <c r="M261" s="138"/>
      <c r="N261" s="138"/>
      <c r="P261" s="256"/>
      <c r="Q261" s="513"/>
      <c r="R261" s="516">
        <f t="shared" si="11"/>
        <v>0</v>
      </c>
      <c r="T261" s="138"/>
      <c r="U261" s="138"/>
    </row>
    <row r="262" spans="2:21" ht="15" customHeight="1" x14ac:dyDescent="0.2">
      <c r="B262" s="256"/>
      <c r="C262" s="513"/>
      <c r="D262" s="516">
        <f t="shared" si="9"/>
        <v>0</v>
      </c>
      <c r="F262" s="138"/>
      <c r="G262" s="138"/>
      <c r="H262" s="245"/>
      <c r="I262" s="256"/>
      <c r="J262" s="513"/>
      <c r="K262" s="516">
        <f t="shared" si="10"/>
        <v>0</v>
      </c>
      <c r="M262" s="138"/>
      <c r="N262" s="138"/>
      <c r="P262" s="256"/>
      <c r="Q262" s="513"/>
      <c r="R262" s="516">
        <f t="shared" si="11"/>
        <v>0</v>
      </c>
      <c r="T262" s="138"/>
      <c r="U262" s="138"/>
    </row>
    <row r="263" spans="2:21" ht="15" customHeight="1" x14ac:dyDescent="0.2">
      <c r="B263" s="256"/>
      <c r="C263" s="513"/>
      <c r="D263" s="516">
        <f t="shared" si="9"/>
        <v>0</v>
      </c>
      <c r="F263" s="138"/>
      <c r="G263" s="138"/>
      <c r="H263" s="245"/>
      <c r="I263" s="256"/>
      <c r="J263" s="513"/>
      <c r="K263" s="516">
        <f t="shared" si="10"/>
        <v>0</v>
      </c>
      <c r="M263" s="138"/>
      <c r="N263" s="138"/>
      <c r="P263" s="256"/>
      <c r="Q263" s="513"/>
      <c r="R263" s="516">
        <f t="shared" si="11"/>
        <v>0</v>
      </c>
      <c r="T263" s="138"/>
      <c r="U263" s="138"/>
    </row>
    <row r="264" spans="2:21" ht="15" customHeight="1" x14ac:dyDescent="0.2">
      <c r="B264" s="256"/>
      <c r="C264" s="513"/>
      <c r="D264" s="516">
        <f t="shared" si="9"/>
        <v>0</v>
      </c>
      <c r="F264" s="138"/>
      <c r="G264" s="138"/>
      <c r="H264" s="245"/>
      <c r="I264" s="256"/>
      <c r="J264" s="513"/>
      <c r="K264" s="516">
        <f t="shared" si="10"/>
        <v>0</v>
      </c>
      <c r="M264" s="138"/>
      <c r="N264" s="138"/>
      <c r="P264" s="256"/>
      <c r="Q264" s="513"/>
      <c r="R264" s="516">
        <f t="shared" si="11"/>
        <v>0</v>
      </c>
      <c r="T264" s="138"/>
      <c r="U264" s="138"/>
    </row>
    <row r="265" spans="2:21" ht="15" customHeight="1" x14ac:dyDescent="0.2">
      <c r="B265" s="256"/>
      <c r="C265" s="513"/>
      <c r="D265" s="516">
        <f t="shared" si="9"/>
        <v>0</v>
      </c>
      <c r="F265" s="138"/>
      <c r="G265" s="138"/>
      <c r="H265" s="245"/>
      <c r="I265" s="256"/>
      <c r="J265" s="513"/>
      <c r="K265" s="516">
        <f t="shared" si="10"/>
        <v>0</v>
      </c>
      <c r="M265" s="138"/>
      <c r="N265" s="138"/>
      <c r="P265" s="256"/>
      <c r="Q265" s="513"/>
      <c r="R265" s="516">
        <f t="shared" si="11"/>
        <v>0</v>
      </c>
      <c r="T265" s="138"/>
      <c r="U265" s="138"/>
    </row>
    <row r="266" spans="2:21" ht="15" customHeight="1" x14ac:dyDescent="0.2">
      <c r="B266" s="256"/>
      <c r="C266" s="513"/>
      <c r="D266" s="516">
        <f t="shared" si="9"/>
        <v>0</v>
      </c>
      <c r="F266" s="138"/>
      <c r="G266" s="138"/>
      <c r="H266" s="245"/>
      <c r="I266" s="256"/>
      <c r="J266" s="513"/>
      <c r="K266" s="516">
        <f t="shared" si="10"/>
        <v>0</v>
      </c>
      <c r="M266" s="138"/>
      <c r="N266" s="138"/>
      <c r="P266" s="256"/>
      <c r="Q266" s="513"/>
      <c r="R266" s="516">
        <f t="shared" si="11"/>
        <v>0</v>
      </c>
      <c r="T266" s="138"/>
      <c r="U266" s="138"/>
    </row>
    <row r="267" spans="2:21" ht="15" customHeight="1" x14ac:dyDescent="0.2">
      <c r="B267" s="256"/>
      <c r="C267" s="513"/>
      <c r="D267" s="516">
        <f t="shared" si="9"/>
        <v>0</v>
      </c>
      <c r="F267" s="138"/>
      <c r="G267" s="138"/>
      <c r="H267" s="245"/>
      <c r="I267" s="256"/>
      <c r="J267" s="513"/>
      <c r="K267" s="516">
        <f t="shared" si="10"/>
        <v>0</v>
      </c>
      <c r="M267" s="138"/>
      <c r="N267" s="138"/>
      <c r="P267" s="256"/>
      <c r="Q267" s="513"/>
      <c r="R267" s="516">
        <f t="shared" si="11"/>
        <v>0</v>
      </c>
      <c r="T267" s="138"/>
      <c r="U267" s="138"/>
    </row>
    <row r="268" spans="2:21" ht="15" customHeight="1" x14ac:dyDescent="0.2">
      <c r="B268" s="256"/>
      <c r="C268" s="513"/>
      <c r="D268" s="516">
        <f t="shared" si="9"/>
        <v>0</v>
      </c>
      <c r="F268" s="138"/>
      <c r="G268" s="138"/>
      <c r="H268" s="245"/>
      <c r="I268" s="256"/>
      <c r="J268" s="513"/>
      <c r="K268" s="516">
        <f t="shared" si="10"/>
        <v>0</v>
      </c>
      <c r="M268" s="138"/>
      <c r="N268" s="138"/>
      <c r="P268" s="256"/>
      <c r="Q268" s="513"/>
      <c r="R268" s="516">
        <f t="shared" si="11"/>
        <v>0</v>
      </c>
      <c r="T268" s="138"/>
      <c r="U268" s="138"/>
    </row>
    <row r="269" spans="2:21" ht="15" customHeight="1" x14ac:dyDescent="0.2">
      <c r="B269" s="256"/>
      <c r="C269" s="513"/>
      <c r="D269" s="516">
        <f t="shared" si="9"/>
        <v>0</v>
      </c>
      <c r="F269" s="138"/>
      <c r="G269" s="138"/>
      <c r="H269" s="245"/>
      <c r="I269" s="256"/>
      <c r="J269" s="513"/>
      <c r="K269" s="516">
        <f t="shared" si="10"/>
        <v>0</v>
      </c>
      <c r="M269" s="138"/>
      <c r="N269" s="138"/>
      <c r="P269" s="256"/>
      <c r="Q269" s="513"/>
      <c r="R269" s="516">
        <f t="shared" si="11"/>
        <v>0</v>
      </c>
      <c r="T269" s="138"/>
      <c r="U269" s="138"/>
    </row>
    <row r="270" spans="2:21" ht="15" customHeight="1" x14ac:dyDescent="0.2">
      <c r="B270" s="256"/>
      <c r="C270" s="513"/>
      <c r="D270" s="516">
        <f t="shared" si="9"/>
        <v>0</v>
      </c>
      <c r="F270" s="138"/>
      <c r="G270" s="138"/>
      <c r="H270" s="245"/>
      <c r="I270" s="256"/>
      <c r="J270" s="513"/>
      <c r="K270" s="516">
        <f t="shared" si="10"/>
        <v>0</v>
      </c>
      <c r="M270" s="138"/>
      <c r="N270" s="138"/>
      <c r="P270" s="256"/>
      <c r="Q270" s="513"/>
      <c r="R270" s="516">
        <f t="shared" si="11"/>
        <v>0</v>
      </c>
      <c r="T270" s="138"/>
      <c r="U270" s="138"/>
    </row>
    <row r="271" spans="2:21" ht="15" customHeight="1" x14ac:dyDescent="0.2">
      <c r="B271" s="256"/>
      <c r="C271" s="513"/>
      <c r="D271" s="516">
        <f t="shared" si="9"/>
        <v>0</v>
      </c>
      <c r="F271" s="138"/>
      <c r="G271" s="138"/>
      <c r="I271" s="256"/>
      <c r="J271" s="513"/>
      <c r="K271" s="516">
        <f t="shared" si="10"/>
        <v>0</v>
      </c>
      <c r="M271" s="138"/>
      <c r="N271" s="138"/>
      <c r="P271" s="256"/>
      <c r="Q271" s="513"/>
      <c r="R271" s="516">
        <f t="shared" si="11"/>
        <v>0</v>
      </c>
      <c r="T271" s="138"/>
      <c r="U271" s="138"/>
    </row>
    <row r="272" spans="2:21" ht="15" customHeight="1" x14ac:dyDescent="0.2">
      <c r="B272" s="256"/>
      <c r="C272" s="513"/>
      <c r="D272" s="516">
        <f t="shared" si="9"/>
        <v>0</v>
      </c>
      <c r="F272" s="138"/>
      <c r="G272" s="138"/>
      <c r="I272" s="256"/>
      <c r="J272" s="513"/>
      <c r="K272" s="516">
        <f t="shared" si="10"/>
        <v>0</v>
      </c>
      <c r="M272" s="138"/>
      <c r="N272" s="138"/>
      <c r="P272" s="256"/>
      <c r="Q272" s="513"/>
      <c r="R272" s="516">
        <f t="shared" si="11"/>
        <v>0</v>
      </c>
      <c r="T272" s="138"/>
      <c r="U272" s="138"/>
    </row>
    <row r="273" spans="2:21" ht="15" customHeight="1" x14ac:dyDescent="0.2">
      <c r="B273" s="256"/>
      <c r="C273" s="513"/>
      <c r="D273" s="516">
        <f t="shared" si="9"/>
        <v>0</v>
      </c>
      <c r="F273" s="138"/>
      <c r="G273" s="138"/>
      <c r="I273" s="256"/>
      <c r="J273" s="513"/>
      <c r="K273" s="516">
        <f t="shared" si="10"/>
        <v>0</v>
      </c>
      <c r="M273" s="138"/>
      <c r="N273" s="138"/>
      <c r="P273" s="256"/>
      <c r="Q273" s="513"/>
      <c r="R273" s="516">
        <f t="shared" si="11"/>
        <v>0</v>
      </c>
      <c r="T273" s="138"/>
      <c r="U273" s="138"/>
    </row>
    <row r="274" spans="2:21" ht="15" customHeight="1" x14ac:dyDescent="0.2">
      <c r="B274" s="256"/>
      <c r="C274" s="513"/>
      <c r="D274" s="516">
        <f t="shared" ref="D274:D337" si="12">C274/1000</f>
        <v>0</v>
      </c>
      <c r="F274" s="138"/>
      <c r="G274" s="138"/>
      <c r="I274" s="256"/>
      <c r="J274" s="513"/>
      <c r="K274" s="516">
        <f t="shared" ref="K274:K337" si="13">J274/1000</f>
        <v>0</v>
      </c>
      <c r="M274" s="138"/>
      <c r="N274" s="138"/>
      <c r="P274" s="256"/>
      <c r="Q274" s="513"/>
      <c r="R274" s="516">
        <f t="shared" ref="R274:R337" si="14">Q274/1000</f>
        <v>0</v>
      </c>
      <c r="T274" s="138"/>
      <c r="U274" s="138"/>
    </row>
    <row r="275" spans="2:21" ht="15" customHeight="1" x14ac:dyDescent="0.2">
      <c r="B275" s="256"/>
      <c r="C275" s="513"/>
      <c r="D275" s="516">
        <f t="shared" si="12"/>
        <v>0</v>
      </c>
      <c r="F275" s="138"/>
      <c r="G275" s="138"/>
      <c r="I275" s="256"/>
      <c r="J275" s="513"/>
      <c r="K275" s="516">
        <f t="shared" si="13"/>
        <v>0</v>
      </c>
      <c r="M275" s="138"/>
      <c r="N275" s="138"/>
      <c r="P275" s="256"/>
      <c r="Q275" s="513"/>
      <c r="R275" s="516">
        <f t="shared" si="14"/>
        <v>0</v>
      </c>
      <c r="T275" s="138"/>
      <c r="U275" s="138"/>
    </row>
    <row r="276" spans="2:21" ht="15" customHeight="1" x14ac:dyDescent="0.2">
      <c r="B276" s="256"/>
      <c r="C276" s="513"/>
      <c r="D276" s="516">
        <f t="shared" si="12"/>
        <v>0</v>
      </c>
      <c r="F276" s="138"/>
      <c r="G276" s="138"/>
      <c r="I276" s="256"/>
      <c r="J276" s="513"/>
      <c r="K276" s="516">
        <f t="shared" si="13"/>
        <v>0</v>
      </c>
      <c r="M276" s="138"/>
      <c r="N276" s="138"/>
      <c r="P276" s="256"/>
      <c r="Q276" s="513"/>
      <c r="R276" s="516">
        <f t="shared" si="14"/>
        <v>0</v>
      </c>
      <c r="T276" s="138"/>
      <c r="U276" s="138"/>
    </row>
    <row r="277" spans="2:21" ht="15" customHeight="1" x14ac:dyDescent="0.2">
      <c r="B277" s="256"/>
      <c r="C277" s="513"/>
      <c r="D277" s="516">
        <f t="shared" si="12"/>
        <v>0</v>
      </c>
      <c r="F277" s="138"/>
      <c r="G277" s="138"/>
      <c r="I277" s="256"/>
      <c r="J277" s="513"/>
      <c r="K277" s="516">
        <f t="shared" si="13"/>
        <v>0</v>
      </c>
      <c r="M277" s="138"/>
      <c r="N277" s="138"/>
      <c r="P277" s="256"/>
      <c r="Q277" s="513"/>
      <c r="R277" s="516">
        <f t="shared" si="14"/>
        <v>0</v>
      </c>
      <c r="T277" s="138"/>
      <c r="U277" s="138"/>
    </row>
    <row r="278" spans="2:21" ht="15" customHeight="1" x14ac:dyDescent="0.2">
      <c r="B278" s="256"/>
      <c r="C278" s="513"/>
      <c r="D278" s="516">
        <f t="shared" si="12"/>
        <v>0</v>
      </c>
      <c r="F278" s="138"/>
      <c r="G278" s="138"/>
      <c r="I278" s="256"/>
      <c r="J278" s="513"/>
      <c r="K278" s="516">
        <f t="shared" si="13"/>
        <v>0</v>
      </c>
      <c r="M278" s="138"/>
      <c r="N278" s="138"/>
      <c r="P278" s="256"/>
      <c r="Q278" s="513"/>
      <c r="R278" s="516">
        <f t="shared" si="14"/>
        <v>0</v>
      </c>
      <c r="T278" s="138"/>
      <c r="U278" s="138"/>
    </row>
    <row r="279" spans="2:21" ht="15" customHeight="1" x14ac:dyDescent="0.2">
      <c r="B279" s="256"/>
      <c r="C279" s="513"/>
      <c r="D279" s="516">
        <f t="shared" si="12"/>
        <v>0</v>
      </c>
      <c r="F279" s="138"/>
      <c r="G279" s="138"/>
      <c r="I279" s="256"/>
      <c r="J279" s="513"/>
      <c r="K279" s="516">
        <f t="shared" si="13"/>
        <v>0</v>
      </c>
      <c r="M279" s="138"/>
      <c r="N279" s="138"/>
      <c r="P279" s="256"/>
      <c r="Q279" s="513"/>
      <c r="R279" s="516">
        <f t="shared" si="14"/>
        <v>0</v>
      </c>
      <c r="T279" s="138"/>
      <c r="U279" s="138"/>
    </row>
    <row r="280" spans="2:21" ht="15" customHeight="1" x14ac:dyDescent="0.2">
      <c r="B280" s="256"/>
      <c r="C280" s="513"/>
      <c r="D280" s="516">
        <f t="shared" si="12"/>
        <v>0</v>
      </c>
      <c r="F280" s="138"/>
      <c r="G280" s="138"/>
      <c r="I280" s="256"/>
      <c r="J280" s="513"/>
      <c r="K280" s="516">
        <f t="shared" si="13"/>
        <v>0</v>
      </c>
      <c r="M280" s="138"/>
      <c r="N280" s="138"/>
      <c r="P280" s="256"/>
      <c r="Q280" s="513"/>
      <c r="R280" s="516">
        <f t="shared" si="14"/>
        <v>0</v>
      </c>
      <c r="T280" s="138"/>
      <c r="U280" s="138"/>
    </row>
    <row r="281" spans="2:21" ht="15" customHeight="1" x14ac:dyDescent="0.2">
      <c r="B281" s="256"/>
      <c r="C281" s="513"/>
      <c r="D281" s="516">
        <f t="shared" si="12"/>
        <v>0</v>
      </c>
      <c r="F281" s="138"/>
      <c r="G281" s="138"/>
      <c r="I281" s="256"/>
      <c r="J281" s="513"/>
      <c r="K281" s="516">
        <f t="shared" si="13"/>
        <v>0</v>
      </c>
      <c r="M281" s="138"/>
      <c r="N281" s="138"/>
      <c r="P281" s="256"/>
      <c r="Q281" s="513"/>
      <c r="R281" s="516">
        <f t="shared" si="14"/>
        <v>0</v>
      </c>
      <c r="T281" s="138"/>
      <c r="U281" s="138"/>
    </row>
    <row r="282" spans="2:21" ht="15" customHeight="1" x14ac:dyDescent="0.2">
      <c r="B282" s="256"/>
      <c r="C282" s="513"/>
      <c r="D282" s="516">
        <f t="shared" si="12"/>
        <v>0</v>
      </c>
      <c r="F282" s="138"/>
      <c r="G282" s="138"/>
      <c r="I282" s="256"/>
      <c r="J282" s="513"/>
      <c r="K282" s="516">
        <f t="shared" si="13"/>
        <v>0</v>
      </c>
      <c r="M282" s="138"/>
      <c r="N282" s="138"/>
      <c r="P282" s="256"/>
      <c r="Q282" s="513"/>
      <c r="R282" s="516">
        <f t="shared" si="14"/>
        <v>0</v>
      </c>
      <c r="T282" s="138"/>
      <c r="U282" s="138"/>
    </row>
    <row r="283" spans="2:21" ht="15" customHeight="1" x14ac:dyDescent="0.2">
      <c r="B283" s="256"/>
      <c r="C283" s="513"/>
      <c r="D283" s="516">
        <f t="shared" si="12"/>
        <v>0</v>
      </c>
      <c r="F283" s="138"/>
      <c r="G283" s="138"/>
      <c r="I283" s="256"/>
      <c r="J283" s="513"/>
      <c r="K283" s="516">
        <f t="shared" si="13"/>
        <v>0</v>
      </c>
      <c r="M283" s="138"/>
      <c r="N283" s="138"/>
      <c r="P283" s="256"/>
      <c r="Q283" s="513"/>
      <c r="R283" s="516">
        <f t="shared" si="14"/>
        <v>0</v>
      </c>
      <c r="T283" s="138"/>
      <c r="U283" s="138"/>
    </row>
    <row r="284" spans="2:21" ht="15" customHeight="1" x14ac:dyDescent="0.2">
      <c r="B284" s="256"/>
      <c r="C284" s="513"/>
      <c r="D284" s="516">
        <f t="shared" si="12"/>
        <v>0</v>
      </c>
      <c r="F284" s="138"/>
      <c r="G284" s="138"/>
      <c r="I284" s="256"/>
      <c r="J284" s="513"/>
      <c r="K284" s="516">
        <f t="shared" si="13"/>
        <v>0</v>
      </c>
      <c r="M284" s="138"/>
      <c r="N284" s="138"/>
      <c r="P284" s="256"/>
      <c r="Q284" s="513"/>
      <c r="R284" s="516">
        <f t="shared" si="14"/>
        <v>0</v>
      </c>
      <c r="T284" s="138"/>
      <c r="U284" s="138"/>
    </row>
    <row r="285" spans="2:21" ht="15" customHeight="1" x14ac:dyDescent="0.2">
      <c r="B285" s="256"/>
      <c r="C285" s="513"/>
      <c r="D285" s="516">
        <f t="shared" si="12"/>
        <v>0</v>
      </c>
      <c r="F285" s="138"/>
      <c r="G285" s="138"/>
      <c r="I285" s="256"/>
      <c r="J285" s="513"/>
      <c r="K285" s="516">
        <f t="shared" si="13"/>
        <v>0</v>
      </c>
      <c r="M285" s="138"/>
      <c r="N285" s="138"/>
      <c r="P285" s="256"/>
      <c r="Q285" s="513"/>
      <c r="R285" s="516">
        <f t="shared" si="14"/>
        <v>0</v>
      </c>
      <c r="T285" s="138"/>
      <c r="U285" s="138"/>
    </row>
    <row r="286" spans="2:21" ht="15" customHeight="1" x14ac:dyDescent="0.2">
      <c r="B286" s="256"/>
      <c r="C286" s="513"/>
      <c r="D286" s="516">
        <f t="shared" si="12"/>
        <v>0</v>
      </c>
      <c r="F286" s="138"/>
      <c r="G286" s="138"/>
      <c r="I286" s="256"/>
      <c r="J286" s="513"/>
      <c r="K286" s="516">
        <f t="shared" si="13"/>
        <v>0</v>
      </c>
      <c r="M286" s="138"/>
      <c r="N286" s="138"/>
      <c r="P286" s="256"/>
      <c r="Q286" s="513"/>
      <c r="R286" s="516">
        <f t="shared" si="14"/>
        <v>0</v>
      </c>
      <c r="T286" s="138"/>
      <c r="U286" s="138"/>
    </row>
    <row r="287" spans="2:21" ht="15" customHeight="1" x14ac:dyDescent="0.2">
      <c r="B287" s="256"/>
      <c r="C287" s="513"/>
      <c r="D287" s="516">
        <f t="shared" si="12"/>
        <v>0</v>
      </c>
      <c r="F287" s="138"/>
      <c r="G287" s="138"/>
      <c r="I287" s="256"/>
      <c r="J287" s="513"/>
      <c r="K287" s="516">
        <f t="shared" si="13"/>
        <v>0</v>
      </c>
      <c r="M287" s="138"/>
      <c r="N287" s="138"/>
      <c r="P287" s="256"/>
      <c r="Q287" s="513"/>
      <c r="R287" s="516">
        <f t="shared" si="14"/>
        <v>0</v>
      </c>
      <c r="T287" s="138"/>
      <c r="U287" s="138"/>
    </row>
    <row r="288" spans="2:21" ht="15" customHeight="1" x14ac:dyDescent="0.2">
      <c r="B288" s="256"/>
      <c r="C288" s="513"/>
      <c r="D288" s="516">
        <f t="shared" si="12"/>
        <v>0</v>
      </c>
      <c r="F288" s="138"/>
      <c r="G288" s="138"/>
      <c r="I288" s="256"/>
      <c r="J288" s="513"/>
      <c r="K288" s="516">
        <f t="shared" si="13"/>
        <v>0</v>
      </c>
      <c r="M288" s="138"/>
      <c r="N288" s="138"/>
      <c r="P288" s="256"/>
      <c r="Q288" s="513"/>
      <c r="R288" s="516">
        <f t="shared" si="14"/>
        <v>0</v>
      </c>
      <c r="T288" s="138"/>
      <c r="U288" s="138"/>
    </row>
    <row r="289" spans="2:21" ht="15" customHeight="1" x14ac:dyDescent="0.2">
      <c r="B289" s="256"/>
      <c r="C289" s="513"/>
      <c r="D289" s="516">
        <f t="shared" si="12"/>
        <v>0</v>
      </c>
      <c r="F289" s="138"/>
      <c r="G289" s="138"/>
      <c r="I289" s="256"/>
      <c r="J289" s="513"/>
      <c r="K289" s="516">
        <f t="shared" si="13"/>
        <v>0</v>
      </c>
      <c r="M289" s="138"/>
      <c r="N289" s="138"/>
      <c r="P289" s="256"/>
      <c r="Q289" s="513"/>
      <c r="R289" s="516">
        <f t="shared" si="14"/>
        <v>0</v>
      </c>
      <c r="T289" s="138"/>
      <c r="U289" s="138"/>
    </row>
    <row r="290" spans="2:21" ht="15" customHeight="1" x14ac:dyDescent="0.2">
      <c r="B290" s="256"/>
      <c r="C290" s="513"/>
      <c r="D290" s="516">
        <f t="shared" si="12"/>
        <v>0</v>
      </c>
      <c r="F290" s="138"/>
      <c r="G290" s="138"/>
      <c r="I290" s="256"/>
      <c r="J290" s="513"/>
      <c r="K290" s="516">
        <f t="shared" si="13"/>
        <v>0</v>
      </c>
      <c r="M290" s="138"/>
      <c r="N290" s="138"/>
      <c r="P290" s="256"/>
      <c r="Q290" s="513"/>
      <c r="R290" s="516">
        <f t="shared" si="14"/>
        <v>0</v>
      </c>
      <c r="T290" s="138"/>
      <c r="U290" s="138"/>
    </row>
    <row r="291" spans="2:21" ht="15" customHeight="1" x14ac:dyDescent="0.2">
      <c r="B291" s="256"/>
      <c r="C291" s="513"/>
      <c r="D291" s="516">
        <f t="shared" si="12"/>
        <v>0</v>
      </c>
      <c r="F291" s="138"/>
      <c r="G291" s="138"/>
      <c r="I291" s="256"/>
      <c r="J291" s="513"/>
      <c r="K291" s="516">
        <f t="shared" si="13"/>
        <v>0</v>
      </c>
      <c r="M291" s="138"/>
      <c r="N291" s="138"/>
      <c r="P291" s="256"/>
      <c r="Q291" s="513"/>
      <c r="R291" s="516">
        <f t="shared" si="14"/>
        <v>0</v>
      </c>
      <c r="T291" s="138"/>
      <c r="U291" s="138"/>
    </row>
    <row r="292" spans="2:21" ht="15" customHeight="1" x14ac:dyDescent="0.2">
      <c r="B292" s="256"/>
      <c r="C292" s="513"/>
      <c r="D292" s="516">
        <f t="shared" si="12"/>
        <v>0</v>
      </c>
      <c r="F292" s="138"/>
      <c r="G292" s="138"/>
      <c r="I292" s="256"/>
      <c r="J292" s="513"/>
      <c r="K292" s="516">
        <f t="shared" si="13"/>
        <v>0</v>
      </c>
      <c r="M292" s="138"/>
      <c r="N292" s="138"/>
      <c r="P292" s="256"/>
      <c r="Q292" s="513"/>
      <c r="R292" s="516">
        <f t="shared" si="14"/>
        <v>0</v>
      </c>
      <c r="T292" s="138"/>
      <c r="U292" s="138"/>
    </row>
    <row r="293" spans="2:21" ht="15" customHeight="1" x14ac:dyDescent="0.2">
      <c r="B293" s="256"/>
      <c r="C293" s="513"/>
      <c r="D293" s="516">
        <f t="shared" si="12"/>
        <v>0</v>
      </c>
      <c r="F293" s="138"/>
      <c r="G293" s="138"/>
      <c r="I293" s="256"/>
      <c r="J293" s="513"/>
      <c r="K293" s="516">
        <f t="shared" si="13"/>
        <v>0</v>
      </c>
      <c r="M293" s="138"/>
      <c r="N293" s="138"/>
      <c r="P293" s="256"/>
      <c r="Q293" s="513"/>
      <c r="R293" s="516">
        <f t="shared" si="14"/>
        <v>0</v>
      </c>
      <c r="T293" s="138"/>
      <c r="U293" s="138"/>
    </row>
    <row r="294" spans="2:21" ht="15" customHeight="1" x14ac:dyDescent="0.2">
      <c r="B294" s="256"/>
      <c r="C294" s="513"/>
      <c r="D294" s="516">
        <f t="shared" si="12"/>
        <v>0</v>
      </c>
      <c r="F294" s="138"/>
      <c r="G294" s="138"/>
      <c r="I294" s="256"/>
      <c r="J294" s="513"/>
      <c r="K294" s="516">
        <f t="shared" si="13"/>
        <v>0</v>
      </c>
      <c r="M294" s="138"/>
      <c r="N294" s="138"/>
      <c r="P294" s="256"/>
      <c r="Q294" s="513"/>
      <c r="R294" s="516">
        <f t="shared" si="14"/>
        <v>0</v>
      </c>
      <c r="T294" s="138"/>
      <c r="U294" s="138"/>
    </row>
    <row r="295" spans="2:21" ht="15" customHeight="1" x14ac:dyDescent="0.2">
      <c r="B295" s="256"/>
      <c r="C295" s="513"/>
      <c r="D295" s="516">
        <f t="shared" si="12"/>
        <v>0</v>
      </c>
      <c r="F295" s="138"/>
      <c r="G295" s="138"/>
      <c r="I295" s="256"/>
      <c r="J295" s="513"/>
      <c r="K295" s="516">
        <f t="shared" si="13"/>
        <v>0</v>
      </c>
      <c r="M295" s="138"/>
      <c r="N295" s="138"/>
      <c r="P295" s="256"/>
      <c r="Q295" s="513"/>
      <c r="R295" s="516">
        <f t="shared" si="14"/>
        <v>0</v>
      </c>
      <c r="T295" s="138"/>
      <c r="U295" s="138"/>
    </row>
    <row r="296" spans="2:21" ht="15" customHeight="1" x14ac:dyDescent="0.2">
      <c r="B296" s="256"/>
      <c r="C296" s="513"/>
      <c r="D296" s="516">
        <f t="shared" si="12"/>
        <v>0</v>
      </c>
      <c r="F296" s="138"/>
      <c r="G296" s="138"/>
      <c r="I296" s="256"/>
      <c r="J296" s="513"/>
      <c r="K296" s="516">
        <f t="shared" si="13"/>
        <v>0</v>
      </c>
      <c r="M296" s="138"/>
      <c r="N296" s="138"/>
      <c r="P296" s="256"/>
      <c r="Q296" s="513"/>
      <c r="R296" s="516">
        <f t="shared" si="14"/>
        <v>0</v>
      </c>
      <c r="T296" s="138"/>
      <c r="U296" s="138"/>
    </row>
    <row r="297" spans="2:21" ht="15" customHeight="1" x14ac:dyDescent="0.2">
      <c r="B297" s="256"/>
      <c r="C297" s="513"/>
      <c r="D297" s="516">
        <f t="shared" si="12"/>
        <v>0</v>
      </c>
      <c r="F297" s="138"/>
      <c r="G297" s="138"/>
      <c r="I297" s="256"/>
      <c r="J297" s="513"/>
      <c r="K297" s="516">
        <f t="shared" si="13"/>
        <v>0</v>
      </c>
      <c r="M297" s="138"/>
      <c r="N297" s="138"/>
      <c r="P297" s="256"/>
      <c r="Q297" s="513"/>
      <c r="R297" s="516">
        <f t="shared" si="14"/>
        <v>0</v>
      </c>
      <c r="T297" s="138"/>
      <c r="U297" s="138"/>
    </row>
    <row r="298" spans="2:21" ht="15" customHeight="1" x14ac:dyDescent="0.2">
      <c r="B298" s="256"/>
      <c r="C298" s="513"/>
      <c r="D298" s="516">
        <f t="shared" si="12"/>
        <v>0</v>
      </c>
      <c r="F298" s="138"/>
      <c r="G298" s="138"/>
      <c r="I298" s="256"/>
      <c r="J298" s="513"/>
      <c r="K298" s="516">
        <f t="shared" si="13"/>
        <v>0</v>
      </c>
      <c r="M298" s="138"/>
      <c r="N298" s="138"/>
      <c r="P298" s="256"/>
      <c r="Q298" s="513"/>
      <c r="R298" s="516">
        <f t="shared" si="14"/>
        <v>0</v>
      </c>
      <c r="T298" s="138"/>
      <c r="U298" s="138"/>
    </row>
    <row r="299" spans="2:21" ht="15" customHeight="1" x14ac:dyDescent="0.2">
      <c r="B299" s="256"/>
      <c r="C299" s="513"/>
      <c r="D299" s="516">
        <f t="shared" si="12"/>
        <v>0</v>
      </c>
      <c r="F299" s="138"/>
      <c r="G299" s="138"/>
      <c r="I299" s="256"/>
      <c r="J299" s="513"/>
      <c r="K299" s="516">
        <f t="shared" si="13"/>
        <v>0</v>
      </c>
      <c r="M299" s="138"/>
      <c r="N299" s="138"/>
      <c r="P299" s="256"/>
      <c r="Q299" s="513"/>
      <c r="R299" s="516">
        <f t="shared" si="14"/>
        <v>0</v>
      </c>
      <c r="T299" s="138"/>
      <c r="U299" s="138"/>
    </row>
    <row r="300" spans="2:21" ht="15" customHeight="1" x14ac:dyDescent="0.2">
      <c r="B300" s="256"/>
      <c r="C300" s="513"/>
      <c r="D300" s="516">
        <f t="shared" si="12"/>
        <v>0</v>
      </c>
      <c r="F300" s="138"/>
      <c r="G300" s="138"/>
      <c r="I300" s="256"/>
      <c r="J300" s="513"/>
      <c r="K300" s="516">
        <f t="shared" si="13"/>
        <v>0</v>
      </c>
      <c r="M300" s="138"/>
      <c r="N300" s="138"/>
      <c r="P300" s="256"/>
      <c r="Q300" s="513"/>
      <c r="R300" s="516">
        <f t="shared" si="14"/>
        <v>0</v>
      </c>
      <c r="T300" s="138"/>
      <c r="U300" s="138"/>
    </row>
    <row r="301" spans="2:21" ht="15" customHeight="1" x14ac:dyDescent="0.2">
      <c r="B301" s="256"/>
      <c r="C301" s="513"/>
      <c r="D301" s="516">
        <f t="shared" si="12"/>
        <v>0</v>
      </c>
      <c r="F301" s="138"/>
      <c r="G301" s="138"/>
      <c r="I301" s="256"/>
      <c r="J301" s="513"/>
      <c r="K301" s="516">
        <f t="shared" si="13"/>
        <v>0</v>
      </c>
      <c r="M301" s="138"/>
      <c r="N301" s="138"/>
      <c r="P301" s="256"/>
      <c r="Q301" s="513"/>
      <c r="R301" s="516">
        <f t="shared" si="14"/>
        <v>0</v>
      </c>
      <c r="T301" s="138"/>
      <c r="U301" s="138"/>
    </row>
    <row r="302" spans="2:21" ht="15" customHeight="1" x14ac:dyDescent="0.2">
      <c r="B302" s="256"/>
      <c r="C302" s="513"/>
      <c r="D302" s="516">
        <f t="shared" si="12"/>
        <v>0</v>
      </c>
      <c r="F302" s="138"/>
      <c r="G302" s="138"/>
      <c r="I302" s="256"/>
      <c r="J302" s="513"/>
      <c r="K302" s="516">
        <f t="shared" si="13"/>
        <v>0</v>
      </c>
      <c r="M302" s="138"/>
      <c r="N302" s="138"/>
      <c r="P302" s="256"/>
      <c r="Q302" s="513"/>
      <c r="R302" s="516">
        <f t="shared" si="14"/>
        <v>0</v>
      </c>
      <c r="T302" s="138"/>
      <c r="U302" s="138"/>
    </row>
    <row r="303" spans="2:21" ht="15" customHeight="1" x14ac:dyDescent="0.2">
      <c r="B303" s="256"/>
      <c r="C303" s="513"/>
      <c r="D303" s="516">
        <f t="shared" si="12"/>
        <v>0</v>
      </c>
      <c r="F303" s="138"/>
      <c r="G303" s="138"/>
      <c r="I303" s="256"/>
      <c r="J303" s="513"/>
      <c r="K303" s="516">
        <f t="shared" si="13"/>
        <v>0</v>
      </c>
      <c r="M303" s="138"/>
      <c r="N303" s="138"/>
      <c r="P303" s="256"/>
      <c r="Q303" s="513"/>
      <c r="R303" s="516">
        <f t="shared" si="14"/>
        <v>0</v>
      </c>
      <c r="T303" s="138"/>
      <c r="U303" s="138"/>
    </row>
    <row r="304" spans="2:21" ht="15" customHeight="1" x14ac:dyDescent="0.2">
      <c r="B304" s="256"/>
      <c r="C304" s="513"/>
      <c r="D304" s="516">
        <f t="shared" si="12"/>
        <v>0</v>
      </c>
      <c r="F304" s="138"/>
      <c r="G304" s="138"/>
      <c r="I304" s="256"/>
      <c r="J304" s="513"/>
      <c r="K304" s="516">
        <f t="shared" si="13"/>
        <v>0</v>
      </c>
      <c r="M304" s="138"/>
      <c r="N304" s="138"/>
      <c r="P304" s="256"/>
      <c r="Q304" s="513"/>
      <c r="R304" s="516">
        <f t="shared" si="14"/>
        <v>0</v>
      </c>
      <c r="T304" s="138"/>
      <c r="U304" s="138"/>
    </row>
    <row r="305" spans="2:21" ht="15" customHeight="1" x14ac:dyDescent="0.2">
      <c r="B305" s="256"/>
      <c r="C305" s="513"/>
      <c r="D305" s="516">
        <f t="shared" si="12"/>
        <v>0</v>
      </c>
      <c r="F305" s="138"/>
      <c r="G305" s="138"/>
      <c r="I305" s="256"/>
      <c r="J305" s="513"/>
      <c r="K305" s="516">
        <f t="shared" si="13"/>
        <v>0</v>
      </c>
      <c r="M305" s="138"/>
      <c r="N305" s="138"/>
      <c r="P305" s="256"/>
      <c r="Q305" s="513"/>
      <c r="R305" s="516">
        <f t="shared" si="14"/>
        <v>0</v>
      </c>
      <c r="T305" s="138"/>
      <c r="U305" s="138"/>
    </row>
    <row r="306" spans="2:21" ht="15" customHeight="1" x14ac:dyDescent="0.2">
      <c r="B306" s="256"/>
      <c r="C306" s="513"/>
      <c r="D306" s="516">
        <f t="shared" si="12"/>
        <v>0</v>
      </c>
      <c r="F306" s="138"/>
      <c r="G306" s="138"/>
      <c r="I306" s="256"/>
      <c r="J306" s="513"/>
      <c r="K306" s="516">
        <f t="shared" si="13"/>
        <v>0</v>
      </c>
      <c r="M306" s="138"/>
      <c r="N306" s="138"/>
      <c r="P306" s="256"/>
      <c r="Q306" s="513"/>
      <c r="R306" s="516">
        <f t="shared" si="14"/>
        <v>0</v>
      </c>
      <c r="T306" s="138"/>
      <c r="U306" s="138"/>
    </row>
    <row r="307" spans="2:21" ht="15" customHeight="1" x14ac:dyDescent="0.2">
      <c r="B307" s="256"/>
      <c r="C307" s="513"/>
      <c r="D307" s="516">
        <f t="shared" si="12"/>
        <v>0</v>
      </c>
      <c r="F307" s="138"/>
      <c r="G307" s="138"/>
      <c r="I307" s="256"/>
      <c r="J307" s="513"/>
      <c r="K307" s="516">
        <f t="shared" si="13"/>
        <v>0</v>
      </c>
      <c r="M307" s="138"/>
      <c r="N307" s="138"/>
      <c r="P307" s="256"/>
      <c r="Q307" s="513"/>
      <c r="R307" s="516">
        <f t="shared" si="14"/>
        <v>0</v>
      </c>
      <c r="T307" s="138"/>
      <c r="U307" s="138"/>
    </row>
    <row r="308" spans="2:21" ht="15" customHeight="1" x14ac:dyDescent="0.2">
      <c r="B308" s="256"/>
      <c r="C308" s="513"/>
      <c r="D308" s="516">
        <f t="shared" si="12"/>
        <v>0</v>
      </c>
      <c r="F308" s="138"/>
      <c r="G308" s="138"/>
      <c r="I308" s="256"/>
      <c r="J308" s="513"/>
      <c r="K308" s="516">
        <f t="shared" si="13"/>
        <v>0</v>
      </c>
      <c r="M308" s="138"/>
      <c r="N308" s="138"/>
      <c r="P308" s="256"/>
      <c r="Q308" s="513"/>
      <c r="R308" s="516">
        <f t="shared" si="14"/>
        <v>0</v>
      </c>
      <c r="T308" s="138"/>
      <c r="U308" s="138"/>
    </row>
    <row r="309" spans="2:21" ht="15" customHeight="1" x14ac:dyDescent="0.2">
      <c r="B309" s="256"/>
      <c r="C309" s="513"/>
      <c r="D309" s="516">
        <f t="shared" si="12"/>
        <v>0</v>
      </c>
      <c r="F309" s="138"/>
      <c r="G309" s="138"/>
      <c r="I309" s="256"/>
      <c r="J309" s="513"/>
      <c r="K309" s="516">
        <f t="shared" si="13"/>
        <v>0</v>
      </c>
      <c r="M309" s="138"/>
      <c r="N309" s="138"/>
      <c r="P309" s="256"/>
      <c r="Q309" s="513"/>
      <c r="R309" s="516">
        <f t="shared" si="14"/>
        <v>0</v>
      </c>
      <c r="T309" s="138"/>
      <c r="U309" s="138"/>
    </row>
    <row r="310" spans="2:21" ht="15" customHeight="1" x14ac:dyDescent="0.2">
      <c r="B310" s="256"/>
      <c r="C310" s="513"/>
      <c r="D310" s="516">
        <f t="shared" si="12"/>
        <v>0</v>
      </c>
      <c r="F310" s="138"/>
      <c r="G310" s="138"/>
      <c r="I310" s="256"/>
      <c r="J310" s="513"/>
      <c r="K310" s="516">
        <f t="shared" si="13"/>
        <v>0</v>
      </c>
      <c r="M310" s="138"/>
      <c r="N310" s="138"/>
      <c r="P310" s="256"/>
      <c r="Q310" s="513"/>
      <c r="R310" s="516">
        <f t="shared" si="14"/>
        <v>0</v>
      </c>
      <c r="T310" s="138"/>
      <c r="U310" s="138"/>
    </row>
    <row r="311" spans="2:21" ht="15" customHeight="1" x14ac:dyDescent="0.2">
      <c r="B311" s="256"/>
      <c r="C311" s="513"/>
      <c r="D311" s="516">
        <f t="shared" si="12"/>
        <v>0</v>
      </c>
      <c r="F311" s="138"/>
      <c r="G311" s="138"/>
      <c r="I311" s="256"/>
      <c r="J311" s="513"/>
      <c r="K311" s="516">
        <f t="shared" si="13"/>
        <v>0</v>
      </c>
      <c r="M311" s="138"/>
      <c r="N311" s="138"/>
      <c r="P311" s="256"/>
      <c r="Q311" s="513"/>
      <c r="R311" s="516">
        <f t="shared" si="14"/>
        <v>0</v>
      </c>
      <c r="T311" s="138"/>
      <c r="U311" s="138"/>
    </row>
    <row r="312" spans="2:21" ht="15" customHeight="1" x14ac:dyDescent="0.2">
      <c r="B312" s="256"/>
      <c r="C312" s="513"/>
      <c r="D312" s="516">
        <f t="shared" si="12"/>
        <v>0</v>
      </c>
      <c r="F312" s="138"/>
      <c r="G312" s="138"/>
      <c r="I312" s="256"/>
      <c r="J312" s="513"/>
      <c r="K312" s="516">
        <f t="shared" si="13"/>
        <v>0</v>
      </c>
      <c r="M312" s="138"/>
      <c r="N312" s="138"/>
      <c r="P312" s="256"/>
      <c r="Q312" s="513"/>
      <c r="R312" s="516">
        <f t="shared" si="14"/>
        <v>0</v>
      </c>
      <c r="T312" s="138"/>
      <c r="U312" s="138"/>
    </row>
    <row r="313" spans="2:21" ht="15" customHeight="1" x14ac:dyDescent="0.2">
      <c r="B313" s="256"/>
      <c r="C313" s="513"/>
      <c r="D313" s="516">
        <f t="shared" si="12"/>
        <v>0</v>
      </c>
      <c r="F313" s="138"/>
      <c r="G313" s="138"/>
      <c r="I313" s="256"/>
      <c r="J313" s="513"/>
      <c r="K313" s="516">
        <f t="shared" si="13"/>
        <v>0</v>
      </c>
      <c r="M313" s="138"/>
      <c r="N313" s="138"/>
      <c r="P313" s="256"/>
      <c r="Q313" s="513"/>
      <c r="R313" s="516">
        <f t="shared" si="14"/>
        <v>0</v>
      </c>
      <c r="T313" s="138"/>
      <c r="U313" s="138"/>
    </row>
    <row r="314" spans="2:21" ht="15" customHeight="1" x14ac:dyDescent="0.2">
      <c r="B314" s="256"/>
      <c r="C314" s="513"/>
      <c r="D314" s="516">
        <f t="shared" si="12"/>
        <v>0</v>
      </c>
      <c r="F314" s="138"/>
      <c r="G314" s="138"/>
      <c r="I314" s="256"/>
      <c r="J314" s="513"/>
      <c r="K314" s="516">
        <f t="shared" si="13"/>
        <v>0</v>
      </c>
      <c r="M314" s="138"/>
      <c r="N314" s="138"/>
      <c r="P314" s="256"/>
      <c r="Q314" s="513"/>
      <c r="R314" s="516">
        <f t="shared" si="14"/>
        <v>0</v>
      </c>
      <c r="T314" s="138"/>
      <c r="U314" s="138"/>
    </row>
    <row r="315" spans="2:21" ht="15" customHeight="1" x14ac:dyDescent="0.2">
      <c r="B315" s="256"/>
      <c r="C315" s="513"/>
      <c r="D315" s="516">
        <f t="shared" si="12"/>
        <v>0</v>
      </c>
      <c r="F315" s="138"/>
      <c r="G315" s="138"/>
      <c r="I315" s="256"/>
      <c r="J315" s="513"/>
      <c r="K315" s="516">
        <f t="shared" si="13"/>
        <v>0</v>
      </c>
      <c r="M315" s="138"/>
      <c r="N315" s="138"/>
      <c r="P315" s="256"/>
      <c r="Q315" s="513"/>
      <c r="R315" s="516">
        <f t="shared" si="14"/>
        <v>0</v>
      </c>
      <c r="T315" s="138"/>
      <c r="U315" s="138"/>
    </row>
    <row r="316" spans="2:21" ht="15" customHeight="1" x14ac:dyDescent="0.2">
      <c r="B316" s="256"/>
      <c r="C316" s="513"/>
      <c r="D316" s="516">
        <f t="shared" si="12"/>
        <v>0</v>
      </c>
      <c r="F316" s="138"/>
      <c r="G316" s="138"/>
      <c r="I316" s="256"/>
      <c r="J316" s="513"/>
      <c r="K316" s="516">
        <f t="shared" si="13"/>
        <v>0</v>
      </c>
      <c r="M316" s="138"/>
      <c r="N316" s="138"/>
      <c r="P316" s="256"/>
      <c r="Q316" s="513"/>
      <c r="R316" s="516">
        <f t="shared" si="14"/>
        <v>0</v>
      </c>
      <c r="T316" s="138"/>
      <c r="U316" s="138"/>
    </row>
    <row r="317" spans="2:21" ht="15" customHeight="1" x14ac:dyDescent="0.2">
      <c r="B317" s="256"/>
      <c r="C317" s="513"/>
      <c r="D317" s="516">
        <f t="shared" si="12"/>
        <v>0</v>
      </c>
      <c r="F317" s="138"/>
      <c r="G317" s="138"/>
      <c r="I317" s="256"/>
      <c r="J317" s="513"/>
      <c r="K317" s="516">
        <f t="shared" si="13"/>
        <v>0</v>
      </c>
      <c r="M317" s="138"/>
      <c r="N317" s="138"/>
      <c r="P317" s="256"/>
      <c r="Q317" s="513"/>
      <c r="R317" s="516">
        <f t="shared" si="14"/>
        <v>0</v>
      </c>
      <c r="T317" s="138"/>
      <c r="U317" s="138"/>
    </row>
    <row r="318" spans="2:21" ht="15" customHeight="1" x14ac:dyDescent="0.2">
      <c r="B318" s="256"/>
      <c r="C318" s="513"/>
      <c r="D318" s="516">
        <f t="shared" si="12"/>
        <v>0</v>
      </c>
      <c r="F318" s="138"/>
      <c r="G318" s="138"/>
      <c r="I318" s="256"/>
      <c r="J318" s="513"/>
      <c r="K318" s="516">
        <f t="shared" si="13"/>
        <v>0</v>
      </c>
      <c r="M318" s="138"/>
      <c r="N318" s="138"/>
      <c r="P318" s="256"/>
      <c r="Q318" s="513"/>
      <c r="R318" s="516">
        <f t="shared" si="14"/>
        <v>0</v>
      </c>
      <c r="T318" s="138"/>
      <c r="U318" s="138"/>
    </row>
    <row r="319" spans="2:21" ht="15" customHeight="1" x14ac:dyDescent="0.2">
      <c r="B319" s="256"/>
      <c r="C319" s="513"/>
      <c r="D319" s="516">
        <f t="shared" si="12"/>
        <v>0</v>
      </c>
      <c r="F319" s="138"/>
      <c r="G319" s="138"/>
      <c r="I319" s="256"/>
      <c r="J319" s="513"/>
      <c r="K319" s="516">
        <f t="shared" si="13"/>
        <v>0</v>
      </c>
      <c r="M319" s="138"/>
      <c r="N319" s="138"/>
      <c r="P319" s="256"/>
      <c r="Q319" s="513"/>
      <c r="R319" s="516">
        <f t="shared" si="14"/>
        <v>0</v>
      </c>
      <c r="T319" s="138"/>
      <c r="U319" s="138"/>
    </row>
    <row r="320" spans="2:21" ht="15" customHeight="1" x14ac:dyDescent="0.2">
      <c r="B320" s="256"/>
      <c r="C320" s="513"/>
      <c r="D320" s="516">
        <f t="shared" si="12"/>
        <v>0</v>
      </c>
      <c r="F320" s="138"/>
      <c r="G320" s="138"/>
      <c r="I320" s="256"/>
      <c r="J320" s="513"/>
      <c r="K320" s="516">
        <f t="shared" si="13"/>
        <v>0</v>
      </c>
      <c r="M320" s="138"/>
      <c r="N320" s="138"/>
      <c r="P320" s="256"/>
      <c r="Q320" s="513"/>
      <c r="R320" s="516">
        <f t="shared" si="14"/>
        <v>0</v>
      </c>
      <c r="T320" s="138"/>
      <c r="U320" s="138"/>
    </row>
    <row r="321" spans="2:21" ht="15" customHeight="1" x14ac:dyDescent="0.2">
      <c r="B321" s="256"/>
      <c r="C321" s="513"/>
      <c r="D321" s="516">
        <f t="shared" si="12"/>
        <v>0</v>
      </c>
      <c r="F321" s="138"/>
      <c r="G321" s="138"/>
      <c r="I321" s="256"/>
      <c r="J321" s="513"/>
      <c r="K321" s="516">
        <f t="shared" si="13"/>
        <v>0</v>
      </c>
      <c r="M321" s="138"/>
      <c r="N321" s="138"/>
      <c r="P321" s="256"/>
      <c r="Q321" s="513"/>
      <c r="R321" s="516">
        <f t="shared" si="14"/>
        <v>0</v>
      </c>
      <c r="T321" s="138"/>
      <c r="U321" s="138"/>
    </row>
    <row r="322" spans="2:21" ht="15" customHeight="1" x14ac:dyDescent="0.2">
      <c r="B322" s="256"/>
      <c r="C322" s="513"/>
      <c r="D322" s="516">
        <f t="shared" si="12"/>
        <v>0</v>
      </c>
      <c r="F322" s="138"/>
      <c r="G322" s="138"/>
      <c r="I322" s="256"/>
      <c r="J322" s="513"/>
      <c r="K322" s="516">
        <f t="shared" si="13"/>
        <v>0</v>
      </c>
      <c r="M322" s="138"/>
      <c r="N322" s="138"/>
      <c r="P322" s="256"/>
      <c r="Q322" s="513"/>
      <c r="R322" s="516">
        <f t="shared" si="14"/>
        <v>0</v>
      </c>
      <c r="T322" s="138"/>
      <c r="U322" s="138"/>
    </row>
    <row r="323" spans="2:21" ht="15" customHeight="1" x14ac:dyDescent="0.2">
      <c r="B323" s="256"/>
      <c r="C323" s="513"/>
      <c r="D323" s="516">
        <f t="shared" si="12"/>
        <v>0</v>
      </c>
      <c r="F323" s="138"/>
      <c r="G323" s="138"/>
      <c r="I323" s="256"/>
      <c r="J323" s="513"/>
      <c r="K323" s="516">
        <f t="shared" si="13"/>
        <v>0</v>
      </c>
      <c r="M323" s="138"/>
      <c r="N323" s="138"/>
      <c r="P323" s="256"/>
      <c r="Q323" s="513"/>
      <c r="R323" s="516">
        <f t="shared" si="14"/>
        <v>0</v>
      </c>
      <c r="T323" s="138"/>
      <c r="U323" s="138"/>
    </row>
    <row r="324" spans="2:21" ht="15" customHeight="1" x14ac:dyDescent="0.2">
      <c r="B324" s="256"/>
      <c r="C324" s="513"/>
      <c r="D324" s="516">
        <f t="shared" si="12"/>
        <v>0</v>
      </c>
      <c r="F324" s="138"/>
      <c r="G324" s="138"/>
      <c r="I324" s="256"/>
      <c r="J324" s="513"/>
      <c r="K324" s="516">
        <f t="shared" si="13"/>
        <v>0</v>
      </c>
      <c r="M324" s="138"/>
      <c r="N324" s="138"/>
      <c r="P324" s="256"/>
      <c r="Q324" s="513"/>
      <c r="R324" s="516">
        <f t="shared" si="14"/>
        <v>0</v>
      </c>
      <c r="T324" s="138"/>
      <c r="U324" s="138"/>
    </row>
    <row r="325" spans="2:21" ht="15" customHeight="1" x14ac:dyDescent="0.2">
      <c r="B325" s="256"/>
      <c r="C325" s="513"/>
      <c r="D325" s="516">
        <f t="shared" si="12"/>
        <v>0</v>
      </c>
      <c r="F325" s="138"/>
      <c r="G325" s="138"/>
      <c r="I325" s="256"/>
      <c r="J325" s="513"/>
      <c r="K325" s="516">
        <f t="shared" si="13"/>
        <v>0</v>
      </c>
      <c r="M325" s="138"/>
      <c r="N325" s="138"/>
      <c r="P325" s="256"/>
      <c r="Q325" s="513"/>
      <c r="R325" s="516">
        <f t="shared" si="14"/>
        <v>0</v>
      </c>
      <c r="T325" s="138"/>
      <c r="U325" s="138"/>
    </row>
    <row r="326" spans="2:21" ht="15" customHeight="1" x14ac:dyDescent="0.2">
      <c r="B326" s="256"/>
      <c r="C326" s="513"/>
      <c r="D326" s="516">
        <f t="shared" si="12"/>
        <v>0</v>
      </c>
      <c r="F326" s="138"/>
      <c r="G326" s="138"/>
      <c r="I326" s="256"/>
      <c r="J326" s="513"/>
      <c r="K326" s="516">
        <f t="shared" si="13"/>
        <v>0</v>
      </c>
      <c r="M326" s="138"/>
      <c r="N326" s="138"/>
      <c r="P326" s="256"/>
      <c r="Q326" s="513"/>
      <c r="R326" s="516">
        <f t="shared" si="14"/>
        <v>0</v>
      </c>
      <c r="T326" s="138"/>
      <c r="U326" s="138"/>
    </row>
    <row r="327" spans="2:21" ht="15" customHeight="1" x14ac:dyDescent="0.2">
      <c r="B327" s="256"/>
      <c r="C327" s="513"/>
      <c r="D327" s="516">
        <f t="shared" si="12"/>
        <v>0</v>
      </c>
      <c r="F327" s="138"/>
      <c r="G327" s="138"/>
      <c r="I327" s="256"/>
      <c r="J327" s="513"/>
      <c r="K327" s="516">
        <f t="shared" si="13"/>
        <v>0</v>
      </c>
      <c r="M327" s="138"/>
      <c r="N327" s="138"/>
      <c r="P327" s="256"/>
      <c r="Q327" s="513"/>
      <c r="R327" s="516">
        <f t="shared" si="14"/>
        <v>0</v>
      </c>
      <c r="T327" s="138"/>
      <c r="U327" s="138"/>
    </row>
    <row r="328" spans="2:21" ht="15" customHeight="1" x14ac:dyDescent="0.2">
      <c r="B328" s="256"/>
      <c r="C328" s="513"/>
      <c r="D328" s="516">
        <f t="shared" si="12"/>
        <v>0</v>
      </c>
      <c r="F328" s="138"/>
      <c r="G328" s="138"/>
      <c r="I328" s="256"/>
      <c r="J328" s="513"/>
      <c r="K328" s="516">
        <f t="shared" si="13"/>
        <v>0</v>
      </c>
      <c r="M328" s="138"/>
      <c r="N328" s="138"/>
      <c r="P328" s="256"/>
      <c r="Q328" s="513"/>
      <c r="R328" s="516">
        <f t="shared" si="14"/>
        <v>0</v>
      </c>
      <c r="T328" s="138"/>
      <c r="U328" s="138"/>
    </row>
    <row r="329" spans="2:21" ht="15" customHeight="1" x14ac:dyDescent="0.2">
      <c r="B329" s="256"/>
      <c r="C329" s="513"/>
      <c r="D329" s="516">
        <f t="shared" si="12"/>
        <v>0</v>
      </c>
      <c r="F329" s="138"/>
      <c r="G329" s="138"/>
      <c r="I329" s="256"/>
      <c r="J329" s="513"/>
      <c r="K329" s="516">
        <f t="shared" si="13"/>
        <v>0</v>
      </c>
      <c r="M329" s="138"/>
      <c r="N329" s="138"/>
      <c r="P329" s="256"/>
      <c r="Q329" s="513"/>
      <c r="R329" s="516">
        <f t="shared" si="14"/>
        <v>0</v>
      </c>
      <c r="T329" s="138"/>
      <c r="U329" s="138"/>
    </row>
    <row r="330" spans="2:21" ht="15" customHeight="1" x14ac:dyDescent="0.2">
      <c r="B330" s="256"/>
      <c r="C330" s="513"/>
      <c r="D330" s="516">
        <f t="shared" si="12"/>
        <v>0</v>
      </c>
      <c r="F330" s="138"/>
      <c r="G330" s="138"/>
      <c r="I330" s="256"/>
      <c r="J330" s="513"/>
      <c r="K330" s="516">
        <f t="shared" si="13"/>
        <v>0</v>
      </c>
      <c r="M330" s="138"/>
      <c r="N330" s="138"/>
      <c r="P330" s="256"/>
      <c r="Q330" s="513"/>
      <c r="R330" s="516">
        <f t="shared" si="14"/>
        <v>0</v>
      </c>
      <c r="T330" s="138"/>
      <c r="U330" s="138"/>
    </row>
    <row r="331" spans="2:21" ht="15" customHeight="1" x14ac:dyDescent="0.2">
      <c r="B331" s="256"/>
      <c r="C331" s="513"/>
      <c r="D331" s="516">
        <f t="shared" si="12"/>
        <v>0</v>
      </c>
      <c r="F331" s="138"/>
      <c r="G331" s="138"/>
      <c r="I331" s="256"/>
      <c r="J331" s="513"/>
      <c r="K331" s="516">
        <f t="shared" si="13"/>
        <v>0</v>
      </c>
      <c r="M331" s="138"/>
      <c r="N331" s="138"/>
      <c r="P331" s="256"/>
      <c r="Q331" s="513"/>
      <c r="R331" s="516">
        <f t="shared" si="14"/>
        <v>0</v>
      </c>
      <c r="T331" s="138"/>
      <c r="U331" s="138"/>
    </row>
    <row r="332" spans="2:21" ht="15" customHeight="1" x14ac:dyDescent="0.2">
      <c r="B332" s="256"/>
      <c r="C332" s="513"/>
      <c r="D332" s="516">
        <f t="shared" si="12"/>
        <v>0</v>
      </c>
      <c r="F332" s="138"/>
      <c r="G332" s="138"/>
      <c r="I332" s="256"/>
      <c r="J332" s="513"/>
      <c r="K332" s="516">
        <f t="shared" si="13"/>
        <v>0</v>
      </c>
      <c r="M332" s="138"/>
      <c r="N332" s="138"/>
      <c r="P332" s="256"/>
      <c r="Q332" s="513"/>
      <c r="R332" s="516">
        <f t="shared" si="14"/>
        <v>0</v>
      </c>
      <c r="T332" s="138"/>
      <c r="U332" s="138"/>
    </row>
    <row r="333" spans="2:21" ht="15" customHeight="1" x14ac:dyDescent="0.2">
      <c r="B333" s="256"/>
      <c r="C333" s="513"/>
      <c r="D333" s="516">
        <f t="shared" si="12"/>
        <v>0</v>
      </c>
      <c r="F333" s="138"/>
      <c r="G333" s="138"/>
      <c r="I333" s="256"/>
      <c r="J333" s="513"/>
      <c r="K333" s="516">
        <f t="shared" si="13"/>
        <v>0</v>
      </c>
      <c r="M333" s="138"/>
      <c r="N333" s="138"/>
      <c r="P333" s="256"/>
      <c r="Q333" s="513"/>
      <c r="R333" s="516">
        <f t="shared" si="14"/>
        <v>0</v>
      </c>
      <c r="T333" s="138"/>
      <c r="U333" s="138"/>
    </row>
    <row r="334" spans="2:21" ht="15" customHeight="1" x14ac:dyDescent="0.2">
      <c r="B334" s="256"/>
      <c r="C334" s="513"/>
      <c r="D334" s="516">
        <f t="shared" si="12"/>
        <v>0</v>
      </c>
      <c r="F334" s="138"/>
      <c r="G334" s="138"/>
      <c r="I334" s="256"/>
      <c r="J334" s="513"/>
      <c r="K334" s="516">
        <f t="shared" si="13"/>
        <v>0</v>
      </c>
      <c r="M334" s="138"/>
      <c r="N334" s="138"/>
      <c r="P334" s="256"/>
      <c r="Q334" s="513"/>
      <c r="R334" s="516">
        <f t="shared" si="14"/>
        <v>0</v>
      </c>
      <c r="T334" s="138"/>
      <c r="U334" s="138"/>
    </row>
    <row r="335" spans="2:21" ht="15" customHeight="1" x14ac:dyDescent="0.2">
      <c r="B335" s="256"/>
      <c r="C335" s="513"/>
      <c r="D335" s="516">
        <f t="shared" si="12"/>
        <v>0</v>
      </c>
      <c r="F335" s="138"/>
      <c r="G335" s="138"/>
      <c r="I335" s="256"/>
      <c r="J335" s="513"/>
      <c r="K335" s="516">
        <f t="shared" si="13"/>
        <v>0</v>
      </c>
      <c r="M335" s="138"/>
      <c r="N335" s="138"/>
      <c r="P335" s="256"/>
      <c r="Q335" s="513"/>
      <c r="R335" s="516">
        <f t="shared" si="14"/>
        <v>0</v>
      </c>
      <c r="T335" s="138"/>
      <c r="U335" s="138"/>
    </row>
    <row r="336" spans="2:21" ht="15" customHeight="1" x14ac:dyDescent="0.2">
      <c r="B336" s="256"/>
      <c r="C336" s="513"/>
      <c r="D336" s="516">
        <f t="shared" si="12"/>
        <v>0</v>
      </c>
      <c r="F336" s="138"/>
      <c r="G336" s="138"/>
      <c r="I336" s="256"/>
      <c r="J336" s="513"/>
      <c r="K336" s="516">
        <f t="shared" si="13"/>
        <v>0</v>
      </c>
      <c r="M336" s="138"/>
      <c r="N336" s="138"/>
      <c r="P336" s="256"/>
      <c r="Q336" s="513"/>
      <c r="R336" s="516">
        <f t="shared" si="14"/>
        <v>0</v>
      </c>
      <c r="T336" s="138"/>
      <c r="U336" s="138"/>
    </row>
    <row r="337" spans="2:21" ht="15" customHeight="1" x14ac:dyDescent="0.2">
      <c r="B337" s="256"/>
      <c r="C337" s="513"/>
      <c r="D337" s="516">
        <f t="shared" si="12"/>
        <v>0</v>
      </c>
      <c r="F337" s="138"/>
      <c r="G337" s="138"/>
      <c r="I337" s="256"/>
      <c r="J337" s="513"/>
      <c r="K337" s="516">
        <f t="shared" si="13"/>
        <v>0</v>
      </c>
      <c r="M337" s="138"/>
      <c r="N337" s="138"/>
      <c r="P337" s="256"/>
      <c r="Q337" s="513"/>
      <c r="R337" s="516">
        <f t="shared" si="14"/>
        <v>0</v>
      </c>
      <c r="T337" s="138"/>
      <c r="U337" s="138"/>
    </row>
    <row r="338" spans="2:21" ht="15" customHeight="1" x14ac:dyDescent="0.2">
      <c r="B338" s="256"/>
      <c r="C338" s="513"/>
      <c r="D338" s="516">
        <f t="shared" ref="D338:D401" si="15">C338/1000</f>
        <v>0</v>
      </c>
      <c r="F338" s="138"/>
      <c r="G338" s="138"/>
      <c r="I338" s="256"/>
      <c r="J338" s="513"/>
      <c r="K338" s="516">
        <f t="shared" ref="K338:K401" si="16">J338/1000</f>
        <v>0</v>
      </c>
      <c r="M338" s="138"/>
      <c r="N338" s="138"/>
      <c r="P338" s="256"/>
      <c r="Q338" s="513"/>
      <c r="R338" s="516">
        <f t="shared" ref="R338:R401" si="17">Q338/1000</f>
        <v>0</v>
      </c>
      <c r="T338" s="138"/>
      <c r="U338" s="138"/>
    </row>
    <row r="339" spans="2:21" ht="15" customHeight="1" x14ac:dyDescent="0.2">
      <c r="B339" s="256"/>
      <c r="C339" s="513"/>
      <c r="D339" s="516">
        <f t="shared" si="15"/>
        <v>0</v>
      </c>
      <c r="F339" s="138"/>
      <c r="G339" s="138"/>
      <c r="I339" s="256"/>
      <c r="J339" s="513"/>
      <c r="K339" s="516">
        <f t="shared" si="16"/>
        <v>0</v>
      </c>
      <c r="M339" s="138"/>
      <c r="N339" s="138"/>
      <c r="P339" s="256"/>
      <c r="Q339" s="513"/>
      <c r="R339" s="516">
        <f t="shared" si="17"/>
        <v>0</v>
      </c>
      <c r="T339" s="138"/>
      <c r="U339" s="138"/>
    </row>
    <row r="340" spans="2:21" ht="15" customHeight="1" x14ac:dyDescent="0.2">
      <c r="B340" s="256"/>
      <c r="C340" s="513"/>
      <c r="D340" s="516">
        <f t="shared" si="15"/>
        <v>0</v>
      </c>
      <c r="F340" s="138"/>
      <c r="G340" s="138"/>
      <c r="I340" s="256"/>
      <c r="J340" s="513"/>
      <c r="K340" s="516">
        <f t="shared" si="16"/>
        <v>0</v>
      </c>
      <c r="M340" s="138"/>
      <c r="N340" s="138"/>
      <c r="P340" s="256"/>
      <c r="Q340" s="513"/>
      <c r="R340" s="516">
        <f t="shared" si="17"/>
        <v>0</v>
      </c>
      <c r="T340" s="138"/>
      <c r="U340" s="138"/>
    </row>
    <row r="341" spans="2:21" ht="15" customHeight="1" x14ac:dyDescent="0.2">
      <c r="B341" s="256"/>
      <c r="C341" s="513"/>
      <c r="D341" s="516">
        <f t="shared" si="15"/>
        <v>0</v>
      </c>
      <c r="F341" s="138"/>
      <c r="G341" s="138"/>
      <c r="I341" s="256"/>
      <c r="J341" s="513"/>
      <c r="K341" s="516">
        <f t="shared" si="16"/>
        <v>0</v>
      </c>
      <c r="M341" s="138"/>
      <c r="N341" s="138"/>
      <c r="P341" s="256"/>
      <c r="Q341" s="513"/>
      <c r="R341" s="516">
        <f t="shared" si="17"/>
        <v>0</v>
      </c>
      <c r="T341" s="138"/>
      <c r="U341" s="138"/>
    </row>
    <row r="342" spans="2:21" ht="15" customHeight="1" x14ac:dyDescent="0.2">
      <c r="B342" s="256"/>
      <c r="C342" s="513"/>
      <c r="D342" s="516">
        <f t="shared" si="15"/>
        <v>0</v>
      </c>
      <c r="F342" s="138"/>
      <c r="G342" s="138"/>
      <c r="I342" s="256"/>
      <c r="J342" s="513"/>
      <c r="K342" s="516">
        <f t="shared" si="16"/>
        <v>0</v>
      </c>
      <c r="M342" s="138"/>
      <c r="N342" s="138"/>
      <c r="P342" s="256"/>
      <c r="Q342" s="513"/>
      <c r="R342" s="516">
        <f t="shared" si="17"/>
        <v>0</v>
      </c>
      <c r="T342" s="138"/>
      <c r="U342" s="138"/>
    </row>
    <row r="343" spans="2:21" ht="15" customHeight="1" x14ac:dyDescent="0.2">
      <c r="B343" s="256"/>
      <c r="C343" s="513"/>
      <c r="D343" s="516">
        <f t="shared" si="15"/>
        <v>0</v>
      </c>
      <c r="F343" s="138"/>
      <c r="G343" s="138"/>
      <c r="I343" s="256"/>
      <c r="J343" s="513"/>
      <c r="K343" s="516">
        <f t="shared" si="16"/>
        <v>0</v>
      </c>
      <c r="M343" s="138"/>
      <c r="N343" s="138"/>
      <c r="P343" s="256"/>
      <c r="Q343" s="513"/>
      <c r="R343" s="516">
        <f t="shared" si="17"/>
        <v>0</v>
      </c>
      <c r="T343" s="138"/>
      <c r="U343" s="138"/>
    </row>
    <row r="344" spans="2:21" ht="15" customHeight="1" x14ac:dyDescent="0.2">
      <c r="B344" s="256"/>
      <c r="C344" s="513"/>
      <c r="D344" s="516">
        <f t="shared" si="15"/>
        <v>0</v>
      </c>
      <c r="F344" s="138"/>
      <c r="G344" s="138"/>
      <c r="I344" s="256"/>
      <c r="J344" s="513"/>
      <c r="K344" s="516">
        <f t="shared" si="16"/>
        <v>0</v>
      </c>
      <c r="M344" s="138"/>
      <c r="N344" s="138"/>
      <c r="P344" s="256"/>
      <c r="Q344" s="513"/>
      <c r="R344" s="516">
        <f t="shared" si="17"/>
        <v>0</v>
      </c>
      <c r="T344" s="138"/>
      <c r="U344" s="138"/>
    </row>
    <row r="345" spans="2:21" ht="15" customHeight="1" x14ac:dyDescent="0.2">
      <c r="B345" s="256"/>
      <c r="C345" s="513"/>
      <c r="D345" s="516">
        <f t="shared" si="15"/>
        <v>0</v>
      </c>
      <c r="F345" s="138"/>
      <c r="G345" s="138"/>
      <c r="I345" s="256"/>
      <c r="J345" s="513"/>
      <c r="K345" s="516">
        <f t="shared" si="16"/>
        <v>0</v>
      </c>
      <c r="M345" s="138"/>
      <c r="N345" s="138"/>
      <c r="P345" s="256"/>
      <c r="Q345" s="513"/>
      <c r="R345" s="516">
        <f t="shared" si="17"/>
        <v>0</v>
      </c>
      <c r="T345" s="138"/>
      <c r="U345" s="138"/>
    </row>
    <row r="346" spans="2:21" ht="15" customHeight="1" x14ac:dyDescent="0.2">
      <c r="B346" s="256"/>
      <c r="C346" s="513"/>
      <c r="D346" s="516">
        <f t="shared" si="15"/>
        <v>0</v>
      </c>
      <c r="F346" s="138"/>
      <c r="G346" s="138"/>
      <c r="I346" s="256"/>
      <c r="J346" s="513"/>
      <c r="K346" s="516">
        <f t="shared" si="16"/>
        <v>0</v>
      </c>
      <c r="M346" s="138"/>
      <c r="N346" s="138"/>
      <c r="P346" s="256"/>
      <c r="Q346" s="513"/>
      <c r="R346" s="516">
        <f t="shared" si="17"/>
        <v>0</v>
      </c>
      <c r="T346" s="138"/>
      <c r="U346" s="138"/>
    </row>
    <row r="347" spans="2:21" ht="15" customHeight="1" x14ac:dyDescent="0.2">
      <c r="B347" s="256"/>
      <c r="C347" s="513"/>
      <c r="D347" s="516">
        <f t="shared" si="15"/>
        <v>0</v>
      </c>
      <c r="F347" s="138"/>
      <c r="G347" s="138"/>
      <c r="I347" s="256"/>
      <c r="J347" s="513"/>
      <c r="K347" s="516">
        <f t="shared" si="16"/>
        <v>0</v>
      </c>
      <c r="M347" s="138"/>
      <c r="N347" s="138"/>
      <c r="P347" s="256"/>
      <c r="Q347" s="513"/>
      <c r="R347" s="516">
        <f t="shared" si="17"/>
        <v>0</v>
      </c>
      <c r="T347" s="138"/>
      <c r="U347" s="138"/>
    </row>
    <row r="348" spans="2:21" ht="15" customHeight="1" x14ac:dyDescent="0.2">
      <c r="B348" s="256"/>
      <c r="C348" s="513"/>
      <c r="D348" s="516">
        <f t="shared" si="15"/>
        <v>0</v>
      </c>
      <c r="F348" s="138"/>
      <c r="G348" s="138"/>
      <c r="I348" s="256"/>
      <c r="J348" s="513"/>
      <c r="K348" s="516">
        <f t="shared" si="16"/>
        <v>0</v>
      </c>
      <c r="M348" s="138"/>
      <c r="N348" s="138"/>
      <c r="P348" s="256"/>
      <c r="Q348" s="513"/>
      <c r="R348" s="516">
        <f t="shared" si="17"/>
        <v>0</v>
      </c>
      <c r="T348" s="138"/>
      <c r="U348" s="138"/>
    </row>
    <row r="349" spans="2:21" ht="15" customHeight="1" x14ac:dyDescent="0.2">
      <c r="B349" s="256"/>
      <c r="C349" s="513"/>
      <c r="D349" s="516">
        <f t="shared" si="15"/>
        <v>0</v>
      </c>
      <c r="F349" s="138"/>
      <c r="G349" s="138"/>
      <c r="I349" s="256"/>
      <c r="J349" s="513"/>
      <c r="K349" s="516">
        <f t="shared" si="16"/>
        <v>0</v>
      </c>
      <c r="M349" s="138"/>
      <c r="N349" s="138"/>
      <c r="P349" s="256"/>
      <c r="Q349" s="513"/>
      <c r="R349" s="516">
        <f t="shared" si="17"/>
        <v>0</v>
      </c>
      <c r="T349" s="138"/>
      <c r="U349" s="138"/>
    </row>
    <row r="350" spans="2:21" ht="15" customHeight="1" x14ac:dyDescent="0.2">
      <c r="B350" s="256"/>
      <c r="C350" s="513"/>
      <c r="D350" s="516">
        <f t="shared" si="15"/>
        <v>0</v>
      </c>
      <c r="F350" s="138"/>
      <c r="G350" s="138"/>
      <c r="I350" s="256"/>
      <c r="J350" s="513"/>
      <c r="K350" s="516">
        <f t="shared" si="16"/>
        <v>0</v>
      </c>
      <c r="M350" s="138"/>
      <c r="N350" s="138"/>
      <c r="P350" s="256"/>
      <c r="Q350" s="513"/>
      <c r="R350" s="516">
        <f t="shared" si="17"/>
        <v>0</v>
      </c>
      <c r="T350" s="138"/>
      <c r="U350" s="138"/>
    </row>
    <row r="351" spans="2:21" ht="15" customHeight="1" x14ac:dyDescent="0.2">
      <c r="B351" s="256"/>
      <c r="C351" s="513"/>
      <c r="D351" s="516">
        <f t="shared" si="15"/>
        <v>0</v>
      </c>
      <c r="F351" s="138"/>
      <c r="G351" s="138"/>
      <c r="I351" s="256"/>
      <c r="J351" s="513"/>
      <c r="K351" s="516">
        <f t="shared" si="16"/>
        <v>0</v>
      </c>
      <c r="M351" s="138"/>
      <c r="N351" s="138"/>
      <c r="P351" s="256"/>
      <c r="Q351" s="513"/>
      <c r="R351" s="516">
        <f t="shared" si="17"/>
        <v>0</v>
      </c>
      <c r="T351" s="138"/>
      <c r="U351" s="138"/>
    </row>
    <row r="352" spans="2:21" ht="15" customHeight="1" x14ac:dyDescent="0.2">
      <c r="B352" s="256"/>
      <c r="C352" s="513"/>
      <c r="D352" s="516">
        <f t="shared" si="15"/>
        <v>0</v>
      </c>
      <c r="F352" s="138"/>
      <c r="G352" s="138"/>
      <c r="I352" s="256"/>
      <c r="J352" s="513"/>
      <c r="K352" s="516">
        <f t="shared" si="16"/>
        <v>0</v>
      </c>
      <c r="M352" s="138"/>
      <c r="N352" s="138"/>
      <c r="P352" s="256"/>
      <c r="Q352" s="513"/>
      <c r="R352" s="516">
        <f t="shared" si="17"/>
        <v>0</v>
      </c>
      <c r="T352" s="138"/>
      <c r="U352" s="138"/>
    </row>
    <row r="353" spans="2:21" ht="15" customHeight="1" x14ac:dyDescent="0.2">
      <c r="B353" s="256"/>
      <c r="C353" s="513"/>
      <c r="D353" s="516">
        <f t="shared" si="15"/>
        <v>0</v>
      </c>
      <c r="F353" s="138"/>
      <c r="G353" s="138"/>
      <c r="I353" s="256"/>
      <c r="J353" s="513"/>
      <c r="K353" s="516">
        <f t="shared" si="16"/>
        <v>0</v>
      </c>
      <c r="M353" s="138"/>
      <c r="N353" s="138"/>
      <c r="P353" s="256"/>
      <c r="Q353" s="513"/>
      <c r="R353" s="516">
        <f t="shared" si="17"/>
        <v>0</v>
      </c>
      <c r="T353" s="138"/>
      <c r="U353" s="138"/>
    </row>
    <row r="354" spans="2:21" ht="15" customHeight="1" x14ac:dyDescent="0.2">
      <c r="B354" s="256"/>
      <c r="C354" s="513"/>
      <c r="D354" s="516">
        <f t="shared" si="15"/>
        <v>0</v>
      </c>
      <c r="F354" s="138"/>
      <c r="G354" s="138"/>
      <c r="I354" s="256"/>
      <c r="J354" s="513"/>
      <c r="K354" s="516">
        <f t="shared" si="16"/>
        <v>0</v>
      </c>
      <c r="M354" s="138"/>
      <c r="N354" s="138"/>
      <c r="P354" s="256"/>
      <c r="Q354" s="513"/>
      <c r="R354" s="516">
        <f t="shared" si="17"/>
        <v>0</v>
      </c>
      <c r="T354" s="138"/>
      <c r="U354" s="138"/>
    </row>
    <row r="355" spans="2:21" ht="15" customHeight="1" x14ac:dyDescent="0.2">
      <c r="B355" s="256"/>
      <c r="C355" s="513"/>
      <c r="D355" s="516">
        <f t="shared" si="15"/>
        <v>0</v>
      </c>
      <c r="F355" s="138"/>
      <c r="G355" s="138"/>
      <c r="I355" s="256"/>
      <c r="J355" s="513"/>
      <c r="K355" s="516">
        <f t="shared" si="16"/>
        <v>0</v>
      </c>
      <c r="M355" s="138"/>
      <c r="N355" s="138"/>
      <c r="P355" s="256"/>
      <c r="Q355" s="513"/>
      <c r="R355" s="516">
        <f t="shared" si="17"/>
        <v>0</v>
      </c>
      <c r="T355" s="138"/>
      <c r="U355" s="138"/>
    </row>
    <row r="356" spans="2:21" ht="15" customHeight="1" x14ac:dyDescent="0.2">
      <c r="B356" s="256"/>
      <c r="C356" s="513"/>
      <c r="D356" s="516">
        <f t="shared" si="15"/>
        <v>0</v>
      </c>
      <c r="F356" s="138"/>
      <c r="G356" s="138"/>
      <c r="I356" s="256"/>
      <c r="J356" s="513"/>
      <c r="K356" s="516">
        <f t="shared" si="16"/>
        <v>0</v>
      </c>
      <c r="M356" s="138"/>
      <c r="N356" s="138"/>
      <c r="P356" s="256"/>
      <c r="Q356" s="513"/>
      <c r="R356" s="516">
        <f t="shared" si="17"/>
        <v>0</v>
      </c>
      <c r="T356" s="138"/>
      <c r="U356" s="138"/>
    </row>
    <row r="357" spans="2:21" ht="15" customHeight="1" x14ac:dyDescent="0.2">
      <c r="B357" s="256"/>
      <c r="C357" s="513"/>
      <c r="D357" s="516">
        <f t="shared" si="15"/>
        <v>0</v>
      </c>
      <c r="F357" s="138"/>
      <c r="G357" s="138"/>
      <c r="I357" s="256"/>
      <c r="J357" s="513"/>
      <c r="K357" s="516">
        <f t="shared" si="16"/>
        <v>0</v>
      </c>
      <c r="M357" s="138"/>
      <c r="N357" s="138"/>
      <c r="P357" s="256"/>
      <c r="Q357" s="513"/>
      <c r="R357" s="516">
        <f t="shared" si="17"/>
        <v>0</v>
      </c>
      <c r="T357" s="138"/>
      <c r="U357" s="138"/>
    </row>
    <row r="358" spans="2:21" ht="15" customHeight="1" x14ac:dyDescent="0.2">
      <c r="B358" s="256"/>
      <c r="C358" s="513"/>
      <c r="D358" s="516">
        <f t="shared" si="15"/>
        <v>0</v>
      </c>
      <c r="F358" s="138"/>
      <c r="G358" s="138"/>
      <c r="I358" s="256"/>
      <c r="J358" s="513"/>
      <c r="K358" s="516">
        <f t="shared" si="16"/>
        <v>0</v>
      </c>
      <c r="M358" s="138"/>
      <c r="N358" s="138"/>
      <c r="P358" s="256"/>
      <c r="Q358" s="513"/>
      <c r="R358" s="516">
        <f t="shared" si="17"/>
        <v>0</v>
      </c>
      <c r="T358" s="138"/>
      <c r="U358" s="138"/>
    </row>
    <row r="359" spans="2:21" ht="15" customHeight="1" x14ac:dyDescent="0.2">
      <c r="B359" s="256"/>
      <c r="C359" s="513"/>
      <c r="D359" s="516">
        <f t="shared" si="15"/>
        <v>0</v>
      </c>
      <c r="F359" s="138"/>
      <c r="G359" s="138"/>
      <c r="I359" s="256"/>
      <c r="J359" s="513"/>
      <c r="K359" s="516">
        <f t="shared" si="16"/>
        <v>0</v>
      </c>
      <c r="M359" s="138"/>
      <c r="N359" s="138"/>
      <c r="P359" s="256"/>
      <c r="Q359" s="513"/>
      <c r="R359" s="516">
        <f t="shared" si="17"/>
        <v>0</v>
      </c>
      <c r="T359" s="138"/>
      <c r="U359" s="138"/>
    </row>
    <row r="360" spans="2:21" ht="15" customHeight="1" x14ac:dyDescent="0.2">
      <c r="B360" s="256"/>
      <c r="C360" s="513"/>
      <c r="D360" s="516">
        <f t="shared" si="15"/>
        <v>0</v>
      </c>
      <c r="F360" s="138"/>
      <c r="G360" s="138"/>
      <c r="I360" s="256"/>
      <c r="J360" s="513"/>
      <c r="K360" s="516">
        <f t="shared" si="16"/>
        <v>0</v>
      </c>
      <c r="M360" s="138"/>
      <c r="N360" s="138"/>
      <c r="P360" s="256"/>
      <c r="Q360" s="513"/>
      <c r="R360" s="516">
        <f t="shared" si="17"/>
        <v>0</v>
      </c>
      <c r="T360" s="138"/>
      <c r="U360" s="138"/>
    </row>
    <row r="361" spans="2:21" ht="15" customHeight="1" x14ac:dyDescent="0.2">
      <c r="B361" s="256"/>
      <c r="C361" s="513"/>
      <c r="D361" s="516">
        <f t="shared" si="15"/>
        <v>0</v>
      </c>
      <c r="F361" s="138"/>
      <c r="G361" s="138"/>
      <c r="I361" s="256"/>
      <c r="J361" s="513"/>
      <c r="K361" s="516">
        <f t="shared" si="16"/>
        <v>0</v>
      </c>
      <c r="M361" s="138"/>
      <c r="N361" s="138"/>
      <c r="P361" s="256"/>
      <c r="Q361" s="513"/>
      <c r="R361" s="516">
        <f t="shared" si="17"/>
        <v>0</v>
      </c>
      <c r="T361" s="138"/>
      <c r="U361" s="138"/>
    </row>
    <row r="362" spans="2:21" ht="15" customHeight="1" x14ac:dyDescent="0.2">
      <c r="B362" s="256"/>
      <c r="C362" s="513"/>
      <c r="D362" s="516">
        <f t="shared" si="15"/>
        <v>0</v>
      </c>
      <c r="F362" s="138"/>
      <c r="G362" s="138"/>
      <c r="I362" s="256"/>
      <c r="J362" s="513"/>
      <c r="K362" s="516">
        <f t="shared" si="16"/>
        <v>0</v>
      </c>
      <c r="M362" s="138"/>
      <c r="N362" s="138"/>
      <c r="P362" s="256"/>
      <c r="Q362" s="513"/>
      <c r="R362" s="516">
        <f t="shared" si="17"/>
        <v>0</v>
      </c>
      <c r="T362" s="138"/>
      <c r="U362" s="138"/>
    </row>
    <row r="363" spans="2:21" ht="15" customHeight="1" x14ac:dyDescent="0.2">
      <c r="B363" s="256"/>
      <c r="C363" s="513"/>
      <c r="D363" s="516">
        <f t="shared" si="15"/>
        <v>0</v>
      </c>
      <c r="F363" s="138"/>
      <c r="G363" s="138"/>
      <c r="I363" s="256"/>
      <c r="J363" s="513"/>
      <c r="K363" s="516">
        <f t="shared" si="16"/>
        <v>0</v>
      </c>
      <c r="M363" s="138"/>
      <c r="N363" s="138"/>
      <c r="P363" s="256"/>
      <c r="Q363" s="513"/>
      <c r="R363" s="516">
        <f t="shared" si="17"/>
        <v>0</v>
      </c>
      <c r="T363" s="138"/>
      <c r="U363" s="138"/>
    </row>
    <row r="364" spans="2:21" ht="15" customHeight="1" x14ac:dyDescent="0.2">
      <c r="B364" s="256"/>
      <c r="C364" s="513"/>
      <c r="D364" s="516">
        <f t="shared" si="15"/>
        <v>0</v>
      </c>
      <c r="F364" s="138"/>
      <c r="G364" s="138"/>
      <c r="I364" s="256"/>
      <c r="J364" s="513"/>
      <c r="K364" s="516">
        <f t="shared" si="16"/>
        <v>0</v>
      </c>
      <c r="M364" s="138"/>
      <c r="N364" s="138"/>
      <c r="P364" s="256"/>
      <c r="Q364" s="513"/>
      <c r="R364" s="516">
        <f t="shared" si="17"/>
        <v>0</v>
      </c>
      <c r="T364" s="138"/>
      <c r="U364" s="138"/>
    </row>
    <row r="365" spans="2:21" ht="15" customHeight="1" x14ac:dyDescent="0.2">
      <c r="B365" s="256"/>
      <c r="C365" s="513"/>
      <c r="D365" s="516">
        <f t="shared" si="15"/>
        <v>0</v>
      </c>
      <c r="F365" s="138"/>
      <c r="G365" s="138"/>
      <c r="I365" s="256"/>
      <c r="J365" s="513"/>
      <c r="K365" s="516">
        <f t="shared" si="16"/>
        <v>0</v>
      </c>
      <c r="M365" s="138"/>
      <c r="N365" s="138"/>
      <c r="P365" s="256"/>
      <c r="Q365" s="513"/>
      <c r="R365" s="516">
        <f t="shared" si="17"/>
        <v>0</v>
      </c>
      <c r="T365" s="138"/>
      <c r="U365" s="138"/>
    </row>
    <row r="366" spans="2:21" ht="15" customHeight="1" x14ac:dyDescent="0.2">
      <c r="B366" s="256"/>
      <c r="C366" s="513"/>
      <c r="D366" s="516">
        <f t="shared" si="15"/>
        <v>0</v>
      </c>
      <c r="F366" s="138"/>
      <c r="G366" s="138"/>
      <c r="I366" s="256"/>
      <c r="J366" s="513"/>
      <c r="K366" s="516">
        <f t="shared" si="16"/>
        <v>0</v>
      </c>
      <c r="M366" s="138"/>
      <c r="N366" s="138"/>
      <c r="P366" s="256"/>
      <c r="Q366" s="513"/>
      <c r="R366" s="516">
        <f t="shared" si="17"/>
        <v>0</v>
      </c>
      <c r="T366" s="138"/>
      <c r="U366" s="138"/>
    </row>
    <row r="367" spans="2:21" ht="15" customHeight="1" x14ac:dyDescent="0.2">
      <c r="B367" s="256"/>
      <c r="C367" s="513"/>
      <c r="D367" s="516">
        <f t="shared" si="15"/>
        <v>0</v>
      </c>
      <c r="F367" s="138"/>
      <c r="G367" s="138"/>
      <c r="I367" s="256"/>
      <c r="J367" s="513"/>
      <c r="K367" s="516">
        <f t="shared" si="16"/>
        <v>0</v>
      </c>
      <c r="M367" s="138"/>
      <c r="N367" s="138"/>
      <c r="P367" s="256"/>
      <c r="Q367" s="513"/>
      <c r="R367" s="516">
        <f t="shared" si="17"/>
        <v>0</v>
      </c>
      <c r="T367" s="138"/>
      <c r="U367" s="138"/>
    </row>
    <row r="368" spans="2:21" ht="15" customHeight="1" x14ac:dyDescent="0.2">
      <c r="B368" s="256"/>
      <c r="C368" s="513"/>
      <c r="D368" s="516">
        <f t="shared" si="15"/>
        <v>0</v>
      </c>
      <c r="F368" s="138"/>
      <c r="G368" s="138"/>
      <c r="I368" s="256"/>
      <c r="J368" s="513"/>
      <c r="K368" s="516">
        <f t="shared" si="16"/>
        <v>0</v>
      </c>
      <c r="M368" s="138"/>
      <c r="N368" s="138"/>
      <c r="P368" s="256"/>
      <c r="Q368" s="513"/>
      <c r="R368" s="516">
        <f t="shared" si="17"/>
        <v>0</v>
      </c>
      <c r="T368" s="138"/>
      <c r="U368" s="138"/>
    </row>
    <row r="369" spans="2:18" ht="15" customHeight="1" x14ac:dyDescent="0.2">
      <c r="B369" s="256"/>
      <c r="C369" s="513"/>
      <c r="D369" s="516">
        <f t="shared" si="15"/>
        <v>0</v>
      </c>
      <c r="I369" s="256"/>
      <c r="J369" s="513"/>
      <c r="K369" s="516">
        <f t="shared" si="16"/>
        <v>0</v>
      </c>
      <c r="P369" s="256"/>
      <c r="Q369" s="513"/>
      <c r="R369" s="516">
        <f t="shared" si="17"/>
        <v>0</v>
      </c>
    </row>
    <row r="370" spans="2:18" ht="15" customHeight="1" x14ac:dyDescent="0.2">
      <c r="B370" s="256"/>
      <c r="C370" s="513"/>
      <c r="D370" s="516">
        <f t="shared" si="15"/>
        <v>0</v>
      </c>
      <c r="I370" s="256"/>
      <c r="J370" s="513"/>
      <c r="K370" s="516">
        <f t="shared" si="16"/>
        <v>0</v>
      </c>
      <c r="P370" s="256"/>
      <c r="Q370" s="513"/>
      <c r="R370" s="516">
        <f t="shared" si="17"/>
        <v>0</v>
      </c>
    </row>
    <row r="371" spans="2:18" ht="15" customHeight="1" x14ac:dyDescent="0.2">
      <c r="B371" s="256"/>
      <c r="C371" s="513"/>
      <c r="D371" s="516">
        <f t="shared" si="15"/>
        <v>0</v>
      </c>
      <c r="I371" s="256"/>
      <c r="J371" s="513"/>
      <c r="K371" s="516">
        <f t="shared" si="16"/>
        <v>0</v>
      </c>
      <c r="P371" s="256"/>
      <c r="Q371" s="513"/>
      <c r="R371" s="516">
        <f t="shared" si="17"/>
        <v>0</v>
      </c>
    </row>
    <row r="372" spans="2:18" ht="15" customHeight="1" x14ac:dyDescent="0.2">
      <c r="B372" s="256"/>
      <c r="C372" s="513"/>
      <c r="D372" s="516">
        <f t="shared" si="15"/>
        <v>0</v>
      </c>
      <c r="I372" s="256"/>
      <c r="J372" s="513"/>
      <c r="K372" s="516">
        <f t="shared" si="16"/>
        <v>0</v>
      </c>
      <c r="P372" s="256"/>
      <c r="Q372" s="513"/>
      <c r="R372" s="516">
        <f t="shared" si="17"/>
        <v>0</v>
      </c>
    </row>
    <row r="373" spans="2:18" ht="15" customHeight="1" x14ac:dyDescent="0.2">
      <c r="B373" s="256"/>
      <c r="C373" s="513"/>
      <c r="D373" s="516">
        <f t="shared" si="15"/>
        <v>0</v>
      </c>
      <c r="I373" s="256"/>
      <c r="J373" s="513"/>
      <c r="K373" s="516">
        <f t="shared" si="16"/>
        <v>0</v>
      </c>
      <c r="P373" s="256"/>
      <c r="Q373" s="513"/>
      <c r="R373" s="516">
        <f t="shared" si="17"/>
        <v>0</v>
      </c>
    </row>
    <row r="374" spans="2:18" ht="15" customHeight="1" x14ac:dyDescent="0.2">
      <c r="B374" s="256"/>
      <c r="C374" s="513"/>
      <c r="D374" s="516">
        <f t="shared" si="15"/>
        <v>0</v>
      </c>
      <c r="I374" s="256"/>
      <c r="J374" s="513"/>
      <c r="K374" s="516">
        <f t="shared" si="16"/>
        <v>0</v>
      </c>
      <c r="P374" s="256"/>
      <c r="Q374" s="513"/>
      <c r="R374" s="516">
        <f t="shared" si="17"/>
        <v>0</v>
      </c>
    </row>
    <row r="375" spans="2:18" ht="15" customHeight="1" x14ac:dyDescent="0.2">
      <c r="B375" s="256"/>
      <c r="C375" s="513"/>
      <c r="D375" s="516">
        <f t="shared" si="15"/>
        <v>0</v>
      </c>
      <c r="I375" s="256"/>
      <c r="J375" s="513"/>
      <c r="K375" s="516">
        <f t="shared" si="16"/>
        <v>0</v>
      </c>
      <c r="P375" s="256"/>
      <c r="Q375" s="513"/>
      <c r="R375" s="516">
        <f t="shared" si="17"/>
        <v>0</v>
      </c>
    </row>
    <row r="376" spans="2:18" ht="15" customHeight="1" x14ac:dyDescent="0.2">
      <c r="B376" s="256"/>
      <c r="C376" s="513"/>
      <c r="D376" s="516">
        <f t="shared" si="15"/>
        <v>0</v>
      </c>
      <c r="I376" s="256"/>
      <c r="J376" s="513"/>
      <c r="K376" s="516">
        <f t="shared" si="16"/>
        <v>0</v>
      </c>
      <c r="P376" s="256"/>
      <c r="Q376" s="513"/>
      <c r="R376" s="516">
        <f t="shared" si="17"/>
        <v>0</v>
      </c>
    </row>
    <row r="377" spans="2:18" ht="15" customHeight="1" x14ac:dyDescent="0.2">
      <c r="B377" s="256"/>
      <c r="C377" s="513"/>
      <c r="D377" s="516">
        <f t="shared" si="15"/>
        <v>0</v>
      </c>
      <c r="I377" s="256"/>
      <c r="J377" s="513"/>
      <c r="K377" s="516">
        <f t="shared" si="16"/>
        <v>0</v>
      </c>
      <c r="P377" s="256"/>
      <c r="Q377" s="513"/>
      <c r="R377" s="516">
        <f t="shared" si="17"/>
        <v>0</v>
      </c>
    </row>
    <row r="378" spans="2:18" ht="15" customHeight="1" x14ac:dyDescent="0.2">
      <c r="B378" s="256"/>
      <c r="C378" s="513"/>
      <c r="D378" s="516">
        <f t="shared" si="15"/>
        <v>0</v>
      </c>
      <c r="I378" s="256"/>
      <c r="J378" s="513"/>
      <c r="K378" s="516">
        <f t="shared" si="16"/>
        <v>0</v>
      </c>
      <c r="P378" s="256"/>
      <c r="Q378" s="513"/>
      <c r="R378" s="516">
        <f t="shared" si="17"/>
        <v>0</v>
      </c>
    </row>
    <row r="379" spans="2:18" ht="15" customHeight="1" x14ac:dyDescent="0.2">
      <c r="B379" s="256"/>
      <c r="C379" s="513"/>
      <c r="D379" s="516">
        <f t="shared" si="15"/>
        <v>0</v>
      </c>
      <c r="I379" s="256"/>
      <c r="J379" s="513"/>
      <c r="K379" s="516">
        <f t="shared" si="16"/>
        <v>0</v>
      </c>
      <c r="P379" s="256"/>
      <c r="Q379" s="513"/>
      <c r="R379" s="516">
        <f t="shared" si="17"/>
        <v>0</v>
      </c>
    </row>
    <row r="380" spans="2:18" ht="15" customHeight="1" x14ac:dyDescent="0.2">
      <c r="B380" s="256"/>
      <c r="C380" s="513"/>
      <c r="D380" s="516">
        <f t="shared" si="15"/>
        <v>0</v>
      </c>
      <c r="I380" s="256"/>
      <c r="J380" s="513"/>
      <c r="K380" s="516">
        <f t="shared" si="16"/>
        <v>0</v>
      </c>
      <c r="P380" s="256"/>
      <c r="Q380" s="513"/>
      <c r="R380" s="516">
        <f t="shared" si="17"/>
        <v>0</v>
      </c>
    </row>
    <row r="381" spans="2:18" ht="15" customHeight="1" x14ac:dyDescent="0.2">
      <c r="B381" s="256"/>
      <c r="C381" s="513"/>
      <c r="D381" s="516">
        <f t="shared" si="15"/>
        <v>0</v>
      </c>
      <c r="I381" s="256"/>
      <c r="J381" s="513"/>
      <c r="K381" s="516">
        <f t="shared" si="16"/>
        <v>0</v>
      </c>
      <c r="P381" s="256"/>
      <c r="Q381" s="513"/>
      <c r="R381" s="516">
        <f t="shared" si="17"/>
        <v>0</v>
      </c>
    </row>
    <row r="382" spans="2:18" ht="15" customHeight="1" x14ac:dyDescent="0.2">
      <c r="B382" s="256"/>
      <c r="C382" s="513"/>
      <c r="D382" s="516">
        <f t="shared" si="15"/>
        <v>0</v>
      </c>
      <c r="I382" s="256"/>
      <c r="J382" s="513"/>
      <c r="K382" s="516">
        <f t="shared" si="16"/>
        <v>0</v>
      </c>
      <c r="P382" s="256"/>
      <c r="Q382" s="513"/>
      <c r="R382" s="516">
        <f t="shared" si="17"/>
        <v>0</v>
      </c>
    </row>
    <row r="383" spans="2:18" ht="15" customHeight="1" x14ac:dyDescent="0.2">
      <c r="B383" s="256"/>
      <c r="C383" s="513"/>
      <c r="D383" s="516">
        <f t="shared" si="15"/>
        <v>0</v>
      </c>
      <c r="I383" s="256"/>
      <c r="J383" s="513"/>
      <c r="K383" s="516">
        <f t="shared" si="16"/>
        <v>0</v>
      </c>
      <c r="P383" s="256"/>
      <c r="Q383" s="513"/>
      <c r="R383" s="516">
        <f t="shared" si="17"/>
        <v>0</v>
      </c>
    </row>
    <row r="384" spans="2:18" ht="15" customHeight="1" x14ac:dyDescent="0.2">
      <c r="B384" s="256"/>
      <c r="C384" s="513"/>
      <c r="D384" s="516">
        <f t="shared" si="15"/>
        <v>0</v>
      </c>
      <c r="I384" s="256"/>
      <c r="J384" s="513"/>
      <c r="K384" s="516">
        <f t="shared" si="16"/>
        <v>0</v>
      </c>
      <c r="P384" s="256"/>
      <c r="Q384" s="513"/>
      <c r="R384" s="516">
        <f t="shared" si="17"/>
        <v>0</v>
      </c>
    </row>
    <row r="385" spans="2:18" ht="15" customHeight="1" x14ac:dyDescent="0.2">
      <c r="B385" s="256"/>
      <c r="C385" s="513"/>
      <c r="D385" s="516">
        <f t="shared" si="15"/>
        <v>0</v>
      </c>
      <c r="I385" s="256"/>
      <c r="J385" s="513"/>
      <c r="K385" s="516">
        <f t="shared" si="16"/>
        <v>0</v>
      </c>
      <c r="P385" s="256"/>
      <c r="Q385" s="513"/>
      <c r="R385" s="516">
        <f t="shared" si="17"/>
        <v>0</v>
      </c>
    </row>
    <row r="386" spans="2:18" ht="15" customHeight="1" x14ac:dyDescent="0.2">
      <c r="B386" s="256"/>
      <c r="C386" s="513"/>
      <c r="D386" s="516">
        <f t="shared" si="15"/>
        <v>0</v>
      </c>
      <c r="I386" s="256"/>
      <c r="J386" s="513"/>
      <c r="K386" s="516">
        <f t="shared" si="16"/>
        <v>0</v>
      </c>
      <c r="P386" s="256"/>
      <c r="Q386" s="513"/>
      <c r="R386" s="516">
        <f t="shared" si="17"/>
        <v>0</v>
      </c>
    </row>
    <row r="387" spans="2:18" ht="15" customHeight="1" x14ac:dyDescent="0.2">
      <c r="B387" s="256"/>
      <c r="C387" s="513"/>
      <c r="D387" s="516">
        <f t="shared" si="15"/>
        <v>0</v>
      </c>
      <c r="I387" s="256"/>
      <c r="J387" s="513"/>
      <c r="K387" s="516">
        <f t="shared" si="16"/>
        <v>0</v>
      </c>
      <c r="P387" s="256"/>
      <c r="Q387" s="513"/>
      <c r="R387" s="516">
        <f t="shared" si="17"/>
        <v>0</v>
      </c>
    </row>
    <row r="388" spans="2:18" ht="15" customHeight="1" x14ac:dyDescent="0.2">
      <c r="B388" s="256"/>
      <c r="C388" s="513"/>
      <c r="D388" s="516">
        <f t="shared" si="15"/>
        <v>0</v>
      </c>
      <c r="I388" s="256"/>
      <c r="J388" s="513"/>
      <c r="K388" s="516">
        <f t="shared" si="16"/>
        <v>0</v>
      </c>
      <c r="P388" s="256"/>
      <c r="Q388" s="513"/>
      <c r="R388" s="516">
        <f t="shared" si="17"/>
        <v>0</v>
      </c>
    </row>
    <row r="389" spans="2:18" ht="15" customHeight="1" x14ac:dyDescent="0.2">
      <c r="B389" s="256"/>
      <c r="C389" s="513"/>
      <c r="D389" s="516">
        <f t="shared" si="15"/>
        <v>0</v>
      </c>
      <c r="I389" s="256"/>
      <c r="J389" s="513"/>
      <c r="K389" s="516">
        <f t="shared" si="16"/>
        <v>0</v>
      </c>
      <c r="P389" s="256"/>
      <c r="Q389" s="513"/>
      <c r="R389" s="516">
        <f t="shared" si="17"/>
        <v>0</v>
      </c>
    </row>
    <row r="390" spans="2:18" ht="15" customHeight="1" x14ac:dyDescent="0.2">
      <c r="B390" s="256"/>
      <c r="C390" s="513"/>
      <c r="D390" s="516">
        <f t="shared" si="15"/>
        <v>0</v>
      </c>
      <c r="I390" s="256"/>
      <c r="J390" s="513"/>
      <c r="K390" s="516">
        <f t="shared" si="16"/>
        <v>0</v>
      </c>
      <c r="P390" s="256"/>
      <c r="Q390" s="513"/>
      <c r="R390" s="516">
        <f t="shared" si="17"/>
        <v>0</v>
      </c>
    </row>
    <row r="391" spans="2:18" ht="15" customHeight="1" x14ac:dyDescent="0.2">
      <c r="B391" s="256"/>
      <c r="C391" s="513"/>
      <c r="D391" s="516">
        <f t="shared" si="15"/>
        <v>0</v>
      </c>
      <c r="I391" s="256"/>
      <c r="J391" s="513"/>
      <c r="K391" s="516">
        <f t="shared" si="16"/>
        <v>0</v>
      </c>
      <c r="P391" s="256"/>
      <c r="Q391" s="513"/>
      <c r="R391" s="516">
        <f t="shared" si="17"/>
        <v>0</v>
      </c>
    </row>
    <row r="392" spans="2:18" ht="15" customHeight="1" x14ac:dyDescent="0.2">
      <c r="B392" s="256"/>
      <c r="C392" s="513"/>
      <c r="D392" s="516">
        <f t="shared" si="15"/>
        <v>0</v>
      </c>
      <c r="I392" s="256"/>
      <c r="J392" s="513"/>
      <c r="K392" s="516">
        <f t="shared" si="16"/>
        <v>0</v>
      </c>
      <c r="P392" s="256"/>
      <c r="Q392" s="513"/>
      <c r="R392" s="516">
        <f t="shared" si="17"/>
        <v>0</v>
      </c>
    </row>
    <row r="393" spans="2:18" ht="15" customHeight="1" x14ac:dyDescent="0.2">
      <c r="B393" s="256"/>
      <c r="C393" s="513"/>
      <c r="D393" s="516">
        <f t="shared" si="15"/>
        <v>0</v>
      </c>
      <c r="I393" s="256"/>
      <c r="J393" s="513"/>
      <c r="K393" s="516">
        <f t="shared" si="16"/>
        <v>0</v>
      </c>
      <c r="P393" s="256"/>
      <c r="Q393" s="513"/>
      <c r="R393" s="516">
        <f t="shared" si="17"/>
        <v>0</v>
      </c>
    </row>
    <row r="394" spans="2:18" ht="15" customHeight="1" x14ac:dyDescent="0.2">
      <c r="B394" s="256"/>
      <c r="C394" s="513"/>
      <c r="D394" s="516">
        <f t="shared" si="15"/>
        <v>0</v>
      </c>
      <c r="I394" s="256"/>
      <c r="J394" s="513"/>
      <c r="K394" s="516">
        <f t="shared" si="16"/>
        <v>0</v>
      </c>
      <c r="P394" s="256"/>
      <c r="Q394" s="513"/>
      <c r="R394" s="516">
        <f t="shared" si="17"/>
        <v>0</v>
      </c>
    </row>
    <row r="395" spans="2:18" ht="15" customHeight="1" x14ac:dyDescent="0.2">
      <c r="B395" s="256"/>
      <c r="C395" s="513"/>
      <c r="D395" s="516">
        <f t="shared" si="15"/>
        <v>0</v>
      </c>
      <c r="I395" s="256"/>
      <c r="J395" s="513"/>
      <c r="K395" s="516">
        <f t="shared" si="16"/>
        <v>0</v>
      </c>
      <c r="P395" s="256"/>
      <c r="Q395" s="513"/>
      <c r="R395" s="516">
        <f t="shared" si="17"/>
        <v>0</v>
      </c>
    </row>
    <row r="396" spans="2:18" ht="15" customHeight="1" x14ac:dyDescent="0.2">
      <c r="B396" s="256"/>
      <c r="C396" s="513"/>
      <c r="D396" s="516">
        <f t="shared" si="15"/>
        <v>0</v>
      </c>
      <c r="I396" s="256"/>
      <c r="J396" s="513"/>
      <c r="K396" s="516">
        <f t="shared" si="16"/>
        <v>0</v>
      </c>
      <c r="P396" s="256"/>
      <c r="Q396" s="513"/>
      <c r="R396" s="516">
        <f t="shared" si="17"/>
        <v>0</v>
      </c>
    </row>
    <row r="397" spans="2:18" ht="15" customHeight="1" x14ac:dyDescent="0.2">
      <c r="B397" s="256"/>
      <c r="C397" s="513"/>
      <c r="D397" s="516">
        <f t="shared" si="15"/>
        <v>0</v>
      </c>
      <c r="I397" s="256"/>
      <c r="J397" s="513"/>
      <c r="K397" s="516">
        <f t="shared" si="16"/>
        <v>0</v>
      </c>
      <c r="P397" s="256"/>
      <c r="Q397" s="513"/>
      <c r="R397" s="516">
        <f t="shared" si="17"/>
        <v>0</v>
      </c>
    </row>
    <row r="398" spans="2:18" ht="15" customHeight="1" x14ac:dyDescent="0.2">
      <c r="B398" s="256"/>
      <c r="C398" s="513"/>
      <c r="D398" s="516">
        <f t="shared" si="15"/>
        <v>0</v>
      </c>
      <c r="I398" s="256"/>
      <c r="J398" s="513"/>
      <c r="K398" s="516">
        <f t="shared" si="16"/>
        <v>0</v>
      </c>
      <c r="P398" s="256"/>
      <c r="Q398" s="513"/>
      <c r="R398" s="516">
        <f t="shared" si="17"/>
        <v>0</v>
      </c>
    </row>
    <row r="399" spans="2:18" ht="15" customHeight="1" x14ac:dyDescent="0.2">
      <c r="B399" s="256"/>
      <c r="C399" s="513"/>
      <c r="D399" s="516">
        <f t="shared" si="15"/>
        <v>0</v>
      </c>
      <c r="I399" s="256"/>
      <c r="J399" s="513"/>
      <c r="K399" s="516">
        <f t="shared" si="16"/>
        <v>0</v>
      </c>
      <c r="P399" s="256"/>
      <c r="Q399" s="513"/>
      <c r="R399" s="516">
        <f t="shared" si="17"/>
        <v>0</v>
      </c>
    </row>
    <row r="400" spans="2:18" ht="15" customHeight="1" x14ac:dyDescent="0.2">
      <c r="B400" s="256"/>
      <c r="C400" s="513"/>
      <c r="D400" s="516">
        <f t="shared" si="15"/>
        <v>0</v>
      </c>
      <c r="I400" s="256"/>
      <c r="J400" s="513"/>
      <c r="K400" s="516">
        <f t="shared" si="16"/>
        <v>0</v>
      </c>
      <c r="P400" s="256"/>
      <c r="Q400" s="513"/>
      <c r="R400" s="516">
        <f t="shared" si="17"/>
        <v>0</v>
      </c>
    </row>
    <row r="401" spans="2:18" ht="15" customHeight="1" x14ac:dyDescent="0.2">
      <c r="B401" s="256"/>
      <c r="C401" s="513"/>
      <c r="D401" s="516">
        <f t="shared" si="15"/>
        <v>0</v>
      </c>
      <c r="I401" s="256"/>
      <c r="J401" s="513"/>
      <c r="K401" s="516">
        <f t="shared" si="16"/>
        <v>0</v>
      </c>
      <c r="P401" s="256"/>
      <c r="Q401" s="513"/>
      <c r="R401" s="516">
        <f t="shared" si="17"/>
        <v>0</v>
      </c>
    </row>
    <row r="402" spans="2:18" ht="15" customHeight="1" x14ac:dyDescent="0.2">
      <c r="B402" s="256"/>
      <c r="C402" s="513"/>
      <c r="D402" s="516">
        <f t="shared" ref="D402:D465" si="18">C402/1000</f>
        <v>0</v>
      </c>
      <c r="I402" s="256"/>
      <c r="J402" s="513"/>
      <c r="K402" s="516">
        <f t="shared" ref="K402:K465" si="19">J402/1000</f>
        <v>0</v>
      </c>
      <c r="P402" s="256"/>
      <c r="Q402" s="513"/>
      <c r="R402" s="516">
        <f t="shared" ref="R402:R465" si="20">Q402/1000</f>
        <v>0</v>
      </c>
    </row>
    <row r="403" spans="2:18" ht="15" customHeight="1" x14ac:dyDescent="0.2">
      <c r="B403" s="256"/>
      <c r="C403" s="513"/>
      <c r="D403" s="516">
        <f t="shared" si="18"/>
        <v>0</v>
      </c>
      <c r="I403" s="256"/>
      <c r="J403" s="513"/>
      <c r="K403" s="516">
        <f t="shared" si="19"/>
        <v>0</v>
      </c>
      <c r="P403" s="256"/>
      <c r="Q403" s="513"/>
      <c r="R403" s="516">
        <f t="shared" si="20"/>
        <v>0</v>
      </c>
    </row>
    <row r="404" spans="2:18" ht="15" customHeight="1" x14ac:dyDescent="0.2">
      <c r="B404" s="256"/>
      <c r="C404" s="513"/>
      <c r="D404" s="516">
        <f t="shared" si="18"/>
        <v>0</v>
      </c>
      <c r="I404" s="256"/>
      <c r="J404" s="513"/>
      <c r="K404" s="516">
        <f t="shared" si="19"/>
        <v>0</v>
      </c>
      <c r="P404" s="256"/>
      <c r="Q404" s="513"/>
      <c r="R404" s="516">
        <f t="shared" si="20"/>
        <v>0</v>
      </c>
    </row>
    <row r="405" spans="2:18" ht="15" customHeight="1" x14ac:dyDescent="0.2">
      <c r="B405" s="256"/>
      <c r="C405" s="513"/>
      <c r="D405" s="516">
        <f t="shared" si="18"/>
        <v>0</v>
      </c>
      <c r="I405" s="256"/>
      <c r="J405" s="513"/>
      <c r="K405" s="516">
        <f t="shared" si="19"/>
        <v>0</v>
      </c>
      <c r="P405" s="256"/>
      <c r="Q405" s="513"/>
      <c r="R405" s="516">
        <f t="shared" si="20"/>
        <v>0</v>
      </c>
    </row>
    <row r="406" spans="2:18" ht="15" customHeight="1" x14ac:dyDescent="0.2">
      <c r="B406" s="256"/>
      <c r="C406" s="513"/>
      <c r="D406" s="516">
        <f t="shared" si="18"/>
        <v>0</v>
      </c>
      <c r="I406" s="256"/>
      <c r="J406" s="513"/>
      <c r="K406" s="516">
        <f t="shared" si="19"/>
        <v>0</v>
      </c>
      <c r="P406" s="256"/>
      <c r="Q406" s="513"/>
      <c r="R406" s="516">
        <f t="shared" si="20"/>
        <v>0</v>
      </c>
    </row>
    <row r="407" spans="2:18" ht="15" customHeight="1" x14ac:dyDescent="0.2">
      <c r="B407" s="256"/>
      <c r="C407" s="513"/>
      <c r="D407" s="516">
        <f t="shared" si="18"/>
        <v>0</v>
      </c>
      <c r="I407" s="256"/>
      <c r="J407" s="513"/>
      <c r="K407" s="516">
        <f t="shared" si="19"/>
        <v>0</v>
      </c>
      <c r="P407" s="256"/>
      <c r="Q407" s="513"/>
      <c r="R407" s="516">
        <f t="shared" si="20"/>
        <v>0</v>
      </c>
    </row>
    <row r="408" spans="2:18" ht="15" customHeight="1" x14ac:dyDescent="0.2">
      <c r="B408" s="256"/>
      <c r="C408" s="513"/>
      <c r="D408" s="516">
        <f t="shared" si="18"/>
        <v>0</v>
      </c>
      <c r="I408" s="256"/>
      <c r="J408" s="513"/>
      <c r="K408" s="516">
        <f t="shared" si="19"/>
        <v>0</v>
      </c>
      <c r="P408" s="256"/>
      <c r="Q408" s="513"/>
      <c r="R408" s="516">
        <f t="shared" si="20"/>
        <v>0</v>
      </c>
    </row>
    <row r="409" spans="2:18" ht="15" customHeight="1" x14ac:dyDescent="0.2">
      <c r="B409" s="256"/>
      <c r="C409" s="513"/>
      <c r="D409" s="516">
        <f t="shared" si="18"/>
        <v>0</v>
      </c>
      <c r="I409" s="256"/>
      <c r="J409" s="513"/>
      <c r="K409" s="516">
        <f t="shared" si="19"/>
        <v>0</v>
      </c>
      <c r="P409" s="256"/>
      <c r="Q409" s="513"/>
      <c r="R409" s="516">
        <f t="shared" si="20"/>
        <v>0</v>
      </c>
    </row>
    <row r="410" spans="2:18" ht="15" customHeight="1" x14ac:dyDescent="0.2">
      <c r="B410" s="256"/>
      <c r="C410" s="513"/>
      <c r="D410" s="516">
        <f t="shared" si="18"/>
        <v>0</v>
      </c>
      <c r="I410" s="256"/>
      <c r="J410" s="513"/>
      <c r="K410" s="516">
        <f t="shared" si="19"/>
        <v>0</v>
      </c>
      <c r="P410" s="256"/>
      <c r="Q410" s="513"/>
      <c r="R410" s="516">
        <f t="shared" si="20"/>
        <v>0</v>
      </c>
    </row>
    <row r="411" spans="2:18" ht="15" customHeight="1" x14ac:dyDescent="0.2">
      <c r="B411" s="256"/>
      <c r="C411" s="513"/>
      <c r="D411" s="516">
        <f t="shared" si="18"/>
        <v>0</v>
      </c>
      <c r="I411" s="256"/>
      <c r="J411" s="513"/>
      <c r="K411" s="516">
        <f t="shared" si="19"/>
        <v>0</v>
      </c>
      <c r="P411" s="256"/>
      <c r="Q411" s="513"/>
      <c r="R411" s="516">
        <f t="shared" si="20"/>
        <v>0</v>
      </c>
    </row>
    <row r="412" spans="2:18" ht="15" customHeight="1" x14ac:dyDescent="0.2">
      <c r="B412" s="256"/>
      <c r="C412" s="513"/>
      <c r="D412" s="516">
        <f t="shared" si="18"/>
        <v>0</v>
      </c>
      <c r="I412" s="256"/>
      <c r="J412" s="513"/>
      <c r="K412" s="516">
        <f t="shared" si="19"/>
        <v>0</v>
      </c>
      <c r="P412" s="256"/>
      <c r="Q412" s="513"/>
      <c r="R412" s="516">
        <f t="shared" si="20"/>
        <v>0</v>
      </c>
    </row>
    <row r="413" spans="2:18" ht="15" customHeight="1" x14ac:dyDescent="0.2">
      <c r="B413" s="256"/>
      <c r="C413" s="513"/>
      <c r="D413" s="516">
        <f t="shared" si="18"/>
        <v>0</v>
      </c>
      <c r="I413" s="256"/>
      <c r="J413" s="513"/>
      <c r="K413" s="516">
        <f t="shared" si="19"/>
        <v>0</v>
      </c>
      <c r="P413" s="256"/>
      <c r="Q413" s="513"/>
      <c r="R413" s="516">
        <f t="shared" si="20"/>
        <v>0</v>
      </c>
    </row>
    <row r="414" spans="2:18" ht="15" customHeight="1" x14ac:dyDescent="0.2">
      <c r="B414" s="256"/>
      <c r="C414" s="513"/>
      <c r="D414" s="516">
        <f t="shared" si="18"/>
        <v>0</v>
      </c>
      <c r="I414" s="256"/>
      <c r="J414" s="513"/>
      <c r="K414" s="516">
        <f t="shared" si="19"/>
        <v>0</v>
      </c>
      <c r="P414" s="256"/>
      <c r="Q414" s="513"/>
      <c r="R414" s="516">
        <f t="shared" si="20"/>
        <v>0</v>
      </c>
    </row>
    <row r="415" spans="2:18" ht="15" customHeight="1" x14ac:dyDescent="0.2">
      <c r="B415" s="256"/>
      <c r="C415" s="513"/>
      <c r="D415" s="516">
        <f t="shared" si="18"/>
        <v>0</v>
      </c>
      <c r="I415" s="256"/>
      <c r="J415" s="513"/>
      <c r="K415" s="516">
        <f t="shared" si="19"/>
        <v>0</v>
      </c>
      <c r="P415" s="256"/>
      <c r="Q415" s="513"/>
      <c r="R415" s="516">
        <f t="shared" si="20"/>
        <v>0</v>
      </c>
    </row>
    <row r="416" spans="2:18" ht="15" customHeight="1" x14ac:dyDescent="0.2">
      <c r="B416" s="256"/>
      <c r="C416" s="513"/>
      <c r="D416" s="516">
        <f t="shared" si="18"/>
        <v>0</v>
      </c>
      <c r="I416" s="256"/>
      <c r="J416" s="513"/>
      <c r="K416" s="516">
        <f t="shared" si="19"/>
        <v>0</v>
      </c>
      <c r="P416" s="256"/>
      <c r="Q416" s="513"/>
      <c r="R416" s="516">
        <f t="shared" si="20"/>
        <v>0</v>
      </c>
    </row>
    <row r="417" spans="2:18" ht="15" customHeight="1" x14ac:dyDescent="0.2">
      <c r="B417" s="256"/>
      <c r="C417" s="513"/>
      <c r="D417" s="516">
        <f t="shared" si="18"/>
        <v>0</v>
      </c>
      <c r="I417" s="256"/>
      <c r="J417" s="513"/>
      <c r="K417" s="516">
        <f t="shared" si="19"/>
        <v>0</v>
      </c>
      <c r="P417" s="256"/>
      <c r="Q417" s="513"/>
      <c r="R417" s="516">
        <f t="shared" si="20"/>
        <v>0</v>
      </c>
    </row>
    <row r="418" spans="2:18" ht="15" customHeight="1" x14ac:dyDescent="0.2">
      <c r="B418" s="256"/>
      <c r="C418" s="513"/>
      <c r="D418" s="516">
        <f t="shared" si="18"/>
        <v>0</v>
      </c>
      <c r="I418" s="256"/>
      <c r="J418" s="513"/>
      <c r="K418" s="516">
        <f t="shared" si="19"/>
        <v>0</v>
      </c>
      <c r="P418" s="256"/>
      <c r="Q418" s="513"/>
      <c r="R418" s="516">
        <f t="shared" si="20"/>
        <v>0</v>
      </c>
    </row>
    <row r="419" spans="2:18" ht="15" customHeight="1" x14ac:dyDescent="0.2">
      <c r="B419" s="256"/>
      <c r="C419" s="513"/>
      <c r="D419" s="516">
        <f t="shared" si="18"/>
        <v>0</v>
      </c>
      <c r="I419" s="256"/>
      <c r="J419" s="513"/>
      <c r="K419" s="516">
        <f t="shared" si="19"/>
        <v>0</v>
      </c>
      <c r="P419" s="256"/>
      <c r="Q419" s="513"/>
      <c r="R419" s="516">
        <f t="shared" si="20"/>
        <v>0</v>
      </c>
    </row>
    <row r="420" spans="2:18" ht="15" customHeight="1" x14ac:dyDescent="0.2">
      <c r="B420" s="256"/>
      <c r="C420" s="513"/>
      <c r="D420" s="516">
        <f t="shared" si="18"/>
        <v>0</v>
      </c>
      <c r="I420" s="256"/>
      <c r="J420" s="513"/>
      <c r="K420" s="516">
        <f t="shared" si="19"/>
        <v>0</v>
      </c>
      <c r="P420" s="256"/>
      <c r="Q420" s="513"/>
      <c r="R420" s="516">
        <f t="shared" si="20"/>
        <v>0</v>
      </c>
    </row>
    <row r="421" spans="2:18" ht="15" customHeight="1" x14ac:dyDescent="0.2">
      <c r="B421" s="256"/>
      <c r="C421" s="513"/>
      <c r="D421" s="516">
        <f t="shared" si="18"/>
        <v>0</v>
      </c>
      <c r="I421" s="256"/>
      <c r="J421" s="513"/>
      <c r="K421" s="516">
        <f t="shared" si="19"/>
        <v>0</v>
      </c>
      <c r="P421" s="256"/>
      <c r="Q421" s="513"/>
      <c r="R421" s="516">
        <f t="shared" si="20"/>
        <v>0</v>
      </c>
    </row>
    <row r="422" spans="2:18" ht="15" customHeight="1" x14ac:dyDescent="0.2">
      <c r="B422" s="256"/>
      <c r="C422" s="513"/>
      <c r="D422" s="516">
        <f t="shared" si="18"/>
        <v>0</v>
      </c>
      <c r="I422" s="256"/>
      <c r="J422" s="513"/>
      <c r="K422" s="516">
        <f t="shared" si="19"/>
        <v>0</v>
      </c>
      <c r="P422" s="256"/>
      <c r="Q422" s="513"/>
      <c r="R422" s="516">
        <f t="shared" si="20"/>
        <v>0</v>
      </c>
    </row>
    <row r="423" spans="2:18" ht="15" customHeight="1" x14ac:dyDescent="0.2">
      <c r="B423" s="256"/>
      <c r="C423" s="513"/>
      <c r="D423" s="516">
        <f t="shared" si="18"/>
        <v>0</v>
      </c>
      <c r="I423" s="256"/>
      <c r="J423" s="513"/>
      <c r="K423" s="516">
        <f t="shared" si="19"/>
        <v>0</v>
      </c>
      <c r="P423" s="256"/>
      <c r="Q423" s="513"/>
      <c r="R423" s="516">
        <f t="shared" si="20"/>
        <v>0</v>
      </c>
    </row>
    <row r="424" spans="2:18" ht="15" customHeight="1" x14ac:dyDescent="0.2">
      <c r="B424" s="256"/>
      <c r="C424" s="513"/>
      <c r="D424" s="516">
        <f t="shared" si="18"/>
        <v>0</v>
      </c>
      <c r="I424" s="256"/>
      <c r="J424" s="513"/>
      <c r="K424" s="516">
        <f t="shared" si="19"/>
        <v>0</v>
      </c>
      <c r="P424" s="256"/>
      <c r="Q424" s="513"/>
      <c r="R424" s="516">
        <f t="shared" si="20"/>
        <v>0</v>
      </c>
    </row>
    <row r="425" spans="2:18" ht="15" customHeight="1" x14ac:dyDescent="0.2">
      <c r="B425" s="256"/>
      <c r="C425" s="513"/>
      <c r="D425" s="516">
        <f t="shared" si="18"/>
        <v>0</v>
      </c>
      <c r="I425" s="256"/>
      <c r="J425" s="513"/>
      <c r="K425" s="516">
        <f t="shared" si="19"/>
        <v>0</v>
      </c>
      <c r="P425" s="256"/>
      <c r="Q425" s="513"/>
      <c r="R425" s="516">
        <f t="shared" si="20"/>
        <v>0</v>
      </c>
    </row>
    <row r="426" spans="2:18" ht="15" customHeight="1" x14ac:dyDescent="0.2">
      <c r="B426" s="256"/>
      <c r="C426" s="513"/>
      <c r="D426" s="516">
        <f t="shared" si="18"/>
        <v>0</v>
      </c>
      <c r="I426" s="256"/>
      <c r="J426" s="513"/>
      <c r="K426" s="516">
        <f t="shared" si="19"/>
        <v>0</v>
      </c>
      <c r="P426" s="256"/>
      <c r="Q426" s="513"/>
      <c r="R426" s="516">
        <f t="shared" si="20"/>
        <v>0</v>
      </c>
    </row>
    <row r="427" spans="2:18" ht="15" customHeight="1" x14ac:dyDescent="0.2">
      <c r="B427" s="256"/>
      <c r="C427" s="513"/>
      <c r="D427" s="516">
        <f t="shared" si="18"/>
        <v>0</v>
      </c>
      <c r="I427" s="256"/>
      <c r="J427" s="513"/>
      <c r="K427" s="516">
        <f t="shared" si="19"/>
        <v>0</v>
      </c>
      <c r="P427" s="256"/>
      <c r="Q427" s="513"/>
      <c r="R427" s="516">
        <f t="shared" si="20"/>
        <v>0</v>
      </c>
    </row>
    <row r="428" spans="2:18" ht="15" customHeight="1" x14ac:dyDescent="0.2">
      <c r="B428" s="256"/>
      <c r="C428" s="513"/>
      <c r="D428" s="516">
        <f t="shared" si="18"/>
        <v>0</v>
      </c>
      <c r="I428" s="256"/>
      <c r="J428" s="513"/>
      <c r="K428" s="516">
        <f t="shared" si="19"/>
        <v>0</v>
      </c>
      <c r="P428" s="256"/>
      <c r="Q428" s="513"/>
      <c r="R428" s="516">
        <f t="shared" si="20"/>
        <v>0</v>
      </c>
    </row>
    <row r="429" spans="2:18" ht="15" customHeight="1" x14ac:dyDescent="0.2">
      <c r="B429" s="256"/>
      <c r="C429" s="513"/>
      <c r="D429" s="516">
        <f t="shared" si="18"/>
        <v>0</v>
      </c>
      <c r="I429" s="256"/>
      <c r="J429" s="513"/>
      <c r="K429" s="516">
        <f t="shared" si="19"/>
        <v>0</v>
      </c>
      <c r="P429" s="256"/>
      <c r="Q429" s="513"/>
      <c r="R429" s="516">
        <f t="shared" si="20"/>
        <v>0</v>
      </c>
    </row>
    <row r="430" spans="2:18" ht="15" customHeight="1" x14ac:dyDescent="0.2">
      <c r="B430" s="256"/>
      <c r="C430" s="513"/>
      <c r="D430" s="516">
        <f t="shared" si="18"/>
        <v>0</v>
      </c>
      <c r="I430" s="256"/>
      <c r="J430" s="513"/>
      <c r="K430" s="516">
        <f t="shared" si="19"/>
        <v>0</v>
      </c>
      <c r="P430" s="256"/>
      <c r="Q430" s="513"/>
      <c r="R430" s="516">
        <f t="shared" si="20"/>
        <v>0</v>
      </c>
    </row>
    <row r="431" spans="2:18" ht="15" customHeight="1" x14ac:dyDescent="0.2">
      <c r="B431" s="256"/>
      <c r="C431" s="513"/>
      <c r="D431" s="516">
        <f t="shared" si="18"/>
        <v>0</v>
      </c>
      <c r="I431" s="256"/>
      <c r="J431" s="513"/>
      <c r="K431" s="516">
        <f t="shared" si="19"/>
        <v>0</v>
      </c>
      <c r="P431" s="256"/>
      <c r="Q431" s="513"/>
      <c r="R431" s="516">
        <f t="shared" si="20"/>
        <v>0</v>
      </c>
    </row>
    <row r="432" spans="2:18" ht="15" customHeight="1" x14ac:dyDescent="0.2">
      <c r="B432" s="256"/>
      <c r="C432" s="513"/>
      <c r="D432" s="516">
        <f t="shared" si="18"/>
        <v>0</v>
      </c>
      <c r="I432" s="256"/>
      <c r="J432" s="513"/>
      <c r="K432" s="516">
        <f t="shared" si="19"/>
        <v>0</v>
      </c>
      <c r="P432" s="256"/>
      <c r="Q432" s="513"/>
      <c r="R432" s="516">
        <f t="shared" si="20"/>
        <v>0</v>
      </c>
    </row>
    <row r="433" spans="2:18" ht="15" customHeight="1" x14ac:dyDescent="0.2">
      <c r="B433" s="256"/>
      <c r="C433" s="513"/>
      <c r="D433" s="516">
        <f t="shared" si="18"/>
        <v>0</v>
      </c>
      <c r="I433" s="256"/>
      <c r="J433" s="513"/>
      <c r="K433" s="516">
        <f t="shared" si="19"/>
        <v>0</v>
      </c>
      <c r="P433" s="256"/>
      <c r="Q433" s="513"/>
      <c r="R433" s="516">
        <f t="shared" si="20"/>
        <v>0</v>
      </c>
    </row>
    <row r="434" spans="2:18" ht="15" customHeight="1" x14ac:dyDescent="0.2">
      <c r="B434" s="256"/>
      <c r="C434" s="513"/>
      <c r="D434" s="516">
        <f t="shared" si="18"/>
        <v>0</v>
      </c>
      <c r="I434" s="256"/>
      <c r="J434" s="513"/>
      <c r="K434" s="516">
        <f t="shared" si="19"/>
        <v>0</v>
      </c>
      <c r="P434" s="256"/>
      <c r="Q434" s="513"/>
      <c r="R434" s="516">
        <f t="shared" si="20"/>
        <v>0</v>
      </c>
    </row>
    <row r="435" spans="2:18" ht="15" customHeight="1" x14ac:dyDescent="0.2">
      <c r="B435" s="256"/>
      <c r="C435" s="513"/>
      <c r="D435" s="516">
        <f t="shared" si="18"/>
        <v>0</v>
      </c>
      <c r="I435" s="256"/>
      <c r="J435" s="513"/>
      <c r="K435" s="516">
        <f t="shared" si="19"/>
        <v>0</v>
      </c>
      <c r="P435" s="256"/>
      <c r="Q435" s="513"/>
      <c r="R435" s="516">
        <f t="shared" si="20"/>
        <v>0</v>
      </c>
    </row>
    <row r="436" spans="2:18" ht="15" customHeight="1" x14ac:dyDescent="0.2">
      <c r="B436" s="256"/>
      <c r="C436" s="513"/>
      <c r="D436" s="516">
        <f t="shared" si="18"/>
        <v>0</v>
      </c>
      <c r="I436" s="256"/>
      <c r="J436" s="513"/>
      <c r="K436" s="516">
        <f t="shared" si="19"/>
        <v>0</v>
      </c>
      <c r="P436" s="256"/>
      <c r="Q436" s="513"/>
      <c r="R436" s="516">
        <f t="shared" si="20"/>
        <v>0</v>
      </c>
    </row>
    <row r="437" spans="2:18" ht="15" customHeight="1" x14ac:dyDescent="0.2">
      <c r="B437" s="256"/>
      <c r="C437" s="513"/>
      <c r="D437" s="516">
        <f t="shared" si="18"/>
        <v>0</v>
      </c>
      <c r="I437" s="256"/>
      <c r="J437" s="513"/>
      <c r="K437" s="516">
        <f t="shared" si="19"/>
        <v>0</v>
      </c>
      <c r="P437" s="256"/>
      <c r="Q437" s="513"/>
      <c r="R437" s="516">
        <f t="shared" si="20"/>
        <v>0</v>
      </c>
    </row>
    <row r="438" spans="2:18" ht="15" customHeight="1" x14ac:dyDescent="0.2">
      <c r="B438" s="256"/>
      <c r="C438" s="513"/>
      <c r="D438" s="516">
        <f t="shared" si="18"/>
        <v>0</v>
      </c>
      <c r="I438" s="256"/>
      <c r="J438" s="513"/>
      <c r="K438" s="516">
        <f t="shared" si="19"/>
        <v>0</v>
      </c>
      <c r="P438" s="256"/>
      <c r="Q438" s="513"/>
      <c r="R438" s="516">
        <f t="shared" si="20"/>
        <v>0</v>
      </c>
    </row>
    <row r="439" spans="2:18" ht="15" customHeight="1" x14ac:dyDescent="0.2">
      <c r="B439" s="256"/>
      <c r="C439" s="513"/>
      <c r="D439" s="516">
        <f t="shared" si="18"/>
        <v>0</v>
      </c>
      <c r="I439" s="256"/>
      <c r="J439" s="513"/>
      <c r="K439" s="516">
        <f t="shared" si="19"/>
        <v>0</v>
      </c>
      <c r="P439" s="256"/>
      <c r="Q439" s="513"/>
      <c r="R439" s="516">
        <f t="shared" si="20"/>
        <v>0</v>
      </c>
    </row>
    <row r="440" spans="2:18" ht="15" customHeight="1" x14ac:dyDescent="0.2">
      <c r="B440" s="256"/>
      <c r="C440" s="513"/>
      <c r="D440" s="516">
        <f t="shared" si="18"/>
        <v>0</v>
      </c>
      <c r="I440" s="256"/>
      <c r="J440" s="513"/>
      <c r="K440" s="516">
        <f t="shared" si="19"/>
        <v>0</v>
      </c>
      <c r="P440" s="256"/>
      <c r="Q440" s="513"/>
      <c r="R440" s="516">
        <f t="shared" si="20"/>
        <v>0</v>
      </c>
    </row>
    <row r="441" spans="2:18" ht="15" customHeight="1" x14ac:dyDescent="0.2">
      <c r="B441" s="256"/>
      <c r="C441" s="513"/>
      <c r="D441" s="516">
        <f t="shared" si="18"/>
        <v>0</v>
      </c>
      <c r="I441" s="256"/>
      <c r="J441" s="513"/>
      <c r="K441" s="516">
        <f t="shared" si="19"/>
        <v>0</v>
      </c>
      <c r="P441" s="256"/>
      <c r="Q441" s="513"/>
      <c r="R441" s="516">
        <f t="shared" si="20"/>
        <v>0</v>
      </c>
    </row>
    <row r="442" spans="2:18" ht="15" customHeight="1" x14ac:dyDescent="0.2">
      <c r="B442" s="256"/>
      <c r="C442" s="513"/>
      <c r="D442" s="516">
        <f t="shared" si="18"/>
        <v>0</v>
      </c>
      <c r="I442" s="256"/>
      <c r="J442" s="513"/>
      <c r="K442" s="516">
        <f t="shared" si="19"/>
        <v>0</v>
      </c>
      <c r="P442" s="256"/>
      <c r="Q442" s="513"/>
      <c r="R442" s="516">
        <f t="shared" si="20"/>
        <v>0</v>
      </c>
    </row>
    <row r="443" spans="2:18" ht="15" customHeight="1" x14ac:dyDescent="0.2">
      <c r="B443" s="256"/>
      <c r="C443" s="513"/>
      <c r="D443" s="516">
        <f t="shared" si="18"/>
        <v>0</v>
      </c>
      <c r="I443" s="256"/>
      <c r="J443" s="513"/>
      <c r="K443" s="516">
        <f t="shared" si="19"/>
        <v>0</v>
      </c>
      <c r="P443" s="256"/>
      <c r="Q443" s="513"/>
      <c r="R443" s="516">
        <f t="shared" si="20"/>
        <v>0</v>
      </c>
    </row>
    <row r="444" spans="2:18" ht="15" customHeight="1" x14ac:dyDescent="0.2">
      <c r="B444" s="256"/>
      <c r="C444" s="513"/>
      <c r="D444" s="516">
        <f t="shared" si="18"/>
        <v>0</v>
      </c>
      <c r="I444" s="256"/>
      <c r="J444" s="513"/>
      <c r="K444" s="516">
        <f t="shared" si="19"/>
        <v>0</v>
      </c>
      <c r="P444" s="256"/>
      <c r="Q444" s="513"/>
      <c r="R444" s="516">
        <f t="shared" si="20"/>
        <v>0</v>
      </c>
    </row>
    <row r="445" spans="2:18" ht="15" customHeight="1" x14ac:dyDescent="0.2">
      <c r="B445" s="256"/>
      <c r="C445" s="513"/>
      <c r="D445" s="516">
        <f t="shared" si="18"/>
        <v>0</v>
      </c>
      <c r="I445" s="256"/>
      <c r="J445" s="513"/>
      <c r="K445" s="516">
        <f t="shared" si="19"/>
        <v>0</v>
      </c>
      <c r="P445" s="256"/>
      <c r="Q445" s="513"/>
      <c r="R445" s="516">
        <f t="shared" si="20"/>
        <v>0</v>
      </c>
    </row>
    <row r="446" spans="2:18" ht="15" customHeight="1" x14ac:dyDescent="0.2">
      <c r="B446" s="256"/>
      <c r="C446" s="513"/>
      <c r="D446" s="516">
        <f t="shared" si="18"/>
        <v>0</v>
      </c>
      <c r="I446" s="256"/>
      <c r="J446" s="513"/>
      <c r="K446" s="516">
        <f t="shared" si="19"/>
        <v>0</v>
      </c>
      <c r="P446" s="256"/>
      <c r="Q446" s="513"/>
      <c r="R446" s="516">
        <f t="shared" si="20"/>
        <v>0</v>
      </c>
    </row>
    <row r="447" spans="2:18" ht="15" customHeight="1" x14ac:dyDescent="0.2">
      <c r="B447" s="256"/>
      <c r="C447" s="513"/>
      <c r="D447" s="516">
        <f t="shared" si="18"/>
        <v>0</v>
      </c>
      <c r="I447" s="256"/>
      <c r="J447" s="513"/>
      <c r="K447" s="516">
        <f t="shared" si="19"/>
        <v>0</v>
      </c>
      <c r="P447" s="256"/>
      <c r="Q447" s="513"/>
      <c r="R447" s="516">
        <f t="shared" si="20"/>
        <v>0</v>
      </c>
    </row>
    <row r="448" spans="2:18" ht="15" customHeight="1" x14ac:dyDescent="0.2">
      <c r="B448" s="256"/>
      <c r="C448" s="513"/>
      <c r="D448" s="516">
        <f t="shared" si="18"/>
        <v>0</v>
      </c>
      <c r="I448" s="256"/>
      <c r="J448" s="513"/>
      <c r="K448" s="516">
        <f t="shared" si="19"/>
        <v>0</v>
      </c>
      <c r="P448" s="256"/>
      <c r="Q448" s="513"/>
      <c r="R448" s="516">
        <f t="shared" si="20"/>
        <v>0</v>
      </c>
    </row>
    <row r="449" spans="2:18" ht="15" customHeight="1" x14ac:dyDescent="0.2">
      <c r="B449" s="256"/>
      <c r="C449" s="513"/>
      <c r="D449" s="516">
        <f t="shared" si="18"/>
        <v>0</v>
      </c>
      <c r="I449" s="256"/>
      <c r="J449" s="513"/>
      <c r="K449" s="516">
        <f t="shared" si="19"/>
        <v>0</v>
      </c>
      <c r="P449" s="256"/>
      <c r="Q449" s="513"/>
      <c r="R449" s="516">
        <f t="shared" si="20"/>
        <v>0</v>
      </c>
    </row>
    <row r="450" spans="2:18" ht="15" customHeight="1" x14ac:dyDescent="0.2">
      <c r="B450" s="256"/>
      <c r="C450" s="513"/>
      <c r="D450" s="516">
        <f t="shared" si="18"/>
        <v>0</v>
      </c>
      <c r="I450" s="256"/>
      <c r="J450" s="513"/>
      <c r="K450" s="516">
        <f t="shared" si="19"/>
        <v>0</v>
      </c>
      <c r="P450" s="256"/>
      <c r="Q450" s="513"/>
      <c r="R450" s="516">
        <f t="shared" si="20"/>
        <v>0</v>
      </c>
    </row>
    <row r="451" spans="2:18" ht="15" customHeight="1" x14ac:dyDescent="0.2">
      <c r="B451" s="256"/>
      <c r="C451" s="513"/>
      <c r="D451" s="516">
        <f t="shared" si="18"/>
        <v>0</v>
      </c>
      <c r="I451" s="256"/>
      <c r="J451" s="513"/>
      <c r="K451" s="516">
        <f t="shared" si="19"/>
        <v>0</v>
      </c>
      <c r="P451" s="256"/>
      <c r="Q451" s="513"/>
      <c r="R451" s="516">
        <f t="shared" si="20"/>
        <v>0</v>
      </c>
    </row>
    <row r="452" spans="2:18" ht="15" customHeight="1" x14ac:dyDescent="0.2">
      <c r="B452" s="256"/>
      <c r="C452" s="513"/>
      <c r="D452" s="516">
        <f t="shared" si="18"/>
        <v>0</v>
      </c>
      <c r="I452" s="256"/>
      <c r="J452" s="513"/>
      <c r="K452" s="516">
        <f t="shared" si="19"/>
        <v>0</v>
      </c>
      <c r="P452" s="256"/>
      <c r="Q452" s="513"/>
      <c r="R452" s="516">
        <f t="shared" si="20"/>
        <v>0</v>
      </c>
    </row>
    <row r="453" spans="2:18" ht="15" customHeight="1" x14ac:dyDescent="0.2">
      <c r="B453" s="256"/>
      <c r="C453" s="513"/>
      <c r="D453" s="516">
        <f t="shared" si="18"/>
        <v>0</v>
      </c>
      <c r="I453" s="256"/>
      <c r="J453" s="513"/>
      <c r="K453" s="516">
        <f t="shared" si="19"/>
        <v>0</v>
      </c>
      <c r="P453" s="256"/>
      <c r="Q453" s="513"/>
      <c r="R453" s="516">
        <f t="shared" si="20"/>
        <v>0</v>
      </c>
    </row>
    <row r="454" spans="2:18" ht="15" customHeight="1" x14ac:dyDescent="0.2">
      <c r="B454" s="256"/>
      <c r="C454" s="513"/>
      <c r="D454" s="516">
        <f t="shared" si="18"/>
        <v>0</v>
      </c>
      <c r="I454" s="256"/>
      <c r="J454" s="513"/>
      <c r="K454" s="516">
        <f t="shared" si="19"/>
        <v>0</v>
      </c>
      <c r="P454" s="256"/>
      <c r="Q454" s="513"/>
      <c r="R454" s="516">
        <f t="shared" si="20"/>
        <v>0</v>
      </c>
    </row>
    <row r="455" spans="2:18" ht="15" customHeight="1" x14ac:dyDescent="0.2">
      <c r="B455" s="256"/>
      <c r="C455" s="513"/>
      <c r="D455" s="516">
        <f t="shared" si="18"/>
        <v>0</v>
      </c>
      <c r="I455" s="256"/>
      <c r="J455" s="513"/>
      <c r="K455" s="516">
        <f t="shared" si="19"/>
        <v>0</v>
      </c>
      <c r="P455" s="256"/>
      <c r="Q455" s="513"/>
      <c r="R455" s="516">
        <f t="shared" si="20"/>
        <v>0</v>
      </c>
    </row>
    <row r="456" spans="2:18" ht="15" customHeight="1" x14ac:dyDescent="0.2">
      <c r="B456" s="256"/>
      <c r="C456" s="513"/>
      <c r="D456" s="516">
        <f t="shared" si="18"/>
        <v>0</v>
      </c>
      <c r="I456" s="256"/>
      <c r="J456" s="513"/>
      <c r="K456" s="516">
        <f t="shared" si="19"/>
        <v>0</v>
      </c>
      <c r="P456" s="256"/>
      <c r="Q456" s="513"/>
      <c r="R456" s="516">
        <f t="shared" si="20"/>
        <v>0</v>
      </c>
    </row>
    <row r="457" spans="2:18" ht="15" customHeight="1" x14ac:dyDescent="0.2">
      <c r="B457" s="256"/>
      <c r="C457" s="513"/>
      <c r="D457" s="516">
        <f t="shared" si="18"/>
        <v>0</v>
      </c>
      <c r="I457" s="256"/>
      <c r="J457" s="513"/>
      <c r="K457" s="516">
        <f t="shared" si="19"/>
        <v>0</v>
      </c>
      <c r="P457" s="256"/>
      <c r="Q457" s="513"/>
      <c r="R457" s="516">
        <f t="shared" si="20"/>
        <v>0</v>
      </c>
    </row>
    <row r="458" spans="2:18" ht="15" customHeight="1" x14ac:dyDescent="0.2">
      <c r="B458" s="256"/>
      <c r="C458" s="513"/>
      <c r="D458" s="516">
        <f t="shared" si="18"/>
        <v>0</v>
      </c>
      <c r="I458" s="256"/>
      <c r="J458" s="513"/>
      <c r="K458" s="516">
        <f t="shared" si="19"/>
        <v>0</v>
      </c>
      <c r="P458" s="256"/>
      <c r="Q458" s="513"/>
      <c r="R458" s="516">
        <f t="shared" si="20"/>
        <v>0</v>
      </c>
    </row>
    <row r="459" spans="2:18" ht="15" customHeight="1" x14ac:dyDescent="0.2">
      <c r="B459" s="256"/>
      <c r="C459" s="513"/>
      <c r="D459" s="516">
        <f t="shared" si="18"/>
        <v>0</v>
      </c>
      <c r="I459" s="256"/>
      <c r="J459" s="513"/>
      <c r="K459" s="516">
        <f t="shared" si="19"/>
        <v>0</v>
      </c>
      <c r="P459" s="256"/>
      <c r="Q459" s="513"/>
      <c r="R459" s="516">
        <f t="shared" si="20"/>
        <v>0</v>
      </c>
    </row>
    <row r="460" spans="2:18" ht="15" customHeight="1" x14ac:dyDescent="0.2">
      <c r="B460" s="256"/>
      <c r="C460" s="513"/>
      <c r="D460" s="516">
        <f t="shared" si="18"/>
        <v>0</v>
      </c>
      <c r="I460" s="256"/>
      <c r="J460" s="513"/>
      <c r="K460" s="516">
        <f t="shared" si="19"/>
        <v>0</v>
      </c>
      <c r="P460" s="256"/>
      <c r="Q460" s="513"/>
      <c r="R460" s="516">
        <f t="shared" si="20"/>
        <v>0</v>
      </c>
    </row>
    <row r="461" spans="2:18" ht="15" customHeight="1" x14ac:dyDescent="0.2">
      <c r="B461" s="256"/>
      <c r="C461" s="513"/>
      <c r="D461" s="516">
        <f t="shared" si="18"/>
        <v>0</v>
      </c>
      <c r="I461" s="256"/>
      <c r="J461" s="513"/>
      <c r="K461" s="516">
        <f t="shared" si="19"/>
        <v>0</v>
      </c>
      <c r="P461" s="256"/>
      <c r="Q461" s="513"/>
      <c r="R461" s="516">
        <f t="shared" si="20"/>
        <v>0</v>
      </c>
    </row>
    <row r="462" spans="2:18" ht="15" customHeight="1" x14ac:dyDescent="0.2">
      <c r="B462" s="256"/>
      <c r="C462" s="513"/>
      <c r="D462" s="516">
        <f t="shared" si="18"/>
        <v>0</v>
      </c>
      <c r="I462" s="256"/>
      <c r="J462" s="513"/>
      <c r="K462" s="516">
        <f t="shared" si="19"/>
        <v>0</v>
      </c>
      <c r="P462" s="256"/>
      <c r="Q462" s="513"/>
      <c r="R462" s="516">
        <f t="shared" si="20"/>
        <v>0</v>
      </c>
    </row>
    <row r="463" spans="2:18" ht="15" customHeight="1" x14ac:dyDescent="0.2">
      <c r="B463" s="256"/>
      <c r="C463" s="513"/>
      <c r="D463" s="516">
        <f t="shared" si="18"/>
        <v>0</v>
      </c>
      <c r="I463" s="256"/>
      <c r="J463" s="513"/>
      <c r="K463" s="516">
        <f t="shared" si="19"/>
        <v>0</v>
      </c>
      <c r="P463" s="256"/>
      <c r="Q463" s="513"/>
      <c r="R463" s="516">
        <f t="shared" si="20"/>
        <v>0</v>
      </c>
    </row>
    <row r="464" spans="2:18" ht="15" customHeight="1" x14ac:dyDescent="0.2">
      <c r="B464" s="256"/>
      <c r="C464" s="513"/>
      <c r="D464" s="516">
        <f t="shared" si="18"/>
        <v>0</v>
      </c>
      <c r="I464" s="256"/>
      <c r="J464" s="513"/>
      <c r="K464" s="516">
        <f t="shared" si="19"/>
        <v>0</v>
      </c>
      <c r="P464" s="256"/>
      <c r="Q464" s="513"/>
      <c r="R464" s="516">
        <f t="shared" si="20"/>
        <v>0</v>
      </c>
    </row>
    <row r="465" spans="2:18" ht="15" customHeight="1" x14ac:dyDescent="0.2">
      <c r="B465" s="256"/>
      <c r="C465" s="513"/>
      <c r="D465" s="516">
        <f t="shared" si="18"/>
        <v>0</v>
      </c>
      <c r="I465" s="256"/>
      <c r="J465" s="513"/>
      <c r="K465" s="516">
        <f t="shared" si="19"/>
        <v>0</v>
      </c>
      <c r="P465" s="256"/>
      <c r="Q465" s="513"/>
      <c r="R465" s="516">
        <f t="shared" si="20"/>
        <v>0</v>
      </c>
    </row>
    <row r="466" spans="2:18" ht="15" customHeight="1" x14ac:dyDescent="0.2">
      <c r="B466" s="256"/>
      <c r="C466" s="513"/>
      <c r="D466" s="516">
        <f t="shared" ref="D466:D529" si="21">C466/1000</f>
        <v>0</v>
      </c>
      <c r="I466" s="256"/>
      <c r="J466" s="513"/>
      <c r="K466" s="516">
        <f t="shared" ref="K466:K529" si="22">J466/1000</f>
        <v>0</v>
      </c>
      <c r="P466" s="256"/>
      <c r="Q466" s="513"/>
      <c r="R466" s="516">
        <f t="shared" ref="R466:R529" si="23">Q466/1000</f>
        <v>0</v>
      </c>
    </row>
    <row r="467" spans="2:18" ht="15" customHeight="1" x14ac:dyDescent="0.2">
      <c r="B467" s="256"/>
      <c r="C467" s="513"/>
      <c r="D467" s="516">
        <f t="shared" si="21"/>
        <v>0</v>
      </c>
      <c r="I467" s="256"/>
      <c r="J467" s="513"/>
      <c r="K467" s="516">
        <f t="shared" si="22"/>
        <v>0</v>
      </c>
      <c r="P467" s="256"/>
      <c r="Q467" s="513"/>
      <c r="R467" s="516">
        <f t="shared" si="23"/>
        <v>0</v>
      </c>
    </row>
    <row r="468" spans="2:18" ht="15" customHeight="1" x14ac:dyDescent="0.2">
      <c r="B468" s="256"/>
      <c r="C468" s="513"/>
      <c r="D468" s="516">
        <f t="shared" si="21"/>
        <v>0</v>
      </c>
      <c r="I468" s="256"/>
      <c r="J468" s="513"/>
      <c r="K468" s="516">
        <f t="shared" si="22"/>
        <v>0</v>
      </c>
      <c r="P468" s="256"/>
      <c r="Q468" s="513"/>
      <c r="R468" s="516">
        <f t="shared" si="23"/>
        <v>0</v>
      </c>
    </row>
    <row r="469" spans="2:18" ht="15" customHeight="1" x14ac:dyDescent="0.2">
      <c r="B469" s="256"/>
      <c r="C469" s="513"/>
      <c r="D469" s="516">
        <f t="shared" si="21"/>
        <v>0</v>
      </c>
      <c r="I469" s="256"/>
      <c r="J469" s="513"/>
      <c r="K469" s="516">
        <f t="shared" si="22"/>
        <v>0</v>
      </c>
      <c r="P469" s="256"/>
      <c r="Q469" s="513"/>
      <c r="R469" s="516">
        <f t="shared" si="23"/>
        <v>0</v>
      </c>
    </row>
    <row r="470" spans="2:18" ht="15" customHeight="1" x14ac:dyDescent="0.2">
      <c r="B470" s="256"/>
      <c r="C470" s="513"/>
      <c r="D470" s="516">
        <f t="shared" si="21"/>
        <v>0</v>
      </c>
      <c r="I470" s="256"/>
      <c r="J470" s="513"/>
      <c r="K470" s="516">
        <f t="shared" si="22"/>
        <v>0</v>
      </c>
      <c r="P470" s="256"/>
      <c r="Q470" s="513"/>
      <c r="R470" s="516">
        <f t="shared" si="23"/>
        <v>0</v>
      </c>
    </row>
    <row r="471" spans="2:18" ht="15" customHeight="1" x14ac:dyDescent="0.2">
      <c r="B471" s="256"/>
      <c r="C471" s="513"/>
      <c r="D471" s="516">
        <f t="shared" si="21"/>
        <v>0</v>
      </c>
      <c r="I471" s="256"/>
      <c r="J471" s="513"/>
      <c r="K471" s="516">
        <f t="shared" si="22"/>
        <v>0</v>
      </c>
      <c r="P471" s="256"/>
      <c r="Q471" s="513"/>
      <c r="R471" s="516">
        <f t="shared" si="23"/>
        <v>0</v>
      </c>
    </row>
    <row r="472" spans="2:18" ht="15" customHeight="1" x14ac:dyDescent="0.2">
      <c r="B472" s="256"/>
      <c r="C472" s="513"/>
      <c r="D472" s="516">
        <f t="shared" si="21"/>
        <v>0</v>
      </c>
      <c r="I472" s="256"/>
      <c r="J472" s="513"/>
      <c r="K472" s="516">
        <f t="shared" si="22"/>
        <v>0</v>
      </c>
      <c r="P472" s="256"/>
      <c r="Q472" s="513"/>
      <c r="R472" s="516">
        <f t="shared" si="23"/>
        <v>0</v>
      </c>
    </row>
    <row r="473" spans="2:18" ht="15" customHeight="1" x14ac:dyDescent="0.2">
      <c r="B473" s="256"/>
      <c r="C473" s="513"/>
      <c r="D473" s="516">
        <f t="shared" si="21"/>
        <v>0</v>
      </c>
      <c r="I473" s="256"/>
      <c r="J473" s="513"/>
      <c r="K473" s="516">
        <f t="shared" si="22"/>
        <v>0</v>
      </c>
      <c r="P473" s="256"/>
      <c r="Q473" s="513"/>
      <c r="R473" s="516">
        <f t="shared" si="23"/>
        <v>0</v>
      </c>
    </row>
    <row r="474" spans="2:18" ht="15" customHeight="1" x14ac:dyDescent="0.2">
      <c r="B474" s="256"/>
      <c r="C474" s="513"/>
      <c r="D474" s="516">
        <f t="shared" si="21"/>
        <v>0</v>
      </c>
      <c r="I474" s="256"/>
      <c r="J474" s="513"/>
      <c r="K474" s="516">
        <f t="shared" si="22"/>
        <v>0</v>
      </c>
      <c r="P474" s="256"/>
      <c r="Q474" s="513"/>
      <c r="R474" s="516">
        <f t="shared" si="23"/>
        <v>0</v>
      </c>
    </row>
    <row r="475" spans="2:18" ht="15" customHeight="1" x14ac:dyDescent="0.2">
      <c r="B475" s="256"/>
      <c r="C475" s="513"/>
      <c r="D475" s="516">
        <f t="shared" si="21"/>
        <v>0</v>
      </c>
      <c r="I475" s="256"/>
      <c r="J475" s="513"/>
      <c r="K475" s="516">
        <f t="shared" si="22"/>
        <v>0</v>
      </c>
      <c r="P475" s="256"/>
      <c r="Q475" s="513"/>
      <c r="R475" s="516">
        <f t="shared" si="23"/>
        <v>0</v>
      </c>
    </row>
    <row r="476" spans="2:18" ht="15" customHeight="1" x14ac:dyDescent="0.2">
      <c r="B476" s="256"/>
      <c r="C476" s="513"/>
      <c r="D476" s="516">
        <f t="shared" si="21"/>
        <v>0</v>
      </c>
      <c r="I476" s="256"/>
      <c r="J476" s="513"/>
      <c r="K476" s="516">
        <f t="shared" si="22"/>
        <v>0</v>
      </c>
      <c r="P476" s="256"/>
      <c r="Q476" s="513"/>
      <c r="R476" s="516">
        <f t="shared" si="23"/>
        <v>0</v>
      </c>
    </row>
    <row r="477" spans="2:18" ht="15" customHeight="1" x14ac:dyDescent="0.2">
      <c r="B477" s="256"/>
      <c r="C477" s="513"/>
      <c r="D477" s="516">
        <f t="shared" si="21"/>
        <v>0</v>
      </c>
      <c r="I477" s="256"/>
      <c r="J477" s="513"/>
      <c r="K477" s="516">
        <f t="shared" si="22"/>
        <v>0</v>
      </c>
      <c r="P477" s="256"/>
      <c r="Q477" s="513"/>
      <c r="R477" s="516">
        <f t="shared" si="23"/>
        <v>0</v>
      </c>
    </row>
    <row r="478" spans="2:18" ht="15" customHeight="1" x14ac:dyDescent="0.2">
      <c r="B478" s="256"/>
      <c r="C478" s="513"/>
      <c r="D478" s="516">
        <f t="shared" si="21"/>
        <v>0</v>
      </c>
      <c r="I478" s="256"/>
      <c r="J478" s="513"/>
      <c r="K478" s="516">
        <f t="shared" si="22"/>
        <v>0</v>
      </c>
      <c r="P478" s="256"/>
      <c r="Q478" s="513"/>
      <c r="R478" s="516">
        <f t="shared" si="23"/>
        <v>0</v>
      </c>
    </row>
    <row r="479" spans="2:18" ht="15" customHeight="1" x14ac:dyDescent="0.2">
      <c r="B479" s="256"/>
      <c r="C479" s="513"/>
      <c r="D479" s="516">
        <f t="shared" si="21"/>
        <v>0</v>
      </c>
      <c r="I479" s="256"/>
      <c r="J479" s="513"/>
      <c r="K479" s="516">
        <f t="shared" si="22"/>
        <v>0</v>
      </c>
      <c r="P479" s="256"/>
      <c r="Q479" s="513"/>
      <c r="R479" s="516">
        <f t="shared" si="23"/>
        <v>0</v>
      </c>
    </row>
    <row r="480" spans="2:18" ht="15" customHeight="1" x14ac:dyDescent="0.2">
      <c r="B480" s="256"/>
      <c r="C480" s="513"/>
      <c r="D480" s="516">
        <f t="shared" si="21"/>
        <v>0</v>
      </c>
      <c r="I480" s="256"/>
      <c r="J480" s="513"/>
      <c r="K480" s="516">
        <f t="shared" si="22"/>
        <v>0</v>
      </c>
      <c r="P480" s="256"/>
      <c r="Q480" s="513"/>
      <c r="R480" s="516">
        <f t="shared" si="23"/>
        <v>0</v>
      </c>
    </row>
    <row r="481" spans="2:18" ht="15" customHeight="1" x14ac:dyDescent="0.2">
      <c r="B481" s="256"/>
      <c r="C481" s="513"/>
      <c r="D481" s="516">
        <f t="shared" si="21"/>
        <v>0</v>
      </c>
      <c r="I481" s="256"/>
      <c r="J481" s="513"/>
      <c r="K481" s="516">
        <f t="shared" si="22"/>
        <v>0</v>
      </c>
      <c r="P481" s="256"/>
      <c r="Q481" s="513"/>
      <c r="R481" s="516">
        <f t="shared" si="23"/>
        <v>0</v>
      </c>
    </row>
    <row r="482" spans="2:18" ht="15" customHeight="1" x14ac:dyDescent="0.2">
      <c r="B482" s="256"/>
      <c r="C482" s="513"/>
      <c r="D482" s="516">
        <f t="shared" si="21"/>
        <v>0</v>
      </c>
      <c r="I482" s="256"/>
      <c r="J482" s="513"/>
      <c r="K482" s="516">
        <f t="shared" si="22"/>
        <v>0</v>
      </c>
      <c r="P482" s="256"/>
      <c r="Q482" s="513"/>
      <c r="R482" s="516">
        <f t="shared" si="23"/>
        <v>0</v>
      </c>
    </row>
    <row r="483" spans="2:18" ht="15" customHeight="1" x14ac:dyDescent="0.2">
      <c r="B483" s="256"/>
      <c r="C483" s="513"/>
      <c r="D483" s="516">
        <f t="shared" si="21"/>
        <v>0</v>
      </c>
      <c r="I483" s="256"/>
      <c r="J483" s="513"/>
      <c r="K483" s="516">
        <f t="shared" si="22"/>
        <v>0</v>
      </c>
      <c r="P483" s="256"/>
      <c r="Q483" s="513"/>
      <c r="R483" s="516">
        <f t="shared" si="23"/>
        <v>0</v>
      </c>
    </row>
    <row r="484" spans="2:18" ht="15" customHeight="1" x14ac:dyDescent="0.2">
      <c r="B484" s="256"/>
      <c r="C484" s="513"/>
      <c r="D484" s="516">
        <f t="shared" si="21"/>
        <v>0</v>
      </c>
      <c r="I484" s="256"/>
      <c r="J484" s="513"/>
      <c r="K484" s="516">
        <f t="shared" si="22"/>
        <v>0</v>
      </c>
      <c r="P484" s="256"/>
      <c r="Q484" s="513"/>
      <c r="R484" s="516">
        <f t="shared" si="23"/>
        <v>0</v>
      </c>
    </row>
    <row r="485" spans="2:18" ht="15" customHeight="1" x14ac:dyDescent="0.2">
      <c r="B485" s="256"/>
      <c r="C485" s="513"/>
      <c r="D485" s="516">
        <f t="shared" si="21"/>
        <v>0</v>
      </c>
      <c r="I485" s="256"/>
      <c r="J485" s="513"/>
      <c r="K485" s="516">
        <f t="shared" si="22"/>
        <v>0</v>
      </c>
      <c r="P485" s="256"/>
      <c r="Q485" s="513"/>
      <c r="R485" s="516">
        <f t="shared" si="23"/>
        <v>0</v>
      </c>
    </row>
    <row r="486" spans="2:18" ht="15" customHeight="1" x14ac:dyDescent="0.2">
      <c r="B486" s="256"/>
      <c r="C486" s="513"/>
      <c r="D486" s="516">
        <f t="shared" si="21"/>
        <v>0</v>
      </c>
      <c r="I486" s="256"/>
      <c r="J486" s="513"/>
      <c r="K486" s="516">
        <f t="shared" si="22"/>
        <v>0</v>
      </c>
      <c r="P486" s="256"/>
      <c r="Q486" s="513"/>
      <c r="R486" s="516">
        <f t="shared" si="23"/>
        <v>0</v>
      </c>
    </row>
    <row r="487" spans="2:18" ht="15" customHeight="1" x14ac:dyDescent="0.2">
      <c r="B487" s="256"/>
      <c r="C487" s="513"/>
      <c r="D487" s="516">
        <f t="shared" si="21"/>
        <v>0</v>
      </c>
      <c r="I487" s="256"/>
      <c r="J487" s="513"/>
      <c r="K487" s="516">
        <f t="shared" si="22"/>
        <v>0</v>
      </c>
      <c r="P487" s="256"/>
      <c r="Q487" s="513"/>
      <c r="R487" s="516">
        <f t="shared" si="23"/>
        <v>0</v>
      </c>
    </row>
    <row r="488" spans="2:18" ht="15" customHeight="1" x14ac:dyDescent="0.2">
      <c r="B488" s="256"/>
      <c r="C488" s="513"/>
      <c r="D488" s="516">
        <f t="shared" si="21"/>
        <v>0</v>
      </c>
      <c r="I488" s="256"/>
      <c r="J488" s="513"/>
      <c r="K488" s="516">
        <f t="shared" si="22"/>
        <v>0</v>
      </c>
      <c r="P488" s="256"/>
      <c r="Q488" s="513"/>
      <c r="R488" s="516">
        <f t="shared" si="23"/>
        <v>0</v>
      </c>
    </row>
    <row r="489" spans="2:18" ht="15" customHeight="1" x14ac:dyDescent="0.2">
      <c r="B489" s="256"/>
      <c r="C489" s="513"/>
      <c r="D489" s="516">
        <f t="shared" si="21"/>
        <v>0</v>
      </c>
      <c r="I489" s="256"/>
      <c r="J489" s="513"/>
      <c r="K489" s="516">
        <f t="shared" si="22"/>
        <v>0</v>
      </c>
      <c r="P489" s="256"/>
      <c r="Q489" s="513"/>
      <c r="R489" s="516">
        <f t="shared" si="23"/>
        <v>0</v>
      </c>
    </row>
    <row r="490" spans="2:18" ht="15" customHeight="1" x14ac:dyDescent="0.2">
      <c r="B490" s="256"/>
      <c r="C490" s="513"/>
      <c r="D490" s="516">
        <f t="shared" si="21"/>
        <v>0</v>
      </c>
      <c r="I490" s="256"/>
      <c r="J490" s="513"/>
      <c r="K490" s="516">
        <f t="shared" si="22"/>
        <v>0</v>
      </c>
      <c r="P490" s="256"/>
      <c r="Q490" s="513"/>
      <c r="R490" s="516">
        <f t="shared" si="23"/>
        <v>0</v>
      </c>
    </row>
    <row r="491" spans="2:18" ht="15" customHeight="1" x14ac:dyDescent="0.2">
      <c r="B491" s="256"/>
      <c r="C491" s="513"/>
      <c r="D491" s="516">
        <f t="shared" si="21"/>
        <v>0</v>
      </c>
      <c r="I491" s="256"/>
      <c r="J491" s="513"/>
      <c r="K491" s="516">
        <f t="shared" si="22"/>
        <v>0</v>
      </c>
      <c r="P491" s="256"/>
      <c r="Q491" s="513"/>
      <c r="R491" s="516">
        <f t="shared" si="23"/>
        <v>0</v>
      </c>
    </row>
    <row r="492" spans="2:18" ht="15" customHeight="1" x14ac:dyDescent="0.2">
      <c r="B492" s="256"/>
      <c r="C492" s="513"/>
      <c r="D492" s="516">
        <f t="shared" si="21"/>
        <v>0</v>
      </c>
      <c r="I492" s="256"/>
      <c r="J492" s="513"/>
      <c r="K492" s="516">
        <f t="shared" si="22"/>
        <v>0</v>
      </c>
      <c r="P492" s="256"/>
      <c r="Q492" s="513"/>
      <c r="R492" s="516">
        <f t="shared" si="23"/>
        <v>0</v>
      </c>
    </row>
    <row r="493" spans="2:18" ht="15" customHeight="1" x14ac:dyDescent="0.2">
      <c r="B493" s="256"/>
      <c r="C493" s="513"/>
      <c r="D493" s="516">
        <f t="shared" si="21"/>
        <v>0</v>
      </c>
      <c r="I493" s="256"/>
      <c r="J493" s="513"/>
      <c r="K493" s="516">
        <f t="shared" si="22"/>
        <v>0</v>
      </c>
      <c r="P493" s="256"/>
      <c r="Q493" s="513"/>
      <c r="R493" s="516">
        <f t="shared" si="23"/>
        <v>0</v>
      </c>
    </row>
    <row r="494" spans="2:18" ht="15" customHeight="1" x14ac:dyDescent="0.2">
      <c r="B494" s="256"/>
      <c r="C494" s="513"/>
      <c r="D494" s="516">
        <f t="shared" si="21"/>
        <v>0</v>
      </c>
      <c r="I494" s="256"/>
      <c r="J494" s="513"/>
      <c r="K494" s="516">
        <f t="shared" si="22"/>
        <v>0</v>
      </c>
      <c r="P494" s="256"/>
      <c r="Q494" s="513"/>
      <c r="R494" s="516">
        <f t="shared" si="23"/>
        <v>0</v>
      </c>
    </row>
    <row r="495" spans="2:18" ht="15" customHeight="1" x14ac:dyDescent="0.2">
      <c r="B495" s="256"/>
      <c r="C495" s="513"/>
      <c r="D495" s="516">
        <f t="shared" si="21"/>
        <v>0</v>
      </c>
      <c r="I495" s="256"/>
      <c r="J495" s="513"/>
      <c r="K495" s="516">
        <f t="shared" si="22"/>
        <v>0</v>
      </c>
      <c r="P495" s="256"/>
      <c r="Q495" s="513"/>
      <c r="R495" s="516">
        <f t="shared" si="23"/>
        <v>0</v>
      </c>
    </row>
    <row r="496" spans="2:18" ht="15" customHeight="1" x14ac:dyDescent="0.2">
      <c r="B496" s="256"/>
      <c r="C496" s="513"/>
      <c r="D496" s="516">
        <f t="shared" si="21"/>
        <v>0</v>
      </c>
      <c r="I496" s="256"/>
      <c r="J496" s="513"/>
      <c r="K496" s="516">
        <f t="shared" si="22"/>
        <v>0</v>
      </c>
      <c r="P496" s="256"/>
      <c r="Q496" s="513"/>
      <c r="R496" s="516">
        <f t="shared" si="23"/>
        <v>0</v>
      </c>
    </row>
    <row r="497" spans="2:18" ht="15" customHeight="1" x14ac:dyDescent="0.2">
      <c r="B497" s="256"/>
      <c r="C497" s="513"/>
      <c r="D497" s="516">
        <f t="shared" si="21"/>
        <v>0</v>
      </c>
      <c r="I497" s="256"/>
      <c r="J497" s="513"/>
      <c r="K497" s="516">
        <f t="shared" si="22"/>
        <v>0</v>
      </c>
      <c r="P497" s="256"/>
      <c r="Q497" s="513"/>
      <c r="R497" s="516">
        <f t="shared" si="23"/>
        <v>0</v>
      </c>
    </row>
    <row r="498" spans="2:18" ht="15" customHeight="1" x14ac:dyDescent="0.2">
      <c r="B498" s="256"/>
      <c r="C498" s="513"/>
      <c r="D498" s="516">
        <f t="shared" si="21"/>
        <v>0</v>
      </c>
      <c r="I498" s="256"/>
      <c r="J498" s="513"/>
      <c r="K498" s="516">
        <f t="shared" si="22"/>
        <v>0</v>
      </c>
      <c r="P498" s="256"/>
      <c r="Q498" s="513"/>
      <c r="R498" s="516">
        <f t="shared" si="23"/>
        <v>0</v>
      </c>
    </row>
    <row r="499" spans="2:18" ht="15" customHeight="1" x14ac:dyDescent="0.2">
      <c r="B499" s="256"/>
      <c r="C499" s="513"/>
      <c r="D499" s="516">
        <f t="shared" si="21"/>
        <v>0</v>
      </c>
      <c r="I499" s="256"/>
      <c r="J499" s="513"/>
      <c r="K499" s="516">
        <f t="shared" si="22"/>
        <v>0</v>
      </c>
      <c r="P499" s="256"/>
      <c r="Q499" s="513"/>
      <c r="R499" s="516">
        <f t="shared" si="23"/>
        <v>0</v>
      </c>
    </row>
    <row r="500" spans="2:18" ht="15" customHeight="1" x14ac:dyDescent="0.2">
      <c r="B500" s="256"/>
      <c r="C500" s="513"/>
      <c r="D500" s="516">
        <f t="shared" si="21"/>
        <v>0</v>
      </c>
      <c r="I500" s="256"/>
      <c r="J500" s="513"/>
      <c r="K500" s="516">
        <f t="shared" si="22"/>
        <v>0</v>
      </c>
      <c r="P500" s="256"/>
      <c r="Q500" s="513"/>
      <c r="R500" s="516">
        <f t="shared" si="23"/>
        <v>0</v>
      </c>
    </row>
    <row r="501" spans="2:18" ht="15" customHeight="1" x14ac:dyDescent="0.2">
      <c r="B501" s="256"/>
      <c r="C501" s="513"/>
      <c r="D501" s="516">
        <f t="shared" si="21"/>
        <v>0</v>
      </c>
      <c r="I501" s="256"/>
      <c r="J501" s="513"/>
      <c r="K501" s="516">
        <f t="shared" si="22"/>
        <v>0</v>
      </c>
      <c r="P501" s="256"/>
      <c r="Q501" s="513"/>
      <c r="R501" s="516">
        <f t="shared" si="23"/>
        <v>0</v>
      </c>
    </row>
    <row r="502" spans="2:18" ht="15" customHeight="1" x14ac:dyDescent="0.2">
      <c r="B502" s="256"/>
      <c r="C502" s="513"/>
      <c r="D502" s="516">
        <f t="shared" si="21"/>
        <v>0</v>
      </c>
      <c r="I502" s="256"/>
      <c r="J502" s="513"/>
      <c r="K502" s="516">
        <f t="shared" si="22"/>
        <v>0</v>
      </c>
      <c r="P502" s="256"/>
      <c r="Q502" s="513"/>
      <c r="R502" s="516">
        <f t="shared" si="23"/>
        <v>0</v>
      </c>
    </row>
    <row r="503" spans="2:18" ht="15" customHeight="1" x14ac:dyDescent="0.2">
      <c r="B503" s="256"/>
      <c r="C503" s="513"/>
      <c r="D503" s="516">
        <f t="shared" si="21"/>
        <v>0</v>
      </c>
      <c r="I503" s="256"/>
      <c r="J503" s="513"/>
      <c r="K503" s="516">
        <f t="shared" si="22"/>
        <v>0</v>
      </c>
      <c r="P503" s="256"/>
      <c r="Q503" s="513"/>
      <c r="R503" s="516">
        <f t="shared" si="23"/>
        <v>0</v>
      </c>
    </row>
    <row r="504" spans="2:18" ht="15" customHeight="1" x14ac:dyDescent="0.2">
      <c r="B504" s="256"/>
      <c r="C504" s="513"/>
      <c r="D504" s="516">
        <f t="shared" si="21"/>
        <v>0</v>
      </c>
      <c r="I504" s="256"/>
      <c r="J504" s="513"/>
      <c r="K504" s="516">
        <f t="shared" si="22"/>
        <v>0</v>
      </c>
      <c r="P504" s="256"/>
      <c r="Q504" s="513"/>
      <c r="R504" s="516">
        <f t="shared" si="23"/>
        <v>0</v>
      </c>
    </row>
    <row r="505" spans="2:18" ht="15" customHeight="1" x14ac:dyDescent="0.2">
      <c r="B505" s="256"/>
      <c r="C505" s="513"/>
      <c r="D505" s="516">
        <f t="shared" si="21"/>
        <v>0</v>
      </c>
      <c r="I505" s="256"/>
      <c r="J505" s="513"/>
      <c r="K505" s="516">
        <f t="shared" si="22"/>
        <v>0</v>
      </c>
      <c r="P505" s="256"/>
      <c r="Q505" s="513"/>
      <c r="R505" s="516">
        <f t="shared" si="23"/>
        <v>0</v>
      </c>
    </row>
    <row r="506" spans="2:18" ht="15" customHeight="1" x14ac:dyDescent="0.2">
      <c r="B506" s="256"/>
      <c r="C506" s="513"/>
      <c r="D506" s="516">
        <f t="shared" si="21"/>
        <v>0</v>
      </c>
      <c r="I506" s="256"/>
      <c r="J506" s="513"/>
      <c r="K506" s="516">
        <f t="shared" si="22"/>
        <v>0</v>
      </c>
      <c r="P506" s="256"/>
      <c r="Q506" s="513"/>
      <c r="R506" s="516">
        <f t="shared" si="23"/>
        <v>0</v>
      </c>
    </row>
    <row r="507" spans="2:18" ht="15" customHeight="1" x14ac:dyDescent="0.2">
      <c r="B507" s="256"/>
      <c r="C507" s="513"/>
      <c r="D507" s="516">
        <f t="shared" si="21"/>
        <v>0</v>
      </c>
      <c r="I507" s="256"/>
      <c r="J507" s="513"/>
      <c r="K507" s="516">
        <f t="shared" si="22"/>
        <v>0</v>
      </c>
      <c r="P507" s="256"/>
      <c r="Q507" s="513"/>
      <c r="R507" s="516">
        <f t="shared" si="23"/>
        <v>0</v>
      </c>
    </row>
    <row r="508" spans="2:18" ht="15" customHeight="1" x14ac:dyDescent="0.2">
      <c r="B508" s="256"/>
      <c r="C508" s="513"/>
      <c r="D508" s="516">
        <f t="shared" si="21"/>
        <v>0</v>
      </c>
      <c r="I508" s="256"/>
      <c r="J508" s="513"/>
      <c r="K508" s="516">
        <f t="shared" si="22"/>
        <v>0</v>
      </c>
      <c r="P508" s="256"/>
      <c r="Q508" s="513"/>
      <c r="R508" s="516">
        <f t="shared" si="23"/>
        <v>0</v>
      </c>
    </row>
    <row r="509" spans="2:18" ht="15" customHeight="1" x14ac:dyDescent="0.2">
      <c r="B509" s="256"/>
      <c r="C509" s="513"/>
      <c r="D509" s="516">
        <f t="shared" si="21"/>
        <v>0</v>
      </c>
      <c r="I509" s="256"/>
      <c r="J509" s="513"/>
      <c r="K509" s="516">
        <f t="shared" si="22"/>
        <v>0</v>
      </c>
      <c r="P509" s="256"/>
      <c r="Q509" s="513"/>
      <c r="R509" s="516">
        <f t="shared" si="23"/>
        <v>0</v>
      </c>
    </row>
    <row r="510" spans="2:18" ht="15" customHeight="1" x14ac:dyDescent="0.2">
      <c r="B510" s="256"/>
      <c r="C510" s="513"/>
      <c r="D510" s="516">
        <f t="shared" si="21"/>
        <v>0</v>
      </c>
      <c r="I510" s="256"/>
      <c r="J510" s="513"/>
      <c r="K510" s="516">
        <f t="shared" si="22"/>
        <v>0</v>
      </c>
      <c r="P510" s="256"/>
      <c r="Q510" s="513"/>
      <c r="R510" s="516">
        <f t="shared" si="23"/>
        <v>0</v>
      </c>
    </row>
    <row r="511" spans="2:18" ht="15" customHeight="1" x14ac:dyDescent="0.2">
      <c r="B511" s="256"/>
      <c r="C511" s="513"/>
      <c r="D511" s="516">
        <f t="shared" si="21"/>
        <v>0</v>
      </c>
      <c r="I511" s="256"/>
      <c r="J511" s="513"/>
      <c r="K511" s="516">
        <f t="shared" si="22"/>
        <v>0</v>
      </c>
      <c r="P511" s="256"/>
      <c r="Q511" s="513"/>
      <c r="R511" s="516">
        <f t="shared" si="23"/>
        <v>0</v>
      </c>
    </row>
    <row r="512" spans="2:18" ht="15" customHeight="1" x14ac:dyDescent="0.2">
      <c r="B512" s="256"/>
      <c r="C512" s="513"/>
      <c r="D512" s="516">
        <f t="shared" si="21"/>
        <v>0</v>
      </c>
      <c r="I512" s="256"/>
      <c r="J512" s="513"/>
      <c r="K512" s="516">
        <f t="shared" si="22"/>
        <v>0</v>
      </c>
      <c r="P512" s="256"/>
      <c r="Q512" s="513"/>
      <c r="R512" s="516">
        <f t="shared" si="23"/>
        <v>0</v>
      </c>
    </row>
    <row r="513" spans="2:18" ht="15" customHeight="1" x14ac:dyDescent="0.2">
      <c r="B513" s="256"/>
      <c r="C513" s="513"/>
      <c r="D513" s="516">
        <f t="shared" si="21"/>
        <v>0</v>
      </c>
      <c r="I513" s="256"/>
      <c r="J513" s="513"/>
      <c r="K513" s="516">
        <f t="shared" si="22"/>
        <v>0</v>
      </c>
      <c r="P513" s="256"/>
      <c r="Q513" s="513"/>
      <c r="R513" s="516">
        <f t="shared" si="23"/>
        <v>0</v>
      </c>
    </row>
    <row r="514" spans="2:18" ht="15" customHeight="1" x14ac:dyDescent="0.2">
      <c r="B514" s="256"/>
      <c r="C514" s="513"/>
      <c r="D514" s="516">
        <f t="shared" si="21"/>
        <v>0</v>
      </c>
      <c r="I514" s="256"/>
      <c r="J514" s="513"/>
      <c r="K514" s="516">
        <f t="shared" si="22"/>
        <v>0</v>
      </c>
      <c r="P514" s="256"/>
      <c r="Q514" s="513"/>
      <c r="R514" s="516">
        <f t="shared" si="23"/>
        <v>0</v>
      </c>
    </row>
    <row r="515" spans="2:18" ht="15" customHeight="1" x14ac:dyDescent="0.2">
      <c r="B515" s="256"/>
      <c r="C515" s="513"/>
      <c r="D515" s="516">
        <f t="shared" si="21"/>
        <v>0</v>
      </c>
      <c r="I515" s="256"/>
      <c r="J515" s="513"/>
      <c r="K515" s="516">
        <f t="shared" si="22"/>
        <v>0</v>
      </c>
      <c r="P515" s="256"/>
      <c r="Q515" s="513"/>
      <c r="R515" s="516">
        <f t="shared" si="23"/>
        <v>0</v>
      </c>
    </row>
    <row r="516" spans="2:18" ht="15" customHeight="1" x14ac:dyDescent="0.2">
      <c r="B516" s="256"/>
      <c r="C516" s="513"/>
      <c r="D516" s="516">
        <f t="shared" si="21"/>
        <v>0</v>
      </c>
      <c r="I516" s="256"/>
      <c r="J516" s="513"/>
      <c r="K516" s="516">
        <f t="shared" si="22"/>
        <v>0</v>
      </c>
      <c r="P516" s="256"/>
      <c r="Q516" s="513"/>
      <c r="R516" s="516">
        <f t="shared" si="23"/>
        <v>0</v>
      </c>
    </row>
    <row r="517" spans="2:18" ht="15" customHeight="1" x14ac:dyDescent="0.2">
      <c r="B517" s="256"/>
      <c r="C517" s="513"/>
      <c r="D517" s="516">
        <f t="shared" si="21"/>
        <v>0</v>
      </c>
      <c r="I517" s="256"/>
      <c r="J517" s="513"/>
      <c r="K517" s="516">
        <f t="shared" si="22"/>
        <v>0</v>
      </c>
      <c r="P517" s="256"/>
      <c r="Q517" s="513"/>
      <c r="R517" s="516">
        <f t="shared" si="23"/>
        <v>0</v>
      </c>
    </row>
    <row r="518" spans="2:18" ht="15" customHeight="1" x14ac:dyDescent="0.2">
      <c r="B518" s="256"/>
      <c r="C518" s="513"/>
      <c r="D518" s="516">
        <f t="shared" si="21"/>
        <v>0</v>
      </c>
      <c r="I518" s="256"/>
      <c r="J518" s="513"/>
      <c r="K518" s="516">
        <f t="shared" si="22"/>
        <v>0</v>
      </c>
      <c r="P518" s="256"/>
      <c r="Q518" s="513"/>
      <c r="R518" s="516">
        <f t="shared" si="23"/>
        <v>0</v>
      </c>
    </row>
    <row r="519" spans="2:18" ht="15" customHeight="1" x14ac:dyDescent="0.2">
      <c r="B519" s="256"/>
      <c r="C519" s="513"/>
      <c r="D519" s="516">
        <f t="shared" si="21"/>
        <v>0</v>
      </c>
      <c r="I519" s="256"/>
      <c r="J519" s="513"/>
      <c r="K519" s="516">
        <f t="shared" si="22"/>
        <v>0</v>
      </c>
      <c r="P519" s="256"/>
      <c r="Q519" s="513"/>
      <c r="R519" s="516">
        <f t="shared" si="23"/>
        <v>0</v>
      </c>
    </row>
    <row r="520" spans="2:18" ht="15" customHeight="1" x14ac:dyDescent="0.2">
      <c r="B520" s="256"/>
      <c r="C520" s="513"/>
      <c r="D520" s="516">
        <f t="shared" si="21"/>
        <v>0</v>
      </c>
      <c r="I520" s="256"/>
      <c r="J520" s="513"/>
      <c r="K520" s="516">
        <f t="shared" si="22"/>
        <v>0</v>
      </c>
      <c r="P520" s="256"/>
      <c r="Q520" s="513"/>
      <c r="R520" s="516">
        <f t="shared" si="23"/>
        <v>0</v>
      </c>
    </row>
    <row r="521" spans="2:18" ht="15" customHeight="1" x14ac:dyDescent="0.2">
      <c r="B521" s="256"/>
      <c r="C521" s="513"/>
      <c r="D521" s="516">
        <f t="shared" si="21"/>
        <v>0</v>
      </c>
      <c r="I521" s="256"/>
      <c r="J521" s="513"/>
      <c r="K521" s="516">
        <f t="shared" si="22"/>
        <v>0</v>
      </c>
      <c r="P521" s="256"/>
      <c r="Q521" s="513"/>
      <c r="R521" s="516">
        <f t="shared" si="23"/>
        <v>0</v>
      </c>
    </row>
    <row r="522" spans="2:18" ht="15" customHeight="1" x14ac:dyDescent="0.2">
      <c r="B522" s="256"/>
      <c r="C522" s="513"/>
      <c r="D522" s="516">
        <f t="shared" si="21"/>
        <v>0</v>
      </c>
      <c r="I522" s="256"/>
      <c r="J522" s="513"/>
      <c r="K522" s="516">
        <f t="shared" si="22"/>
        <v>0</v>
      </c>
      <c r="P522" s="256"/>
      <c r="Q522" s="513"/>
      <c r="R522" s="516">
        <f t="shared" si="23"/>
        <v>0</v>
      </c>
    </row>
    <row r="523" spans="2:18" ht="15" customHeight="1" x14ac:dyDescent="0.2">
      <c r="B523" s="256"/>
      <c r="C523" s="513"/>
      <c r="D523" s="516">
        <f t="shared" si="21"/>
        <v>0</v>
      </c>
      <c r="I523" s="256"/>
      <c r="J523" s="513"/>
      <c r="K523" s="516">
        <f t="shared" si="22"/>
        <v>0</v>
      </c>
      <c r="P523" s="256"/>
      <c r="Q523" s="513"/>
      <c r="R523" s="516">
        <f t="shared" si="23"/>
        <v>0</v>
      </c>
    </row>
    <row r="524" spans="2:18" ht="15" customHeight="1" x14ac:dyDescent="0.2">
      <c r="B524" s="256"/>
      <c r="C524" s="513"/>
      <c r="D524" s="516">
        <f t="shared" si="21"/>
        <v>0</v>
      </c>
      <c r="I524" s="256"/>
      <c r="J524" s="513"/>
      <c r="K524" s="516">
        <f t="shared" si="22"/>
        <v>0</v>
      </c>
      <c r="P524" s="256"/>
      <c r="Q524" s="513"/>
      <c r="R524" s="516">
        <f t="shared" si="23"/>
        <v>0</v>
      </c>
    </row>
    <row r="525" spans="2:18" ht="15" customHeight="1" x14ac:dyDescent="0.2">
      <c r="B525" s="256"/>
      <c r="C525" s="513"/>
      <c r="D525" s="516">
        <f t="shared" si="21"/>
        <v>0</v>
      </c>
      <c r="I525" s="256"/>
      <c r="J525" s="513"/>
      <c r="K525" s="516">
        <f t="shared" si="22"/>
        <v>0</v>
      </c>
      <c r="P525" s="256"/>
      <c r="Q525" s="513"/>
      <c r="R525" s="516">
        <f t="shared" si="23"/>
        <v>0</v>
      </c>
    </row>
    <row r="526" spans="2:18" ht="15" customHeight="1" x14ac:dyDescent="0.2">
      <c r="B526" s="256"/>
      <c r="C526" s="513"/>
      <c r="D526" s="516">
        <f t="shared" si="21"/>
        <v>0</v>
      </c>
      <c r="I526" s="256"/>
      <c r="J526" s="513"/>
      <c r="K526" s="516">
        <f t="shared" si="22"/>
        <v>0</v>
      </c>
      <c r="P526" s="256"/>
      <c r="Q526" s="513"/>
      <c r="R526" s="516">
        <f t="shared" si="23"/>
        <v>0</v>
      </c>
    </row>
    <row r="527" spans="2:18" ht="15" customHeight="1" x14ac:dyDescent="0.2">
      <c r="B527" s="256"/>
      <c r="C527" s="513"/>
      <c r="D527" s="516">
        <f t="shared" si="21"/>
        <v>0</v>
      </c>
      <c r="I527" s="256"/>
      <c r="J527" s="513"/>
      <c r="K527" s="516">
        <f t="shared" si="22"/>
        <v>0</v>
      </c>
      <c r="P527" s="256"/>
      <c r="Q527" s="513"/>
      <c r="R527" s="516">
        <f t="shared" si="23"/>
        <v>0</v>
      </c>
    </row>
    <row r="528" spans="2:18" ht="15" customHeight="1" x14ac:dyDescent="0.2">
      <c r="B528" s="256"/>
      <c r="C528" s="513"/>
      <c r="D528" s="516">
        <f t="shared" si="21"/>
        <v>0</v>
      </c>
      <c r="I528" s="256"/>
      <c r="J528" s="513"/>
      <c r="K528" s="516">
        <f t="shared" si="22"/>
        <v>0</v>
      </c>
      <c r="P528" s="256"/>
      <c r="Q528" s="513"/>
      <c r="R528" s="516">
        <f t="shared" si="23"/>
        <v>0</v>
      </c>
    </row>
    <row r="529" spans="2:18" ht="15" customHeight="1" x14ac:dyDescent="0.2">
      <c r="B529" s="256"/>
      <c r="C529" s="513"/>
      <c r="D529" s="516">
        <f t="shared" si="21"/>
        <v>0</v>
      </c>
      <c r="I529" s="256"/>
      <c r="J529" s="513"/>
      <c r="K529" s="516">
        <f t="shared" si="22"/>
        <v>0</v>
      </c>
      <c r="P529" s="256"/>
      <c r="Q529" s="513"/>
      <c r="R529" s="516">
        <f t="shared" si="23"/>
        <v>0</v>
      </c>
    </row>
    <row r="530" spans="2:18" ht="15" customHeight="1" x14ac:dyDescent="0.2">
      <c r="B530" s="256"/>
      <c r="C530" s="513"/>
      <c r="D530" s="516">
        <f t="shared" ref="D530:D593" si="24">C530/1000</f>
        <v>0</v>
      </c>
      <c r="I530" s="256"/>
      <c r="J530" s="513"/>
      <c r="K530" s="516">
        <f t="shared" ref="K530:K593" si="25">J530/1000</f>
        <v>0</v>
      </c>
      <c r="P530" s="256"/>
      <c r="Q530" s="513"/>
      <c r="R530" s="516">
        <f t="shared" ref="R530:R593" si="26">Q530/1000</f>
        <v>0</v>
      </c>
    </row>
    <row r="531" spans="2:18" ht="15" customHeight="1" x14ac:dyDescent="0.2">
      <c r="B531" s="256"/>
      <c r="C531" s="513"/>
      <c r="D531" s="516">
        <f t="shared" si="24"/>
        <v>0</v>
      </c>
      <c r="I531" s="256"/>
      <c r="J531" s="513"/>
      <c r="K531" s="516">
        <f t="shared" si="25"/>
        <v>0</v>
      </c>
      <c r="P531" s="256"/>
      <c r="Q531" s="513"/>
      <c r="R531" s="516">
        <f t="shared" si="26"/>
        <v>0</v>
      </c>
    </row>
    <row r="532" spans="2:18" ht="15" customHeight="1" x14ac:dyDescent="0.2">
      <c r="B532" s="256"/>
      <c r="C532" s="513"/>
      <c r="D532" s="516">
        <f t="shared" si="24"/>
        <v>0</v>
      </c>
      <c r="I532" s="256"/>
      <c r="J532" s="513"/>
      <c r="K532" s="516">
        <f t="shared" si="25"/>
        <v>0</v>
      </c>
      <c r="P532" s="256"/>
      <c r="Q532" s="513"/>
      <c r="R532" s="516">
        <f t="shared" si="26"/>
        <v>0</v>
      </c>
    </row>
    <row r="533" spans="2:18" ht="15" customHeight="1" x14ac:dyDescent="0.2">
      <c r="B533" s="256"/>
      <c r="C533" s="513"/>
      <c r="D533" s="516">
        <f t="shared" si="24"/>
        <v>0</v>
      </c>
      <c r="I533" s="256"/>
      <c r="J533" s="513"/>
      <c r="K533" s="516">
        <f t="shared" si="25"/>
        <v>0</v>
      </c>
      <c r="P533" s="256"/>
      <c r="Q533" s="513"/>
      <c r="R533" s="516">
        <f t="shared" si="26"/>
        <v>0</v>
      </c>
    </row>
    <row r="534" spans="2:18" ht="15" customHeight="1" x14ac:dyDescent="0.2">
      <c r="B534" s="256"/>
      <c r="C534" s="513"/>
      <c r="D534" s="516">
        <f t="shared" si="24"/>
        <v>0</v>
      </c>
      <c r="I534" s="256"/>
      <c r="J534" s="513"/>
      <c r="K534" s="516">
        <f t="shared" si="25"/>
        <v>0</v>
      </c>
      <c r="P534" s="256"/>
      <c r="Q534" s="513"/>
      <c r="R534" s="516">
        <f t="shared" si="26"/>
        <v>0</v>
      </c>
    </row>
    <row r="535" spans="2:18" ht="15" customHeight="1" x14ac:dyDescent="0.2">
      <c r="B535" s="256"/>
      <c r="C535" s="513"/>
      <c r="D535" s="516">
        <f t="shared" si="24"/>
        <v>0</v>
      </c>
      <c r="I535" s="256"/>
      <c r="J535" s="513"/>
      <c r="K535" s="516">
        <f t="shared" si="25"/>
        <v>0</v>
      </c>
      <c r="P535" s="256"/>
      <c r="Q535" s="513"/>
      <c r="R535" s="516">
        <f t="shared" si="26"/>
        <v>0</v>
      </c>
    </row>
    <row r="536" spans="2:18" ht="15" customHeight="1" x14ac:dyDescent="0.2">
      <c r="B536" s="256"/>
      <c r="C536" s="513"/>
      <c r="D536" s="516">
        <f t="shared" si="24"/>
        <v>0</v>
      </c>
      <c r="I536" s="256"/>
      <c r="J536" s="513"/>
      <c r="K536" s="516">
        <f t="shared" si="25"/>
        <v>0</v>
      </c>
      <c r="P536" s="256"/>
      <c r="Q536" s="513"/>
      <c r="R536" s="516">
        <f t="shared" si="26"/>
        <v>0</v>
      </c>
    </row>
    <row r="537" spans="2:18" ht="15" customHeight="1" x14ac:dyDescent="0.2">
      <c r="B537" s="256"/>
      <c r="C537" s="513"/>
      <c r="D537" s="516">
        <f t="shared" si="24"/>
        <v>0</v>
      </c>
      <c r="I537" s="256"/>
      <c r="J537" s="513"/>
      <c r="K537" s="516">
        <f t="shared" si="25"/>
        <v>0</v>
      </c>
      <c r="P537" s="256"/>
      <c r="Q537" s="513"/>
      <c r="R537" s="516">
        <f t="shared" si="26"/>
        <v>0</v>
      </c>
    </row>
    <row r="538" spans="2:18" ht="15" customHeight="1" x14ac:dyDescent="0.2">
      <c r="B538" s="256"/>
      <c r="C538" s="513"/>
      <c r="D538" s="516">
        <f t="shared" si="24"/>
        <v>0</v>
      </c>
      <c r="I538" s="256"/>
      <c r="J538" s="513"/>
      <c r="K538" s="516">
        <f t="shared" si="25"/>
        <v>0</v>
      </c>
      <c r="P538" s="256"/>
      <c r="Q538" s="513"/>
      <c r="R538" s="516">
        <f t="shared" si="26"/>
        <v>0</v>
      </c>
    </row>
    <row r="539" spans="2:18" ht="15" customHeight="1" x14ac:dyDescent="0.2">
      <c r="B539" s="256"/>
      <c r="C539" s="513"/>
      <c r="D539" s="516">
        <f t="shared" si="24"/>
        <v>0</v>
      </c>
      <c r="I539" s="256"/>
      <c r="J539" s="513"/>
      <c r="K539" s="516">
        <f t="shared" si="25"/>
        <v>0</v>
      </c>
      <c r="P539" s="256"/>
      <c r="Q539" s="513"/>
      <c r="R539" s="516">
        <f t="shared" si="26"/>
        <v>0</v>
      </c>
    </row>
    <row r="540" spans="2:18" ht="15" customHeight="1" x14ac:dyDescent="0.2">
      <c r="B540" s="256"/>
      <c r="C540" s="513"/>
      <c r="D540" s="516">
        <f t="shared" si="24"/>
        <v>0</v>
      </c>
      <c r="I540" s="256"/>
      <c r="J540" s="513"/>
      <c r="K540" s="516">
        <f t="shared" si="25"/>
        <v>0</v>
      </c>
      <c r="P540" s="256"/>
      <c r="Q540" s="513"/>
      <c r="R540" s="516">
        <f t="shared" si="26"/>
        <v>0</v>
      </c>
    </row>
    <row r="541" spans="2:18" ht="15" customHeight="1" x14ac:dyDescent="0.2">
      <c r="B541" s="256"/>
      <c r="C541" s="513"/>
      <c r="D541" s="516">
        <f t="shared" si="24"/>
        <v>0</v>
      </c>
      <c r="I541" s="256"/>
      <c r="J541" s="513"/>
      <c r="K541" s="516">
        <f t="shared" si="25"/>
        <v>0</v>
      </c>
      <c r="P541" s="256"/>
      <c r="Q541" s="513"/>
      <c r="R541" s="516">
        <f t="shared" si="26"/>
        <v>0</v>
      </c>
    </row>
    <row r="542" spans="2:18" ht="15" customHeight="1" x14ac:dyDescent="0.2">
      <c r="B542" s="256"/>
      <c r="C542" s="513"/>
      <c r="D542" s="516">
        <f t="shared" si="24"/>
        <v>0</v>
      </c>
      <c r="I542" s="256"/>
      <c r="J542" s="513"/>
      <c r="K542" s="516">
        <f t="shared" si="25"/>
        <v>0</v>
      </c>
      <c r="P542" s="256"/>
      <c r="Q542" s="513"/>
      <c r="R542" s="516">
        <f t="shared" si="26"/>
        <v>0</v>
      </c>
    </row>
    <row r="543" spans="2:18" ht="15" customHeight="1" x14ac:dyDescent="0.2">
      <c r="B543" s="256"/>
      <c r="C543" s="513"/>
      <c r="D543" s="516">
        <f t="shared" si="24"/>
        <v>0</v>
      </c>
      <c r="I543" s="256"/>
      <c r="J543" s="513"/>
      <c r="K543" s="516">
        <f t="shared" si="25"/>
        <v>0</v>
      </c>
      <c r="P543" s="256"/>
      <c r="Q543" s="513"/>
      <c r="R543" s="516">
        <f t="shared" si="26"/>
        <v>0</v>
      </c>
    </row>
    <row r="544" spans="2:18" ht="15" customHeight="1" x14ac:dyDescent="0.2">
      <c r="B544" s="256"/>
      <c r="C544" s="513"/>
      <c r="D544" s="516">
        <f t="shared" si="24"/>
        <v>0</v>
      </c>
      <c r="I544" s="256"/>
      <c r="J544" s="513"/>
      <c r="K544" s="516">
        <f t="shared" si="25"/>
        <v>0</v>
      </c>
      <c r="P544" s="256"/>
      <c r="Q544" s="513"/>
      <c r="R544" s="516">
        <f t="shared" si="26"/>
        <v>0</v>
      </c>
    </row>
    <row r="545" spans="2:18" ht="15" customHeight="1" x14ac:dyDescent="0.2">
      <c r="B545" s="256"/>
      <c r="C545" s="513"/>
      <c r="D545" s="516">
        <f t="shared" si="24"/>
        <v>0</v>
      </c>
      <c r="I545" s="256"/>
      <c r="J545" s="513"/>
      <c r="K545" s="516">
        <f t="shared" si="25"/>
        <v>0</v>
      </c>
      <c r="P545" s="256"/>
      <c r="Q545" s="513"/>
      <c r="R545" s="516">
        <f t="shared" si="26"/>
        <v>0</v>
      </c>
    </row>
    <row r="546" spans="2:18" ht="15" customHeight="1" x14ac:dyDescent="0.2">
      <c r="B546" s="256"/>
      <c r="C546" s="513"/>
      <c r="D546" s="516">
        <f t="shared" si="24"/>
        <v>0</v>
      </c>
      <c r="I546" s="256"/>
      <c r="J546" s="513"/>
      <c r="K546" s="516">
        <f t="shared" si="25"/>
        <v>0</v>
      </c>
      <c r="P546" s="256"/>
      <c r="Q546" s="513"/>
      <c r="R546" s="516">
        <f t="shared" si="26"/>
        <v>0</v>
      </c>
    </row>
    <row r="547" spans="2:18" ht="15" customHeight="1" x14ac:dyDescent="0.2">
      <c r="B547" s="256"/>
      <c r="C547" s="513"/>
      <c r="D547" s="516">
        <f t="shared" si="24"/>
        <v>0</v>
      </c>
      <c r="I547" s="256"/>
      <c r="J547" s="513"/>
      <c r="K547" s="516">
        <f t="shared" si="25"/>
        <v>0</v>
      </c>
      <c r="P547" s="256"/>
      <c r="Q547" s="513"/>
      <c r="R547" s="516">
        <f t="shared" si="26"/>
        <v>0</v>
      </c>
    </row>
    <row r="548" spans="2:18" ht="15" customHeight="1" x14ac:dyDescent="0.2">
      <c r="B548" s="256"/>
      <c r="C548" s="513"/>
      <c r="D548" s="516">
        <f t="shared" si="24"/>
        <v>0</v>
      </c>
      <c r="I548" s="256"/>
      <c r="J548" s="513"/>
      <c r="K548" s="516">
        <f t="shared" si="25"/>
        <v>0</v>
      </c>
      <c r="P548" s="256"/>
      <c r="Q548" s="513"/>
      <c r="R548" s="516">
        <f t="shared" si="26"/>
        <v>0</v>
      </c>
    </row>
    <row r="549" spans="2:18" ht="15" customHeight="1" x14ac:dyDescent="0.2">
      <c r="B549" s="256"/>
      <c r="C549" s="513"/>
      <c r="D549" s="516">
        <f t="shared" si="24"/>
        <v>0</v>
      </c>
      <c r="I549" s="256"/>
      <c r="J549" s="513"/>
      <c r="K549" s="516">
        <f t="shared" si="25"/>
        <v>0</v>
      </c>
      <c r="P549" s="256"/>
      <c r="Q549" s="513"/>
      <c r="R549" s="516">
        <f t="shared" si="26"/>
        <v>0</v>
      </c>
    </row>
    <row r="550" spans="2:18" ht="15" customHeight="1" x14ac:dyDescent="0.2">
      <c r="B550" s="256"/>
      <c r="C550" s="513"/>
      <c r="D550" s="516">
        <f t="shared" si="24"/>
        <v>0</v>
      </c>
      <c r="I550" s="256"/>
      <c r="J550" s="513"/>
      <c r="K550" s="516">
        <f t="shared" si="25"/>
        <v>0</v>
      </c>
      <c r="P550" s="256"/>
      <c r="Q550" s="513"/>
      <c r="R550" s="516">
        <f t="shared" si="26"/>
        <v>0</v>
      </c>
    </row>
    <row r="551" spans="2:18" ht="15" customHeight="1" x14ac:dyDescent="0.2">
      <c r="B551" s="256"/>
      <c r="C551" s="513"/>
      <c r="D551" s="516">
        <f t="shared" si="24"/>
        <v>0</v>
      </c>
      <c r="I551" s="256"/>
      <c r="J551" s="513"/>
      <c r="K551" s="516">
        <f t="shared" si="25"/>
        <v>0</v>
      </c>
      <c r="P551" s="256"/>
      <c r="Q551" s="513"/>
      <c r="R551" s="516">
        <f t="shared" si="26"/>
        <v>0</v>
      </c>
    </row>
    <row r="552" spans="2:18" ht="15" customHeight="1" x14ac:dyDescent="0.2">
      <c r="B552" s="256"/>
      <c r="C552" s="513"/>
      <c r="D552" s="516">
        <f t="shared" si="24"/>
        <v>0</v>
      </c>
      <c r="I552" s="256"/>
      <c r="J552" s="513"/>
      <c r="K552" s="516">
        <f t="shared" si="25"/>
        <v>0</v>
      </c>
      <c r="P552" s="256"/>
      <c r="Q552" s="513"/>
      <c r="R552" s="516">
        <f t="shared" si="26"/>
        <v>0</v>
      </c>
    </row>
    <row r="553" spans="2:18" ht="15" customHeight="1" x14ac:dyDescent="0.2">
      <c r="B553" s="256"/>
      <c r="C553" s="513"/>
      <c r="D553" s="516">
        <f t="shared" si="24"/>
        <v>0</v>
      </c>
      <c r="I553" s="256"/>
      <c r="J553" s="513"/>
      <c r="K553" s="516">
        <f t="shared" si="25"/>
        <v>0</v>
      </c>
      <c r="P553" s="256"/>
      <c r="Q553" s="513"/>
      <c r="R553" s="516">
        <f t="shared" si="26"/>
        <v>0</v>
      </c>
    </row>
    <row r="554" spans="2:18" ht="15" customHeight="1" x14ac:dyDescent="0.2">
      <c r="B554" s="256"/>
      <c r="C554" s="513"/>
      <c r="D554" s="516">
        <f t="shared" si="24"/>
        <v>0</v>
      </c>
      <c r="I554" s="256"/>
      <c r="J554" s="513"/>
      <c r="K554" s="516">
        <f t="shared" si="25"/>
        <v>0</v>
      </c>
      <c r="P554" s="256"/>
      <c r="Q554" s="513"/>
      <c r="R554" s="516">
        <f t="shared" si="26"/>
        <v>0</v>
      </c>
    </row>
    <row r="555" spans="2:18" ht="15" customHeight="1" x14ac:dyDescent="0.2">
      <c r="B555" s="256"/>
      <c r="C555" s="513"/>
      <c r="D555" s="516">
        <f t="shared" si="24"/>
        <v>0</v>
      </c>
      <c r="I555" s="256"/>
      <c r="J555" s="513"/>
      <c r="K555" s="516">
        <f t="shared" si="25"/>
        <v>0</v>
      </c>
      <c r="P555" s="256"/>
      <c r="Q555" s="513"/>
      <c r="R555" s="516">
        <f t="shared" si="26"/>
        <v>0</v>
      </c>
    </row>
    <row r="556" spans="2:18" ht="15" customHeight="1" x14ac:dyDescent="0.2">
      <c r="B556" s="256"/>
      <c r="C556" s="513"/>
      <c r="D556" s="516">
        <f t="shared" si="24"/>
        <v>0</v>
      </c>
      <c r="I556" s="256"/>
      <c r="J556" s="513"/>
      <c r="K556" s="516">
        <f t="shared" si="25"/>
        <v>0</v>
      </c>
      <c r="P556" s="256"/>
      <c r="Q556" s="513"/>
      <c r="R556" s="516">
        <f t="shared" si="26"/>
        <v>0</v>
      </c>
    </row>
    <row r="557" spans="2:18" ht="15" customHeight="1" x14ac:dyDescent="0.2">
      <c r="B557" s="256"/>
      <c r="C557" s="513"/>
      <c r="D557" s="516">
        <f t="shared" si="24"/>
        <v>0</v>
      </c>
      <c r="I557" s="256"/>
      <c r="J557" s="513"/>
      <c r="K557" s="516">
        <f t="shared" si="25"/>
        <v>0</v>
      </c>
      <c r="P557" s="256"/>
      <c r="Q557" s="513"/>
      <c r="R557" s="516">
        <f t="shared" si="26"/>
        <v>0</v>
      </c>
    </row>
    <row r="558" spans="2:18" ht="15" customHeight="1" x14ac:dyDescent="0.2">
      <c r="B558" s="256"/>
      <c r="C558" s="513"/>
      <c r="D558" s="516">
        <f t="shared" si="24"/>
        <v>0</v>
      </c>
      <c r="I558" s="256"/>
      <c r="J558" s="513"/>
      <c r="K558" s="516">
        <f t="shared" si="25"/>
        <v>0</v>
      </c>
      <c r="P558" s="256"/>
      <c r="Q558" s="513"/>
      <c r="R558" s="516">
        <f t="shared" si="26"/>
        <v>0</v>
      </c>
    </row>
    <row r="559" spans="2:18" ht="15" customHeight="1" x14ac:dyDescent="0.2">
      <c r="B559" s="256"/>
      <c r="C559" s="513"/>
      <c r="D559" s="516">
        <f t="shared" si="24"/>
        <v>0</v>
      </c>
      <c r="I559" s="256"/>
      <c r="J559" s="513"/>
      <c r="K559" s="516">
        <f t="shared" si="25"/>
        <v>0</v>
      </c>
      <c r="P559" s="256"/>
      <c r="Q559" s="513"/>
      <c r="R559" s="516">
        <f t="shared" si="26"/>
        <v>0</v>
      </c>
    </row>
    <row r="560" spans="2:18" ht="15" customHeight="1" x14ac:dyDescent="0.2">
      <c r="B560" s="256"/>
      <c r="C560" s="513"/>
      <c r="D560" s="516">
        <f t="shared" si="24"/>
        <v>0</v>
      </c>
      <c r="I560" s="256"/>
      <c r="J560" s="513"/>
      <c r="K560" s="516">
        <f t="shared" si="25"/>
        <v>0</v>
      </c>
      <c r="P560" s="256"/>
      <c r="Q560" s="513"/>
      <c r="R560" s="516">
        <f t="shared" si="26"/>
        <v>0</v>
      </c>
    </row>
    <row r="561" spans="2:18" ht="15" customHeight="1" x14ac:dyDescent="0.2">
      <c r="B561" s="256"/>
      <c r="C561" s="513"/>
      <c r="D561" s="516">
        <f t="shared" si="24"/>
        <v>0</v>
      </c>
      <c r="I561" s="256"/>
      <c r="J561" s="513"/>
      <c r="K561" s="516">
        <f t="shared" si="25"/>
        <v>0</v>
      </c>
      <c r="P561" s="256"/>
      <c r="Q561" s="513"/>
      <c r="R561" s="516">
        <f t="shared" si="26"/>
        <v>0</v>
      </c>
    </row>
    <row r="562" spans="2:18" ht="15" customHeight="1" x14ac:dyDescent="0.2">
      <c r="B562" s="256"/>
      <c r="C562" s="513"/>
      <c r="D562" s="516">
        <f t="shared" si="24"/>
        <v>0</v>
      </c>
      <c r="I562" s="256"/>
      <c r="J562" s="513"/>
      <c r="K562" s="516">
        <f t="shared" si="25"/>
        <v>0</v>
      </c>
      <c r="P562" s="256"/>
      <c r="Q562" s="513"/>
      <c r="R562" s="516">
        <f t="shared" si="26"/>
        <v>0</v>
      </c>
    </row>
    <row r="563" spans="2:18" ht="15" customHeight="1" x14ac:dyDescent="0.2">
      <c r="B563" s="256"/>
      <c r="C563" s="513"/>
      <c r="D563" s="516">
        <f t="shared" si="24"/>
        <v>0</v>
      </c>
      <c r="I563" s="256"/>
      <c r="J563" s="513"/>
      <c r="K563" s="516">
        <f t="shared" si="25"/>
        <v>0</v>
      </c>
      <c r="P563" s="256"/>
      <c r="Q563" s="513"/>
      <c r="R563" s="516">
        <f t="shared" si="26"/>
        <v>0</v>
      </c>
    </row>
    <row r="564" spans="2:18" ht="15" customHeight="1" x14ac:dyDescent="0.2">
      <c r="B564" s="256"/>
      <c r="C564" s="513"/>
      <c r="D564" s="516">
        <f t="shared" si="24"/>
        <v>0</v>
      </c>
      <c r="I564" s="256"/>
      <c r="J564" s="513"/>
      <c r="K564" s="516">
        <f t="shared" si="25"/>
        <v>0</v>
      </c>
      <c r="P564" s="256"/>
      <c r="Q564" s="513"/>
      <c r="R564" s="516">
        <f t="shared" si="26"/>
        <v>0</v>
      </c>
    </row>
    <row r="565" spans="2:18" ht="15" customHeight="1" x14ac:dyDescent="0.2">
      <c r="B565" s="256"/>
      <c r="C565" s="513"/>
      <c r="D565" s="516">
        <f t="shared" si="24"/>
        <v>0</v>
      </c>
      <c r="I565" s="256"/>
      <c r="J565" s="513"/>
      <c r="K565" s="516">
        <f t="shared" si="25"/>
        <v>0</v>
      </c>
      <c r="P565" s="256"/>
      <c r="Q565" s="513"/>
      <c r="R565" s="516">
        <f t="shared" si="26"/>
        <v>0</v>
      </c>
    </row>
    <row r="566" spans="2:18" ht="15" customHeight="1" x14ac:dyDescent="0.2">
      <c r="B566" s="256"/>
      <c r="C566" s="513"/>
      <c r="D566" s="516">
        <f t="shared" si="24"/>
        <v>0</v>
      </c>
      <c r="I566" s="256"/>
      <c r="J566" s="513"/>
      <c r="K566" s="516">
        <f t="shared" si="25"/>
        <v>0</v>
      </c>
      <c r="P566" s="256"/>
      <c r="Q566" s="513"/>
      <c r="R566" s="516">
        <f t="shared" si="26"/>
        <v>0</v>
      </c>
    </row>
    <row r="567" spans="2:18" ht="15" customHeight="1" x14ac:dyDescent="0.2">
      <c r="B567" s="256"/>
      <c r="C567" s="513"/>
      <c r="D567" s="516">
        <f t="shared" si="24"/>
        <v>0</v>
      </c>
      <c r="I567" s="256"/>
      <c r="J567" s="513"/>
      <c r="K567" s="516">
        <f t="shared" si="25"/>
        <v>0</v>
      </c>
      <c r="P567" s="256"/>
      <c r="Q567" s="513"/>
      <c r="R567" s="516">
        <f t="shared" si="26"/>
        <v>0</v>
      </c>
    </row>
    <row r="568" spans="2:18" ht="15" customHeight="1" x14ac:dyDescent="0.2">
      <c r="B568" s="256"/>
      <c r="C568" s="513"/>
      <c r="D568" s="516">
        <f t="shared" si="24"/>
        <v>0</v>
      </c>
      <c r="I568" s="256"/>
      <c r="J568" s="513"/>
      <c r="K568" s="516">
        <f t="shared" si="25"/>
        <v>0</v>
      </c>
      <c r="P568" s="256"/>
      <c r="Q568" s="513"/>
      <c r="R568" s="516">
        <f t="shared" si="26"/>
        <v>0</v>
      </c>
    </row>
    <row r="569" spans="2:18" ht="15" customHeight="1" x14ac:dyDescent="0.2">
      <c r="B569" s="256"/>
      <c r="C569" s="513"/>
      <c r="D569" s="516">
        <f t="shared" si="24"/>
        <v>0</v>
      </c>
      <c r="I569" s="256"/>
      <c r="J569" s="513"/>
      <c r="K569" s="516">
        <f t="shared" si="25"/>
        <v>0</v>
      </c>
      <c r="P569" s="256"/>
      <c r="Q569" s="513"/>
      <c r="R569" s="516">
        <f t="shared" si="26"/>
        <v>0</v>
      </c>
    </row>
    <row r="570" spans="2:18" ht="15" customHeight="1" x14ac:dyDescent="0.2">
      <c r="B570" s="256"/>
      <c r="C570" s="513"/>
      <c r="D570" s="516">
        <f t="shared" si="24"/>
        <v>0</v>
      </c>
      <c r="I570" s="256"/>
      <c r="J570" s="513"/>
      <c r="K570" s="516">
        <f t="shared" si="25"/>
        <v>0</v>
      </c>
      <c r="P570" s="256"/>
      <c r="Q570" s="513"/>
      <c r="R570" s="516">
        <f t="shared" si="26"/>
        <v>0</v>
      </c>
    </row>
    <row r="571" spans="2:18" ht="15" customHeight="1" x14ac:dyDescent="0.2">
      <c r="B571" s="256"/>
      <c r="C571" s="513"/>
      <c r="D571" s="516">
        <f t="shared" si="24"/>
        <v>0</v>
      </c>
      <c r="I571" s="256"/>
      <c r="J571" s="513"/>
      <c r="K571" s="516">
        <f t="shared" si="25"/>
        <v>0</v>
      </c>
      <c r="P571" s="256"/>
      <c r="Q571" s="513"/>
      <c r="R571" s="516">
        <f t="shared" si="26"/>
        <v>0</v>
      </c>
    </row>
    <row r="572" spans="2:18" ht="15" customHeight="1" x14ac:dyDescent="0.2">
      <c r="B572" s="256"/>
      <c r="C572" s="513"/>
      <c r="D572" s="516">
        <f t="shared" si="24"/>
        <v>0</v>
      </c>
      <c r="I572" s="256"/>
      <c r="J572" s="513"/>
      <c r="K572" s="516">
        <f t="shared" si="25"/>
        <v>0</v>
      </c>
      <c r="P572" s="256"/>
      <c r="Q572" s="513"/>
      <c r="R572" s="516">
        <f t="shared" si="26"/>
        <v>0</v>
      </c>
    </row>
    <row r="573" spans="2:18" ht="15" customHeight="1" x14ac:dyDescent="0.2">
      <c r="B573" s="256"/>
      <c r="C573" s="513"/>
      <c r="D573" s="516">
        <f t="shared" si="24"/>
        <v>0</v>
      </c>
      <c r="I573" s="256"/>
      <c r="J573" s="513"/>
      <c r="K573" s="516">
        <f t="shared" si="25"/>
        <v>0</v>
      </c>
      <c r="P573" s="256"/>
      <c r="Q573" s="513"/>
      <c r="R573" s="516">
        <f t="shared" si="26"/>
        <v>0</v>
      </c>
    </row>
    <row r="574" spans="2:18" ht="15" customHeight="1" x14ac:dyDescent="0.2">
      <c r="B574" s="256"/>
      <c r="C574" s="513"/>
      <c r="D574" s="516">
        <f t="shared" si="24"/>
        <v>0</v>
      </c>
      <c r="I574" s="256"/>
      <c r="J574" s="513"/>
      <c r="K574" s="516">
        <f t="shared" si="25"/>
        <v>0</v>
      </c>
      <c r="P574" s="256"/>
      <c r="Q574" s="513"/>
      <c r="R574" s="516">
        <f t="shared" si="26"/>
        <v>0</v>
      </c>
    </row>
    <row r="575" spans="2:18" ht="15" customHeight="1" x14ac:dyDescent="0.2">
      <c r="B575" s="256"/>
      <c r="C575" s="513"/>
      <c r="D575" s="516">
        <f t="shared" si="24"/>
        <v>0</v>
      </c>
      <c r="I575" s="256"/>
      <c r="J575" s="513"/>
      <c r="K575" s="516">
        <f t="shared" si="25"/>
        <v>0</v>
      </c>
      <c r="P575" s="256"/>
      <c r="Q575" s="513"/>
      <c r="R575" s="516">
        <f t="shared" si="26"/>
        <v>0</v>
      </c>
    </row>
    <row r="576" spans="2:18" ht="15" customHeight="1" x14ac:dyDescent="0.2">
      <c r="B576" s="256"/>
      <c r="C576" s="513"/>
      <c r="D576" s="516">
        <f t="shared" si="24"/>
        <v>0</v>
      </c>
      <c r="I576" s="256"/>
      <c r="J576" s="513"/>
      <c r="K576" s="516">
        <f t="shared" si="25"/>
        <v>0</v>
      </c>
      <c r="P576" s="256"/>
      <c r="Q576" s="513"/>
      <c r="R576" s="516">
        <f t="shared" si="26"/>
        <v>0</v>
      </c>
    </row>
    <row r="577" spans="2:18" ht="15" customHeight="1" x14ac:dyDescent="0.2">
      <c r="B577" s="256"/>
      <c r="C577" s="513"/>
      <c r="D577" s="516">
        <f t="shared" si="24"/>
        <v>0</v>
      </c>
      <c r="I577" s="256"/>
      <c r="J577" s="513"/>
      <c r="K577" s="516">
        <f t="shared" si="25"/>
        <v>0</v>
      </c>
      <c r="P577" s="256"/>
      <c r="Q577" s="513"/>
      <c r="R577" s="516">
        <f t="shared" si="26"/>
        <v>0</v>
      </c>
    </row>
    <row r="578" spans="2:18" ht="15" customHeight="1" x14ac:dyDescent="0.2">
      <c r="B578" s="256"/>
      <c r="C578" s="513"/>
      <c r="D578" s="516">
        <f t="shared" si="24"/>
        <v>0</v>
      </c>
      <c r="I578" s="256"/>
      <c r="J578" s="513"/>
      <c r="K578" s="516">
        <f t="shared" si="25"/>
        <v>0</v>
      </c>
      <c r="P578" s="256"/>
      <c r="Q578" s="513"/>
      <c r="R578" s="516">
        <f t="shared" si="26"/>
        <v>0</v>
      </c>
    </row>
    <row r="579" spans="2:18" ht="15" customHeight="1" x14ac:dyDescent="0.2">
      <c r="B579" s="256"/>
      <c r="C579" s="513"/>
      <c r="D579" s="516">
        <f t="shared" si="24"/>
        <v>0</v>
      </c>
      <c r="I579" s="256"/>
      <c r="J579" s="513"/>
      <c r="K579" s="516">
        <f t="shared" si="25"/>
        <v>0</v>
      </c>
      <c r="P579" s="256"/>
      <c r="Q579" s="513"/>
      <c r="R579" s="516">
        <f t="shared" si="26"/>
        <v>0</v>
      </c>
    </row>
    <row r="580" spans="2:18" ht="15" customHeight="1" x14ac:dyDescent="0.2">
      <c r="B580" s="256"/>
      <c r="C580" s="513"/>
      <c r="D580" s="516">
        <f t="shared" si="24"/>
        <v>0</v>
      </c>
      <c r="I580" s="256"/>
      <c r="J580" s="513"/>
      <c r="K580" s="516">
        <f t="shared" si="25"/>
        <v>0</v>
      </c>
      <c r="P580" s="256"/>
      <c r="Q580" s="513"/>
      <c r="R580" s="516">
        <f t="shared" si="26"/>
        <v>0</v>
      </c>
    </row>
    <row r="581" spans="2:18" ht="15" customHeight="1" x14ac:dyDescent="0.2">
      <c r="B581" s="256"/>
      <c r="C581" s="513"/>
      <c r="D581" s="516">
        <f t="shared" si="24"/>
        <v>0</v>
      </c>
      <c r="I581" s="256"/>
      <c r="J581" s="513"/>
      <c r="K581" s="516">
        <f t="shared" si="25"/>
        <v>0</v>
      </c>
      <c r="P581" s="256"/>
      <c r="Q581" s="513"/>
      <c r="R581" s="516">
        <f t="shared" si="26"/>
        <v>0</v>
      </c>
    </row>
    <row r="582" spans="2:18" ht="15" customHeight="1" x14ac:dyDescent="0.2">
      <c r="B582" s="256"/>
      <c r="C582" s="513"/>
      <c r="D582" s="516">
        <f t="shared" si="24"/>
        <v>0</v>
      </c>
      <c r="I582" s="256"/>
      <c r="J582" s="513"/>
      <c r="K582" s="516">
        <f t="shared" si="25"/>
        <v>0</v>
      </c>
      <c r="P582" s="256"/>
      <c r="Q582" s="513"/>
      <c r="R582" s="516">
        <f t="shared" si="26"/>
        <v>0</v>
      </c>
    </row>
    <row r="583" spans="2:18" ht="15" customHeight="1" x14ac:dyDescent="0.2">
      <c r="B583" s="256"/>
      <c r="C583" s="513"/>
      <c r="D583" s="516">
        <f t="shared" si="24"/>
        <v>0</v>
      </c>
      <c r="I583" s="256"/>
      <c r="J583" s="513"/>
      <c r="K583" s="516">
        <f t="shared" si="25"/>
        <v>0</v>
      </c>
      <c r="P583" s="256"/>
      <c r="Q583" s="513"/>
      <c r="R583" s="516">
        <f t="shared" si="26"/>
        <v>0</v>
      </c>
    </row>
    <row r="584" spans="2:18" ht="15" customHeight="1" x14ac:dyDescent="0.2">
      <c r="B584" s="256"/>
      <c r="C584" s="513"/>
      <c r="D584" s="516">
        <f t="shared" si="24"/>
        <v>0</v>
      </c>
      <c r="I584" s="256"/>
      <c r="J584" s="513"/>
      <c r="K584" s="516">
        <f t="shared" si="25"/>
        <v>0</v>
      </c>
      <c r="P584" s="256"/>
      <c r="Q584" s="513"/>
      <c r="R584" s="516">
        <f t="shared" si="26"/>
        <v>0</v>
      </c>
    </row>
    <row r="585" spans="2:18" ht="15" customHeight="1" x14ac:dyDescent="0.2">
      <c r="B585" s="256"/>
      <c r="C585" s="513"/>
      <c r="D585" s="516">
        <f t="shared" si="24"/>
        <v>0</v>
      </c>
      <c r="I585" s="256"/>
      <c r="J585" s="513"/>
      <c r="K585" s="516">
        <f t="shared" si="25"/>
        <v>0</v>
      </c>
      <c r="P585" s="256"/>
      <c r="Q585" s="513"/>
      <c r="R585" s="516">
        <f t="shared" si="26"/>
        <v>0</v>
      </c>
    </row>
    <row r="586" spans="2:18" ht="15" customHeight="1" x14ac:dyDescent="0.2">
      <c r="B586" s="256"/>
      <c r="C586" s="513"/>
      <c r="D586" s="516">
        <f t="shared" si="24"/>
        <v>0</v>
      </c>
      <c r="I586" s="256"/>
      <c r="J586" s="513"/>
      <c r="K586" s="516">
        <f t="shared" si="25"/>
        <v>0</v>
      </c>
      <c r="P586" s="256"/>
      <c r="Q586" s="513"/>
      <c r="R586" s="516">
        <f t="shared" si="26"/>
        <v>0</v>
      </c>
    </row>
    <row r="587" spans="2:18" ht="15" customHeight="1" x14ac:dyDescent="0.2">
      <c r="B587" s="256"/>
      <c r="C587" s="513"/>
      <c r="D587" s="516">
        <f t="shared" si="24"/>
        <v>0</v>
      </c>
      <c r="I587" s="256"/>
      <c r="J587" s="513"/>
      <c r="K587" s="516">
        <f t="shared" si="25"/>
        <v>0</v>
      </c>
      <c r="P587" s="256"/>
      <c r="Q587" s="513"/>
      <c r="R587" s="516">
        <f t="shared" si="26"/>
        <v>0</v>
      </c>
    </row>
    <row r="588" spans="2:18" ht="15" customHeight="1" x14ac:dyDescent="0.2">
      <c r="B588" s="256"/>
      <c r="C588" s="513"/>
      <c r="D588" s="516">
        <f t="shared" si="24"/>
        <v>0</v>
      </c>
      <c r="I588" s="256"/>
      <c r="J588" s="513"/>
      <c r="K588" s="516">
        <f t="shared" si="25"/>
        <v>0</v>
      </c>
      <c r="P588" s="256"/>
      <c r="Q588" s="513"/>
      <c r="R588" s="516">
        <f t="shared" si="26"/>
        <v>0</v>
      </c>
    </row>
    <row r="589" spans="2:18" ht="15" customHeight="1" x14ac:dyDescent="0.2">
      <c r="B589" s="256"/>
      <c r="C589" s="513"/>
      <c r="D589" s="516">
        <f t="shared" si="24"/>
        <v>0</v>
      </c>
      <c r="I589" s="256"/>
      <c r="J589" s="513"/>
      <c r="K589" s="516">
        <f t="shared" si="25"/>
        <v>0</v>
      </c>
      <c r="P589" s="256"/>
      <c r="Q589" s="513"/>
      <c r="R589" s="516">
        <f t="shared" si="26"/>
        <v>0</v>
      </c>
    </row>
    <row r="590" spans="2:18" ht="15" customHeight="1" x14ac:dyDescent="0.2">
      <c r="B590" s="256"/>
      <c r="C590" s="513"/>
      <c r="D590" s="516">
        <f t="shared" si="24"/>
        <v>0</v>
      </c>
      <c r="I590" s="256"/>
      <c r="J590" s="513"/>
      <c r="K590" s="516">
        <f t="shared" si="25"/>
        <v>0</v>
      </c>
      <c r="P590" s="256"/>
      <c r="Q590" s="513"/>
      <c r="R590" s="516">
        <f t="shared" si="26"/>
        <v>0</v>
      </c>
    </row>
    <row r="591" spans="2:18" ht="15" customHeight="1" x14ac:dyDescent="0.2">
      <c r="B591" s="256"/>
      <c r="C591" s="513"/>
      <c r="D591" s="516">
        <f t="shared" si="24"/>
        <v>0</v>
      </c>
      <c r="I591" s="256"/>
      <c r="J591" s="513"/>
      <c r="K591" s="516">
        <f t="shared" si="25"/>
        <v>0</v>
      </c>
      <c r="P591" s="256"/>
      <c r="Q591" s="513"/>
      <c r="R591" s="516">
        <f t="shared" si="26"/>
        <v>0</v>
      </c>
    </row>
    <row r="592" spans="2:18" ht="15" customHeight="1" x14ac:dyDescent="0.2">
      <c r="B592" s="256"/>
      <c r="C592" s="513"/>
      <c r="D592" s="516">
        <f t="shared" si="24"/>
        <v>0</v>
      </c>
      <c r="I592" s="256"/>
      <c r="J592" s="513"/>
      <c r="K592" s="516">
        <f t="shared" si="25"/>
        <v>0</v>
      </c>
      <c r="P592" s="256"/>
      <c r="Q592" s="513"/>
      <c r="R592" s="516">
        <f t="shared" si="26"/>
        <v>0</v>
      </c>
    </row>
    <row r="593" spans="2:18" ht="15" customHeight="1" x14ac:dyDescent="0.2">
      <c r="B593" s="256"/>
      <c r="C593" s="513"/>
      <c r="D593" s="516">
        <f t="shared" si="24"/>
        <v>0</v>
      </c>
      <c r="I593" s="256"/>
      <c r="J593" s="513"/>
      <c r="K593" s="516">
        <f t="shared" si="25"/>
        <v>0</v>
      </c>
      <c r="P593" s="256"/>
      <c r="Q593" s="513"/>
      <c r="R593" s="516">
        <f t="shared" si="26"/>
        <v>0</v>
      </c>
    </row>
    <row r="594" spans="2:18" ht="15" customHeight="1" x14ac:dyDescent="0.2">
      <c r="B594" s="256"/>
      <c r="C594" s="513"/>
      <c r="D594" s="516">
        <f t="shared" ref="D594:D657" si="27">C594/1000</f>
        <v>0</v>
      </c>
      <c r="I594" s="256"/>
      <c r="J594" s="513"/>
      <c r="K594" s="516">
        <f t="shared" ref="K594:K657" si="28">J594/1000</f>
        <v>0</v>
      </c>
      <c r="P594" s="256"/>
      <c r="Q594" s="513"/>
      <c r="R594" s="516">
        <f t="shared" ref="R594:R657" si="29">Q594/1000</f>
        <v>0</v>
      </c>
    </row>
    <row r="595" spans="2:18" ht="15" customHeight="1" x14ac:dyDescent="0.2">
      <c r="B595" s="256"/>
      <c r="C595" s="513"/>
      <c r="D595" s="516">
        <f t="shared" si="27"/>
        <v>0</v>
      </c>
      <c r="I595" s="256"/>
      <c r="J595" s="513"/>
      <c r="K595" s="516">
        <f t="shared" si="28"/>
        <v>0</v>
      </c>
      <c r="P595" s="256"/>
      <c r="Q595" s="513"/>
      <c r="R595" s="516">
        <f t="shared" si="29"/>
        <v>0</v>
      </c>
    </row>
    <row r="596" spans="2:18" ht="15" customHeight="1" x14ac:dyDescent="0.2">
      <c r="B596" s="256"/>
      <c r="C596" s="513"/>
      <c r="D596" s="516">
        <f t="shared" si="27"/>
        <v>0</v>
      </c>
      <c r="I596" s="256"/>
      <c r="J596" s="513"/>
      <c r="K596" s="516">
        <f t="shared" si="28"/>
        <v>0</v>
      </c>
      <c r="P596" s="256"/>
      <c r="Q596" s="513"/>
      <c r="R596" s="516">
        <f t="shared" si="29"/>
        <v>0</v>
      </c>
    </row>
    <row r="597" spans="2:18" ht="15" customHeight="1" x14ac:dyDescent="0.2">
      <c r="B597" s="256"/>
      <c r="C597" s="513"/>
      <c r="D597" s="516">
        <f t="shared" si="27"/>
        <v>0</v>
      </c>
      <c r="I597" s="256"/>
      <c r="J597" s="513"/>
      <c r="K597" s="516">
        <f t="shared" si="28"/>
        <v>0</v>
      </c>
      <c r="P597" s="256"/>
      <c r="Q597" s="513"/>
      <c r="R597" s="516">
        <f t="shared" si="29"/>
        <v>0</v>
      </c>
    </row>
    <row r="598" spans="2:18" ht="15" customHeight="1" x14ac:dyDescent="0.2">
      <c r="B598" s="256"/>
      <c r="C598" s="513"/>
      <c r="D598" s="516">
        <f t="shared" si="27"/>
        <v>0</v>
      </c>
      <c r="I598" s="256"/>
      <c r="J598" s="513"/>
      <c r="K598" s="516">
        <f t="shared" si="28"/>
        <v>0</v>
      </c>
      <c r="P598" s="256"/>
      <c r="Q598" s="513"/>
      <c r="R598" s="516">
        <f t="shared" si="29"/>
        <v>0</v>
      </c>
    </row>
    <row r="599" spans="2:18" ht="15" customHeight="1" x14ac:dyDescent="0.2">
      <c r="B599" s="256"/>
      <c r="C599" s="513"/>
      <c r="D599" s="516">
        <f t="shared" si="27"/>
        <v>0</v>
      </c>
      <c r="I599" s="256"/>
      <c r="J599" s="513"/>
      <c r="K599" s="516">
        <f t="shared" si="28"/>
        <v>0</v>
      </c>
      <c r="P599" s="256"/>
      <c r="Q599" s="513"/>
      <c r="R599" s="516">
        <f t="shared" si="29"/>
        <v>0</v>
      </c>
    </row>
    <row r="600" spans="2:18" ht="15" customHeight="1" x14ac:dyDescent="0.2">
      <c r="B600" s="256"/>
      <c r="C600" s="513"/>
      <c r="D600" s="516">
        <f t="shared" si="27"/>
        <v>0</v>
      </c>
      <c r="I600" s="256"/>
      <c r="J600" s="513"/>
      <c r="K600" s="516">
        <f t="shared" si="28"/>
        <v>0</v>
      </c>
      <c r="P600" s="256"/>
      <c r="Q600" s="513"/>
      <c r="R600" s="516">
        <f t="shared" si="29"/>
        <v>0</v>
      </c>
    </row>
    <row r="601" spans="2:18" ht="15" customHeight="1" x14ac:dyDescent="0.2">
      <c r="B601" s="256"/>
      <c r="C601" s="513"/>
      <c r="D601" s="516">
        <f t="shared" si="27"/>
        <v>0</v>
      </c>
      <c r="I601" s="256"/>
      <c r="J601" s="513"/>
      <c r="K601" s="516">
        <f t="shared" si="28"/>
        <v>0</v>
      </c>
      <c r="P601" s="256"/>
      <c r="Q601" s="513"/>
      <c r="R601" s="516">
        <f t="shared" si="29"/>
        <v>0</v>
      </c>
    </row>
    <row r="602" spans="2:18" ht="15" customHeight="1" x14ac:dyDescent="0.2">
      <c r="B602" s="256"/>
      <c r="C602" s="513"/>
      <c r="D602" s="516">
        <f t="shared" si="27"/>
        <v>0</v>
      </c>
      <c r="I602" s="256"/>
      <c r="J602" s="513"/>
      <c r="K602" s="516">
        <f t="shared" si="28"/>
        <v>0</v>
      </c>
      <c r="P602" s="256"/>
      <c r="Q602" s="513"/>
      <c r="R602" s="516">
        <f t="shared" si="29"/>
        <v>0</v>
      </c>
    </row>
    <row r="603" spans="2:18" ht="15" customHeight="1" x14ac:dyDescent="0.2">
      <c r="B603" s="256"/>
      <c r="C603" s="513"/>
      <c r="D603" s="516">
        <f t="shared" si="27"/>
        <v>0</v>
      </c>
      <c r="I603" s="256"/>
      <c r="J603" s="513"/>
      <c r="K603" s="516">
        <f t="shared" si="28"/>
        <v>0</v>
      </c>
      <c r="P603" s="256"/>
      <c r="Q603" s="513"/>
      <c r="R603" s="516">
        <f t="shared" si="29"/>
        <v>0</v>
      </c>
    </row>
    <row r="604" spans="2:18" ht="15" customHeight="1" x14ac:dyDescent="0.2">
      <c r="B604" s="256"/>
      <c r="C604" s="513"/>
      <c r="D604" s="516">
        <f t="shared" si="27"/>
        <v>0</v>
      </c>
      <c r="I604" s="256"/>
      <c r="J604" s="513"/>
      <c r="K604" s="516">
        <f t="shared" si="28"/>
        <v>0</v>
      </c>
      <c r="P604" s="256"/>
      <c r="Q604" s="513"/>
      <c r="R604" s="516">
        <f t="shared" si="29"/>
        <v>0</v>
      </c>
    </row>
    <row r="605" spans="2:18" ht="15" customHeight="1" x14ac:dyDescent="0.2">
      <c r="B605" s="256"/>
      <c r="C605" s="513"/>
      <c r="D605" s="516">
        <f t="shared" si="27"/>
        <v>0</v>
      </c>
      <c r="I605" s="256"/>
      <c r="J605" s="513"/>
      <c r="K605" s="516">
        <f t="shared" si="28"/>
        <v>0</v>
      </c>
      <c r="P605" s="256"/>
      <c r="Q605" s="513"/>
      <c r="R605" s="516">
        <f t="shared" si="29"/>
        <v>0</v>
      </c>
    </row>
    <row r="606" spans="2:18" ht="15" customHeight="1" x14ac:dyDescent="0.2">
      <c r="B606" s="256"/>
      <c r="C606" s="513"/>
      <c r="D606" s="516">
        <f t="shared" si="27"/>
        <v>0</v>
      </c>
      <c r="I606" s="256"/>
      <c r="J606" s="513"/>
      <c r="K606" s="516">
        <f t="shared" si="28"/>
        <v>0</v>
      </c>
      <c r="P606" s="256"/>
      <c r="Q606" s="513"/>
      <c r="R606" s="516">
        <f t="shared" si="29"/>
        <v>0</v>
      </c>
    </row>
    <row r="607" spans="2:18" ht="15" customHeight="1" x14ac:dyDescent="0.2">
      <c r="B607" s="256"/>
      <c r="C607" s="513"/>
      <c r="D607" s="516">
        <f t="shared" si="27"/>
        <v>0</v>
      </c>
      <c r="I607" s="256"/>
      <c r="J607" s="513"/>
      <c r="K607" s="516">
        <f t="shared" si="28"/>
        <v>0</v>
      </c>
      <c r="P607" s="256"/>
      <c r="Q607" s="513"/>
      <c r="R607" s="516">
        <f t="shared" si="29"/>
        <v>0</v>
      </c>
    </row>
    <row r="608" spans="2:18" ht="15" customHeight="1" x14ac:dyDescent="0.2">
      <c r="B608" s="256"/>
      <c r="C608" s="513"/>
      <c r="D608" s="516">
        <f t="shared" si="27"/>
        <v>0</v>
      </c>
      <c r="I608" s="256"/>
      <c r="J608" s="513"/>
      <c r="K608" s="516">
        <f t="shared" si="28"/>
        <v>0</v>
      </c>
      <c r="P608" s="256"/>
      <c r="Q608" s="513"/>
      <c r="R608" s="516">
        <f t="shared" si="29"/>
        <v>0</v>
      </c>
    </row>
    <row r="609" spans="2:18" ht="15" customHeight="1" x14ac:dyDescent="0.2">
      <c r="B609" s="256"/>
      <c r="C609" s="513"/>
      <c r="D609" s="516">
        <f t="shared" si="27"/>
        <v>0</v>
      </c>
      <c r="I609" s="256"/>
      <c r="J609" s="513"/>
      <c r="K609" s="516">
        <f t="shared" si="28"/>
        <v>0</v>
      </c>
      <c r="P609" s="256"/>
      <c r="Q609" s="513"/>
      <c r="R609" s="516">
        <f t="shared" si="29"/>
        <v>0</v>
      </c>
    </row>
    <row r="610" spans="2:18" ht="15" customHeight="1" x14ac:dyDescent="0.2">
      <c r="B610" s="256"/>
      <c r="C610" s="513"/>
      <c r="D610" s="516">
        <f t="shared" si="27"/>
        <v>0</v>
      </c>
      <c r="I610" s="256"/>
      <c r="J610" s="513"/>
      <c r="K610" s="516">
        <f t="shared" si="28"/>
        <v>0</v>
      </c>
      <c r="P610" s="256"/>
      <c r="Q610" s="513"/>
      <c r="R610" s="516">
        <f t="shared" si="29"/>
        <v>0</v>
      </c>
    </row>
    <row r="611" spans="2:18" ht="15" customHeight="1" x14ac:dyDescent="0.2">
      <c r="B611" s="256"/>
      <c r="C611" s="513"/>
      <c r="D611" s="516">
        <f t="shared" si="27"/>
        <v>0</v>
      </c>
      <c r="I611" s="256"/>
      <c r="J611" s="513"/>
      <c r="K611" s="516">
        <f t="shared" si="28"/>
        <v>0</v>
      </c>
      <c r="P611" s="256"/>
      <c r="Q611" s="513"/>
      <c r="R611" s="516">
        <f t="shared" si="29"/>
        <v>0</v>
      </c>
    </row>
    <row r="612" spans="2:18" ht="15" customHeight="1" x14ac:dyDescent="0.2">
      <c r="B612" s="256"/>
      <c r="C612" s="513"/>
      <c r="D612" s="516">
        <f t="shared" si="27"/>
        <v>0</v>
      </c>
      <c r="I612" s="256"/>
      <c r="J612" s="513"/>
      <c r="K612" s="516">
        <f t="shared" si="28"/>
        <v>0</v>
      </c>
      <c r="P612" s="256"/>
      <c r="Q612" s="513"/>
      <c r="R612" s="516">
        <f t="shared" si="29"/>
        <v>0</v>
      </c>
    </row>
    <row r="613" spans="2:18" ht="15" customHeight="1" x14ac:dyDescent="0.2">
      <c r="B613" s="256"/>
      <c r="C613" s="513"/>
      <c r="D613" s="516">
        <f t="shared" si="27"/>
        <v>0</v>
      </c>
      <c r="I613" s="256"/>
      <c r="J613" s="513"/>
      <c r="K613" s="516">
        <f t="shared" si="28"/>
        <v>0</v>
      </c>
      <c r="P613" s="256"/>
      <c r="Q613" s="513"/>
      <c r="R613" s="516">
        <f t="shared" si="29"/>
        <v>0</v>
      </c>
    </row>
    <row r="614" spans="2:18" ht="15" customHeight="1" x14ac:dyDescent="0.2">
      <c r="B614" s="256"/>
      <c r="C614" s="513"/>
      <c r="D614" s="516">
        <f t="shared" si="27"/>
        <v>0</v>
      </c>
      <c r="I614" s="256"/>
      <c r="J614" s="513"/>
      <c r="K614" s="516">
        <f t="shared" si="28"/>
        <v>0</v>
      </c>
      <c r="P614" s="256"/>
      <c r="Q614" s="513"/>
      <c r="R614" s="516">
        <f t="shared" si="29"/>
        <v>0</v>
      </c>
    </row>
    <row r="615" spans="2:18" ht="15" customHeight="1" x14ac:dyDescent="0.2">
      <c r="B615" s="256"/>
      <c r="C615" s="513"/>
      <c r="D615" s="516">
        <f t="shared" si="27"/>
        <v>0</v>
      </c>
      <c r="I615" s="256"/>
      <c r="J615" s="513"/>
      <c r="K615" s="516">
        <f t="shared" si="28"/>
        <v>0</v>
      </c>
      <c r="P615" s="256"/>
      <c r="Q615" s="513"/>
      <c r="R615" s="516">
        <f t="shared" si="29"/>
        <v>0</v>
      </c>
    </row>
    <row r="616" spans="2:18" ht="15" customHeight="1" x14ac:dyDescent="0.2">
      <c r="B616" s="256"/>
      <c r="C616" s="513"/>
      <c r="D616" s="516">
        <f t="shared" si="27"/>
        <v>0</v>
      </c>
      <c r="I616" s="256"/>
      <c r="J616" s="513"/>
      <c r="K616" s="516">
        <f t="shared" si="28"/>
        <v>0</v>
      </c>
      <c r="P616" s="256"/>
      <c r="Q616" s="513"/>
      <c r="R616" s="516">
        <f t="shared" si="29"/>
        <v>0</v>
      </c>
    </row>
    <row r="617" spans="2:18" ht="15" customHeight="1" x14ac:dyDescent="0.2">
      <c r="B617" s="256"/>
      <c r="C617" s="513"/>
      <c r="D617" s="516">
        <f t="shared" si="27"/>
        <v>0</v>
      </c>
      <c r="I617" s="256"/>
      <c r="J617" s="513"/>
      <c r="K617" s="516">
        <f t="shared" si="28"/>
        <v>0</v>
      </c>
      <c r="P617" s="256"/>
      <c r="Q617" s="513"/>
      <c r="R617" s="516">
        <f t="shared" si="29"/>
        <v>0</v>
      </c>
    </row>
    <row r="618" spans="2:18" ht="15" customHeight="1" x14ac:dyDescent="0.2">
      <c r="B618" s="256"/>
      <c r="C618" s="513"/>
      <c r="D618" s="516">
        <f t="shared" si="27"/>
        <v>0</v>
      </c>
      <c r="I618" s="256"/>
      <c r="J618" s="513"/>
      <c r="K618" s="516">
        <f t="shared" si="28"/>
        <v>0</v>
      </c>
      <c r="P618" s="256"/>
      <c r="Q618" s="513"/>
      <c r="R618" s="516">
        <f t="shared" si="29"/>
        <v>0</v>
      </c>
    </row>
    <row r="619" spans="2:18" ht="15" customHeight="1" x14ac:dyDescent="0.2">
      <c r="B619" s="256"/>
      <c r="C619" s="513"/>
      <c r="D619" s="516">
        <f t="shared" si="27"/>
        <v>0</v>
      </c>
      <c r="I619" s="256"/>
      <c r="J619" s="513"/>
      <c r="K619" s="516">
        <f t="shared" si="28"/>
        <v>0</v>
      </c>
      <c r="P619" s="256"/>
      <c r="Q619" s="513"/>
      <c r="R619" s="516">
        <f t="shared" si="29"/>
        <v>0</v>
      </c>
    </row>
    <row r="620" spans="2:18" ht="15" customHeight="1" x14ac:dyDescent="0.2">
      <c r="B620" s="256"/>
      <c r="C620" s="513"/>
      <c r="D620" s="516">
        <f t="shared" si="27"/>
        <v>0</v>
      </c>
      <c r="I620" s="256"/>
      <c r="J620" s="513"/>
      <c r="K620" s="516">
        <f t="shared" si="28"/>
        <v>0</v>
      </c>
      <c r="P620" s="256"/>
      <c r="Q620" s="513"/>
      <c r="R620" s="516">
        <f t="shared" si="29"/>
        <v>0</v>
      </c>
    </row>
    <row r="621" spans="2:18" ht="15" customHeight="1" x14ac:dyDescent="0.2">
      <c r="B621" s="256"/>
      <c r="C621" s="513"/>
      <c r="D621" s="516">
        <f t="shared" si="27"/>
        <v>0</v>
      </c>
      <c r="I621" s="256"/>
      <c r="J621" s="513"/>
      <c r="K621" s="516">
        <f t="shared" si="28"/>
        <v>0</v>
      </c>
      <c r="P621" s="256"/>
      <c r="Q621" s="513"/>
      <c r="R621" s="516">
        <f t="shared" si="29"/>
        <v>0</v>
      </c>
    </row>
    <row r="622" spans="2:18" ht="15" customHeight="1" x14ac:dyDescent="0.2">
      <c r="B622" s="256"/>
      <c r="C622" s="513"/>
      <c r="D622" s="516">
        <f t="shared" si="27"/>
        <v>0</v>
      </c>
      <c r="I622" s="256"/>
      <c r="J622" s="513"/>
      <c r="K622" s="516">
        <f t="shared" si="28"/>
        <v>0</v>
      </c>
      <c r="P622" s="256"/>
      <c r="Q622" s="513"/>
      <c r="R622" s="516">
        <f t="shared" si="29"/>
        <v>0</v>
      </c>
    </row>
    <row r="623" spans="2:18" ht="15" customHeight="1" x14ac:dyDescent="0.2">
      <c r="B623" s="256"/>
      <c r="C623" s="513"/>
      <c r="D623" s="516">
        <f t="shared" si="27"/>
        <v>0</v>
      </c>
      <c r="I623" s="256"/>
      <c r="J623" s="513"/>
      <c r="K623" s="516">
        <f t="shared" si="28"/>
        <v>0</v>
      </c>
      <c r="P623" s="256"/>
      <c r="Q623" s="513"/>
      <c r="R623" s="516">
        <f t="shared" si="29"/>
        <v>0</v>
      </c>
    </row>
    <row r="624" spans="2:18" ht="15" customHeight="1" x14ac:dyDescent="0.2">
      <c r="B624" s="256"/>
      <c r="C624" s="513"/>
      <c r="D624" s="516">
        <f t="shared" si="27"/>
        <v>0</v>
      </c>
      <c r="I624" s="256"/>
      <c r="J624" s="513"/>
      <c r="K624" s="516">
        <f t="shared" si="28"/>
        <v>0</v>
      </c>
      <c r="P624" s="256"/>
      <c r="Q624" s="513"/>
      <c r="R624" s="516">
        <f t="shared" si="29"/>
        <v>0</v>
      </c>
    </row>
    <row r="625" spans="2:18" ht="15" customHeight="1" x14ac:dyDescent="0.2">
      <c r="B625" s="256"/>
      <c r="C625" s="513"/>
      <c r="D625" s="516">
        <f t="shared" si="27"/>
        <v>0</v>
      </c>
      <c r="I625" s="256"/>
      <c r="J625" s="513"/>
      <c r="K625" s="516">
        <f t="shared" si="28"/>
        <v>0</v>
      </c>
      <c r="P625" s="256"/>
      <c r="Q625" s="513"/>
      <c r="R625" s="516">
        <f t="shared" si="29"/>
        <v>0</v>
      </c>
    </row>
    <row r="626" spans="2:18" ht="15" customHeight="1" x14ac:dyDescent="0.2">
      <c r="B626" s="256"/>
      <c r="C626" s="513"/>
      <c r="D626" s="516">
        <f t="shared" si="27"/>
        <v>0</v>
      </c>
      <c r="I626" s="256"/>
      <c r="J626" s="513"/>
      <c r="K626" s="516">
        <f t="shared" si="28"/>
        <v>0</v>
      </c>
      <c r="P626" s="256"/>
      <c r="Q626" s="513"/>
      <c r="R626" s="516">
        <f t="shared" si="29"/>
        <v>0</v>
      </c>
    </row>
    <row r="627" spans="2:18" ht="15" customHeight="1" x14ac:dyDescent="0.2">
      <c r="B627" s="256"/>
      <c r="C627" s="513"/>
      <c r="D627" s="516">
        <f t="shared" si="27"/>
        <v>0</v>
      </c>
      <c r="I627" s="256"/>
      <c r="J627" s="513"/>
      <c r="K627" s="516">
        <f t="shared" si="28"/>
        <v>0</v>
      </c>
      <c r="P627" s="256"/>
      <c r="Q627" s="513"/>
      <c r="R627" s="516">
        <f t="shared" si="29"/>
        <v>0</v>
      </c>
    </row>
    <row r="628" spans="2:18" ht="15" customHeight="1" x14ac:dyDescent="0.2">
      <c r="B628" s="256"/>
      <c r="C628" s="513"/>
      <c r="D628" s="516">
        <f t="shared" si="27"/>
        <v>0</v>
      </c>
      <c r="I628" s="256"/>
      <c r="J628" s="513"/>
      <c r="K628" s="516">
        <f t="shared" si="28"/>
        <v>0</v>
      </c>
      <c r="P628" s="256"/>
      <c r="Q628" s="513"/>
      <c r="R628" s="516">
        <f t="shared" si="29"/>
        <v>0</v>
      </c>
    </row>
    <row r="629" spans="2:18" ht="15" customHeight="1" x14ac:dyDescent="0.2">
      <c r="B629" s="256"/>
      <c r="C629" s="513"/>
      <c r="D629" s="516">
        <f t="shared" si="27"/>
        <v>0</v>
      </c>
      <c r="I629" s="256"/>
      <c r="J629" s="513"/>
      <c r="K629" s="516">
        <f t="shared" si="28"/>
        <v>0</v>
      </c>
      <c r="P629" s="256"/>
      <c r="Q629" s="513"/>
      <c r="R629" s="516">
        <f t="shared" si="29"/>
        <v>0</v>
      </c>
    </row>
    <row r="630" spans="2:18" ht="15" customHeight="1" x14ac:dyDescent="0.2">
      <c r="B630" s="256"/>
      <c r="C630" s="513"/>
      <c r="D630" s="516">
        <f t="shared" si="27"/>
        <v>0</v>
      </c>
      <c r="I630" s="256"/>
      <c r="J630" s="513"/>
      <c r="K630" s="516">
        <f t="shared" si="28"/>
        <v>0</v>
      </c>
      <c r="P630" s="256"/>
      <c r="Q630" s="513"/>
      <c r="R630" s="516">
        <f t="shared" si="29"/>
        <v>0</v>
      </c>
    </row>
    <row r="631" spans="2:18" ht="15" customHeight="1" x14ac:dyDescent="0.2">
      <c r="B631" s="256"/>
      <c r="C631" s="513"/>
      <c r="D631" s="516">
        <f t="shared" si="27"/>
        <v>0</v>
      </c>
      <c r="I631" s="256"/>
      <c r="J631" s="513"/>
      <c r="K631" s="516">
        <f t="shared" si="28"/>
        <v>0</v>
      </c>
      <c r="P631" s="256"/>
      <c r="Q631" s="513"/>
      <c r="R631" s="516">
        <f t="shared" si="29"/>
        <v>0</v>
      </c>
    </row>
    <row r="632" spans="2:18" ht="15" customHeight="1" x14ac:dyDescent="0.2">
      <c r="B632" s="256"/>
      <c r="C632" s="513"/>
      <c r="D632" s="516">
        <f t="shared" si="27"/>
        <v>0</v>
      </c>
      <c r="I632" s="256"/>
      <c r="J632" s="513"/>
      <c r="K632" s="516">
        <f t="shared" si="28"/>
        <v>0</v>
      </c>
      <c r="P632" s="256"/>
      <c r="Q632" s="513"/>
      <c r="R632" s="516">
        <f t="shared" si="29"/>
        <v>0</v>
      </c>
    </row>
    <row r="633" spans="2:18" ht="15" customHeight="1" x14ac:dyDescent="0.2">
      <c r="B633" s="256"/>
      <c r="C633" s="513"/>
      <c r="D633" s="516">
        <f t="shared" si="27"/>
        <v>0</v>
      </c>
      <c r="I633" s="256"/>
      <c r="J633" s="513"/>
      <c r="K633" s="516">
        <f t="shared" si="28"/>
        <v>0</v>
      </c>
      <c r="P633" s="256"/>
      <c r="Q633" s="513"/>
      <c r="R633" s="516">
        <f t="shared" si="29"/>
        <v>0</v>
      </c>
    </row>
    <row r="634" spans="2:18" ht="15" customHeight="1" x14ac:dyDescent="0.2">
      <c r="B634" s="256"/>
      <c r="C634" s="513"/>
      <c r="D634" s="516">
        <f t="shared" si="27"/>
        <v>0</v>
      </c>
      <c r="I634" s="256"/>
      <c r="J634" s="513"/>
      <c r="K634" s="516">
        <f t="shared" si="28"/>
        <v>0</v>
      </c>
      <c r="P634" s="256"/>
      <c r="Q634" s="513"/>
      <c r="R634" s="516">
        <f t="shared" si="29"/>
        <v>0</v>
      </c>
    </row>
    <row r="635" spans="2:18" ht="15" customHeight="1" x14ac:dyDescent="0.2">
      <c r="B635" s="256"/>
      <c r="C635" s="513"/>
      <c r="D635" s="516">
        <f t="shared" si="27"/>
        <v>0</v>
      </c>
      <c r="I635" s="256"/>
      <c r="J635" s="513"/>
      <c r="K635" s="516">
        <f t="shared" si="28"/>
        <v>0</v>
      </c>
      <c r="P635" s="256"/>
      <c r="Q635" s="513"/>
      <c r="R635" s="516">
        <f t="shared" si="29"/>
        <v>0</v>
      </c>
    </row>
    <row r="636" spans="2:18" ht="15" customHeight="1" x14ac:dyDescent="0.2">
      <c r="B636" s="256"/>
      <c r="C636" s="513"/>
      <c r="D636" s="516">
        <f t="shared" si="27"/>
        <v>0</v>
      </c>
      <c r="I636" s="256"/>
      <c r="J636" s="513"/>
      <c r="K636" s="516">
        <f t="shared" si="28"/>
        <v>0</v>
      </c>
      <c r="P636" s="256"/>
      <c r="Q636" s="513"/>
      <c r="R636" s="516">
        <f t="shared" si="29"/>
        <v>0</v>
      </c>
    </row>
    <row r="637" spans="2:18" ht="15" customHeight="1" x14ac:dyDescent="0.2">
      <c r="B637" s="256"/>
      <c r="C637" s="513"/>
      <c r="D637" s="516">
        <f t="shared" si="27"/>
        <v>0</v>
      </c>
      <c r="I637" s="256"/>
      <c r="J637" s="513"/>
      <c r="K637" s="516">
        <f t="shared" si="28"/>
        <v>0</v>
      </c>
      <c r="P637" s="256"/>
      <c r="Q637" s="513"/>
      <c r="R637" s="516">
        <f t="shared" si="29"/>
        <v>0</v>
      </c>
    </row>
    <row r="638" spans="2:18" ht="15" customHeight="1" x14ac:dyDescent="0.2">
      <c r="B638" s="256"/>
      <c r="C638" s="513"/>
      <c r="D638" s="516">
        <f t="shared" si="27"/>
        <v>0</v>
      </c>
      <c r="I638" s="256"/>
      <c r="J638" s="513"/>
      <c r="K638" s="516">
        <f t="shared" si="28"/>
        <v>0</v>
      </c>
      <c r="P638" s="256"/>
      <c r="Q638" s="513"/>
      <c r="R638" s="516">
        <f t="shared" si="29"/>
        <v>0</v>
      </c>
    </row>
    <row r="639" spans="2:18" ht="15" customHeight="1" x14ac:dyDescent="0.2">
      <c r="B639" s="256"/>
      <c r="C639" s="513"/>
      <c r="D639" s="516">
        <f t="shared" si="27"/>
        <v>0</v>
      </c>
      <c r="I639" s="256"/>
      <c r="J639" s="513"/>
      <c r="K639" s="516">
        <f t="shared" si="28"/>
        <v>0</v>
      </c>
      <c r="P639" s="256"/>
      <c r="Q639" s="513"/>
      <c r="R639" s="516">
        <f t="shared" si="29"/>
        <v>0</v>
      </c>
    </row>
    <row r="640" spans="2:18" ht="15" customHeight="1" x14ac:dyDescent="0.2">
      <c r="B640" s="256"/>
      <c r="C640" s="513"/>
      <c r="D640" s="516">
        <f t="shared" si="27"/>
        <v>0</v>
      </c>
      <c r="I640" s="256"/>
      <c r="J640" s="513"/>
      <c r="K640" s="516">
        <f t="shared" si="28"/>
        <v>0</v>
      </c>
      <c r="P640" s="256"/>
      <c r="Q640" s="513"/>
      <c r="R640" s="516">
        <f t="shared" si="29"/>
        <v>0</v>
      </c>
    </row>
    <row r="641" spans="2:18" ht="15" customHeight="1" x14ac:dyDescent="0.2">
      <c r="B641" s="256"/>
      <c r="C641" s="513"/>
      <c r="D641" s="516">
        <f t="shared" si="27"/>
        <v>0</v>
      </c>
      <c r="I641" s="256"/>
      <c r="J641" s="513"/>
      <c r="K641" s="516">
        <f t="shared" si="28"/>
        <v>0</v>
      </c>
      <c r="P641" s="256"/>
      <c r="Q641" s="513"/>
      <c r="R641" s="516">
        <f t="shared" si="29"/>
        <v>0</v>
      </c>
    </row>
    <row r="642" spans="2:18" ht="15" customHeight="1" x14ac:dyDescent="0.2">
      <c r="B642" s="256"/>
      <c r="C642" s="513"/>
      <c r="D642" s="516">
        <f t="shared" si="27"/>
        <v>0</v>
      </c>
      <c r="I642" s="256"/>
      <c r="J642" s="513"/>
      <c r="K642" s="516">
        <f t="shared" si="28"/>
        <v>0</v>
      </c>
      <c r="P642" s="256"/>
      <c r="Q642" s="513"/>
      <c r="R642" s="516">
        <f t="shared" si="29"/>
        <v>0</v>
      </c>
    </row>
    <row r="643" spans="2:18" ht="15" customHeight="1" x14ac:dyDescent="0.2">
      <c r="B643" s="256"/>
      <c r="C643" s="513"/>
      <c r="D643" s="516">
        <f t="shared" si="27"/>
        <v>0</v>
      </c>
      <c r="I643" s="256"/>
      <c r="J643" s="513"/>
      <c r="K643" s="516">
        <f t="shared" si="28"/>
        <v>0</v>
      </c>
      <c r="P643" s="256"/>
      <c r="Q643" s="513"/>
      <c r="R643" s="516">
        <f t="shared" si="29"/>
        <v>0</v>
      </c>
    </row>
    <row r="644" spans="2:18" ht="15" customHeight="1" x14ac:dyDescent="0.2">
      <c r="B644" s="256"/>
      <c r="C644" s="513"/>
      <c r="D644" s="516">
        <f t="shared" si="27"/>
        <v>0</v>
      </c>
      <c r="I644" s="256"/>
      <c r="J644" s="513"/>
      <c r="K644" s="516">
        <f t="shared" si="28"/>
        <v>0</v>
      </c>
      <c r="P644" s="256"/>
      <c r="Q644" s="513"/>
      <c r="R644" s="516">
        <f t="shared" si="29"/>
        <v>0</v>
      </c>
    </row>
    <row r="645" spans="2:18" ht="15" customHeight="1" x14ac:dyDescent="0.2">
      <c r="B645" s="256"/>
      <c r="C645" s="513"/>
      <c r="D645" s="516">
        <f t="shared" si="27"/>
        <v>0</v>
      </c>
      <c r="I645" s="256"/>
      <c r="J645" s="513"/>
      <c r="K645" s="516">
        <f t="shared" si="28"/>
        <v>0</v>
      </c>
      <c r="P645" s="256"/>
      <c r="Q645" s="513"/>
      <c r="R645" s="516">
        <f t="shared" si="29"/>
        <v>0</v>
      </c>
    </row>
    <row r="646" spans="2:18" ht="15" customHeight="1" x14ac:dyDescent="0.2">
      <c r="B646" s="256"/>
      <c r="C646" s="513"/>
      <c r="D646" s="516">
        <f t="shared" si="27"/>
        <v>0</v>
      </c>
      <c r="I646" s="256"/>
      <c r="J646" s="513"/>
      <c r="K646" s="516">
        <f t="shared" si="28"/>
        <v>0</v>
      </c>
      <c r="P646" s="256"/>
      <c r="Q646" s="513"/>
      <c r="R646" s="516">
        <f t="shared" si="29"/>
        <v>0</v>
      </c>
    </row>
    <row r="647" spans="2:18" ht="15" customHeight="1" x14ac:dyDescent="0.2">
      <c r="B647" s="256"/>
      <c r="C647" s="513"/>
      <c r="D647" s="516">
        <f t="shared" si="27"/>
        <v>0</v>
      </c>
      <c r="I647" s="256"/>
      <c r="J647" s="513"/>
      <c r="K647" s="516">
        <f t="shared" si="28"/>
        <v>0</v>
      </c>
      <c r="P647" s="256"/>
      <c r="Q647" s="513"/>
      <c r="R647" s="516">
        <f t="shared" si="29"/>
        <v>0</v>
      </c>
    </row>
    <row r="648" spans="2:18" ht="15" customHeight="1" x14ac:dyDescent="0.2">
      <c r="B648" s="256"/>
      <c r="C648" s="513"/>
      <c r="D648" s="516">
        <f t="shared" si="27"/>
        <v>0</v>
      </c>
      <c r="I648" s="256"/>
      <c r="J648" s="513"/>
      <c r="K648" s="516">
        <f t="shared" si="28"/>
        <v>0</v>
      </c>
      <c r="P648" s="256"/>
      <c r="Q648" s="513"/>
      <c r="R648" s="516">
        <f t="shared" si="29"/>
        <v>0</v>
      </c>
    </row>
    <row r="649" spans="2:18" ht="15" customHeight="1" x14ac:dyDescent="0.2">
      <c r="B649" s="256"/>
      <c r="C649" s="513"/>
      <c r="D649" s="516">
        <f t="shared" si="27"/>
        <v>0</v>
      </c>
      <c r="I649" s="256"/>
      <c r="J649" s="513"/>
      <c r="K649" s="516">
        <f t="shared" si="28"/>
        <v>0</v>
      </c>
      <c r="P649" s="256"/>
      <c r="Q649" s="513"/>
      <c r="R649" s="516">
        <f t="shared" si="29"/>
        <v>0</v>
      </c>
    </row>
    <row r="650" spans="2:18" ht="15" customHeight="1" x14ac:dyDescent="0.2">
      <c r="B650" s="256"/>
      <c r="C650" s="513"/>
      <c r="D650" s="516">
        <f t="shared" si="27"/>
        <v>0</v>
      </c>
      <c r="I650" s="256"/>
      <c r="J650" s="513"/>
      <c r="K650" s="516">
        <f t="shared" si="28"/>
        <v>0</v>
      </c>
      <c r="P650" s="256"/>
      <c r="Q650" s="513"/>
      <c r="R650" s="516">
        <f t="shared" si="29"/>
        <v>0</v>
      </c>
    </row>
    <row r="651" spans="2:18" ht="15" customHeight="1" x14ac:dyDescent="0.2">
      <c r="B651" s="256"/>
      <c r="C651" s="513"/>
      <c r="D651" s="516">
        <f t="shared" si="27"/>
        <v>0</v>
      </c>
      <c r="I651" s="256"/>
      <c r="J651" s="513"/>
      <c r="K651" s="516">
        <f t="shared" si="28"/>
        <v>0</v>
      </c>
      <c r="P651" s="256"/>
      <c r="Q651" s="513"/>
      <c r="R651" s="516">
        <f t="shared" si="29"/>
        <v>0</v>
      </c>
    </row>
    <row r="652" spans="2:18" ht="15" customHeight="1" x14ac:dyDescent="0.2">
      <c r="B652" s="256"/>
      <c r="C652" s="513"/>
      <c r="D652" s="516">
        <f t="shared" si="27"/>
        <v>0</v>
      </c>
      <c r="I652" s="256"/>
      <c r="J652" s="513"/>
      <c r="K652" s="516">
        <f t="shared" si="28"/>
        <v>0</v>
      </c>
      <c r="P652" s="256"/>
      <c r="Q652" s="513"/>
      <c r="R652" s="516">
        <f t="shared" si="29"/>
        <v>0</v>
      </c>
    </row>
    <row r="653" spans="2:18" ht="15" customHeight="1" x14ac:dyDescent="0.2">
      <c r="B653" s="256"/>
      <c r="C653" s="513"/>
      <c r="D653" s="516">
        <f t="shared" si="27"/>
        <v>0</v>
      </c>
      <c r="I653" s="256"/>
      <c r="J653" s="513"/>
      <c r="K653" s="516">
        <f t="shared" si="28"/>
        <v>0</v>
      </c>
      <c r="P653" s="256"/>
      <c r="Q653" s="513"/>
      <c r="R653" s="516">
        <f t="shared" si="29"/>
        <v>0</v>
      </c>
    </row>
    <row r="654" spans="2:18" ht="15" customHeight="1" x14ac:dyDescent="0.2">
      <c r="B654" s="256"/>
      <c r="C654" s="513"/>
      <c r="D654" s="516">
        <f t="shared" si="27"/>
        <v>0</v>
      </c>
      <c r="I654" s="256"/>
      <c r="J654" s="513"/>
      <c r="K654" s="516">
        <f t="shared" si="28"/>
        <v>0</v>
      </c>
      <c r="P654" s="256"/>
      <c r="Q654" s="513"/>
      <c r="R654" s="516">
        <f t="shared" si="29"/>
        <v>0</v>
      </c>
    </row>
    <row r="655" spans="2:18" ht="15" customHeight="1" x14ac:dyDescent="0.2">
      <c r="B655" s="256"/>
      <c r="C655" s="513"/>
      <c r="D655" s="516">
        <f t="shared" si="27"/>
        <v>0</v>
      </c>
      <c r="I655" s="256"/>
      <c r="J655" s="513"/>
      <c r="K655" s="516">
        <f t="shared" si="28"/>
        <v>0</v>
      </c>
      <c r="P655" s="256"/>
      <c r="Q655" s="513"/>
      <c r="R655" s="516">
        <f t="shared" si="29"/>
        <v>0</v>
      </c>
    </row>
    <row r="656" spans="2:18" ht="15" customHeight="1" x14ac:dyDescent="0.2">
      <c r="B656" s="256"/>
      <c r="C656" s="513"/>
      <c r="D656" s="516">
        <f t="shared" si="27"/>
        <v>0</v>
      </c>
      <c r="I656" s="256"/>
      <c r="J656" s="513"/>
      <c r="K656" s="516">
        <f t="shared" si="28"/>
        <v>0</v>
      </c>
      <c r="P656" s="256"/>
      <c r="Q656" s="513"/>
      <c r="R656" s="516">
        <f t="shared" si="29"/>
        <v>0</v>
      </c>
    </row>
    <row r="657" spans="2:18" ht="15" customHeight="1" x14ac:dyDescent="0.2">
      <c r="B657" s="256"/>
      <c r="C657" s="513"/>
      <c r="D657" s="516">
        <f t="shared" si="27"/>
        <v>0</v>
      </c>
      <c r="I657" s="256"/>
      <c r="J657" s="513"/>
      <c r="K657" s="516">
        <f t="shared" si="28"/>
        <v>0</v>
      </c>
      <c r="P657" s="256"/>
      <c r="Q657" s="513"/>
      <c r="R657" s="516">
        <f t="shared" si="29"/>
        <v>0</v>
      </c>
    </row>
    <row r="658" spans="2:18" ht="15" customHeight="1" x14ac:dyDescent="0.2">
      <c r="B658" s="256"/>
      <c r="C658" s="513"/>
      <c r="D658" s="516">
        <f t="shared" ref="D658:D721" si="30">C658/1000</f>
        <v>0</v>
      </c>
      <c r="I658" s="256"/>
      <c r="J658" s="513"/>
      <c r="K658" s="516">
        <f t="shared" ref="K658:K721" si="31">J658/1000</f>
        <v>0</v>
      </c>
      <c r="P658" s="256"/>
      <c r="Q658" s="513"/>
      <c r="R658" s="516">
        <f t="shared" ref="R658:R721" si="32">Q658/1000</f>
        <v>0</v>
      </c>
    </row>
    <row r="659" spans="2:18" ht="15" customHeight="1" x14ac:dyDescent="0.2">
      <c r="B659" s="256"/>
      <c r="C659" s="513"/>
      <c r="D659" s="516">
        <f t="shared" si="30"/>
        <v>0</v>
      </c>
      <c r="I659" s="256"/>
      <c r="J659" s="513"/>
      <c r="K659" s="516">
        <f t="shared" si="31"/>
        <v>0</v>
      </c>
      <c r="P659" s="256"/>
      <c r="Q659" s="513"/>
      <c r="R659" s="516">
        <f t="shared" si="32"/>
        <v>0</v>
      </c>
    </row>
    <row r="660" spans="2:18" ht="15" customHeight="1" x14ac:dyDescent="0.2">
      <c r="B660" s="256"/>
      <c r="C660" s="513"/>
      <c r="D660" s="516">
        <f t="shared" si="30"/>
        <v>0</v>
      </c>
      <c r="I660" s="256"/>
      <c r="J660" s="513"/>
      <c r="K660" s="516">
        <f t="shared" si="31"/>
        <v>0</v>
      </c>
      <c r="P660" s="256"/>
      <c r="Q660" s="513"/>
      <c r="R660" s="516">
        <f t="shared" si="32"/>
        <v>0</v>
      </c>
    </row>
    <row r="661" spans="2:18" ht="15" customHeight="1" x14ac:dyDescent="0.2">
      <c r="B661" s="256"/>
      <c r="C661" s="513"/>
      <c r="D661" s="516">
        <f t="shared" si="30"/>
        <v>0</v>
      </c>
      <c r="I661" s="256"/>
      <c r="J661" s="513"/>
      <c r="K661" s="516">
        <f t="shared" si="31"/>
        <v>0</v>
      </c>
      <c r="P661" s="256"/>
      <c r="Q661" s="513"/>
      <c r="R661" s="516">
        <f t="shared" si="32"/>
        <v>0</v>
      </c>
    </row>
    <row r="662" spans="2:18" ht="15" customHeight="1" x14ac:dyDescent="0.2">
      <c r="B662" s="256"/>
      <c r="C662" s="513"/>
      <c r="D662" s="516">
        <f t="shared" si="30"/>
        <v>0</v>
      </c>
      <c r="I662" s="256"/>
      <c r="J662" s="513"/>
      <c r="K662" s="516">
        <f t="shared" si="31"/>
        <v>0</v>
      </c>
      <c r="P662" s="256"/>
      <c r="Q662" s="513"/>
      <c r="R662" s="516">
        <f t="shared" si="32"/>
        <v>0</v>
      </c>
    </row>
    <row r="663" spans="2:18" ht="15" customHeight="1" x14ac:dyDescent="0.2">
      <c r="B663" s="256"/>
      <c r="C663" s="513"/>
      <c r="D663" s="516">
        <f t="shared" si="30"/>
        <v>0</v>
      </c>
      <c r="I663" s="256"/>
      <c r="J663" s="513"/>
      <c r="K663" s="516">
        <f t="shared" si="31"/>
        <v>0</v>
      </c>
      <c r="P663" s="256"/>
      <c r="Q663" s="513"/>
      <c r="R663" s="516">
        <f t="shared" si="32"/>
        <v>0</v>
      </c>
    </row>
    <row r="664" spans="2:18" ht="15" customHeight="1" x14ac:dyDescent="0.2">
      <c r="B664" s="256"/>
      <c r="C664" s="513"/>
      <c r="D664" s="516">
        <f t="shared" si="30"/>
        <v>0</v>
      </c>
      <c r="I664" s="256"/>
      <c r="J664" s="513"/>
      <c r="K664" s="516">
        <f t="shared" si="31"/>
        <v>0</v>
      </c>
      <c r="P664" s="256"/>
      <c r="Q664" s="513"/>
      <c r="R664" s="516">
        <f t="shared" si="32"/>
        <v>0</v>
      </c>
    </row>
    <row r="665" spans="2:18" ht="15" customHeight="1" x14ac:dyDescent="0.2">
      <c r="B665" s="256"/>
      <c r="C665" s="513"/>
      <c r="D665" s="516">
        <f t="shared" si="30"/>
        <v>0</v>
      </c>
      <c r="I665" s="256"/>
      <c r="J665" s="513"/>
      <c r="K665" s="516">
        <f t="shared" si="31"/>
        <v>0</v>
      </c>
      <c r="P665" s="256"/>
      <c r="Q665" s="513"/>
      <c r="R665" s="516">
        <f t="shared" si="32"/>
        <v>0</v>
      </c>
    </row>
    <row r="666" spans="2:18" ht="15" customHeight="1" x14ac:dyDescent="0.2">
      <c r="B666" s="256"/>
      <c r="C666" s="513"/>
      <c r="D666" s="516">
        <f t="shared" si="30"/>
        <v>0</v>
      </c>
      <c r="I666" s="256"/>
      <c r="J666" s="513"/>
      <c r="K666" s="516">
        <f t="shared" si="31"/>
        <v>0</v>
      </c>
      <c r="P666" s="256"/>
      <c r="Q666" s="513"/>
      <c r="R666" s="516">
        <f t="shared" si="32"/>
        <v>0</v>
      </c>
    </row>
    <row r="667" spans="2:18" ht="15" customHeight="1" x14ac:dyDescent="0.2">
      <c r="B667" s="256"/>
      <c r="C667" s="513"/>
      <c r="D667" s="516">
        <f t="shared" si="30"/>
        <v>0</v>
      </c>
      <c r="I667" s="256"/>
      <c r="J667" s="513"/>
      <c r="K667" s="516">
        <f t="shared" si="31"/>
        <v>0</v>
      </c>
      <c r="P667" s="256"/>
      <c r="Q667" s="513"/>
      <c r="R667" s="516">
        <f t="shared" si="32"/>
        <v>0</v>
      </c>
    </row>
    <row r="668" spans="2:18" ht="15" customHeight="1" x14ac:dyDescent="0.2">
      <c r="B668" s="256"/>
      <c r="C668" s="513"/>
      <c r="D668" s="516">
        <f t="shared" si="30"/>
        <v>0</v>
      </c>
      <c r="I668" s="256"/>
      <c r="J668" s="513"/>
      <c r="K668" s="516">
        <f t="shared" si="31"/>
        <v>0</v>
      </c>
      <c r="P668" s="256"/>
      <c r="Q668" s="513"/>
      <c r="R668" s="516">
        <f t="shared" si="32"/>
        <v>0</v>
      </c>
    </row>
    <row r="669" spans="2:18" ht="15" customHeight="1" x14ac:dyDescent="0.2">
      <c r="B669" s="256"/>
      <c r="C669" s="513"/>
      <c r="D669" s="516">
        <f t="shared" si="30"/>
        <v>0</v>
      </c>
      <c r="I669" s="256"/>
      <c r="J669" s="513"/>
      <c r="K669" s="516">
        <f t="shared" si="31"/>
        <v>0</v>
      </c>
      <c r="P669" s="256"/>
      <c r="Q669" s="513"/>
      <c r="R669" s="516">
        <f t="shared" si="32"/>
        <v>0</v>
      </c>
    </row>
    <row r="670" spans="2:18" ht="15" customHeight="1" x14ac:dyDescent="0.2">
      <c r="B670" s="256"/>
      <c r="C670" s="513"/>
      <c r="D670" s="516">
        <f t="shared" si="30"/>
        <v>0</v>
      </c>
      <c r="I670" s="256"/>
      <c r="J670" s="513"/>
      <c r="K670" s="516">
        <f t="shared" si="31"/>
        <v>0</v>
      </c>
      <c r="P670" s="256"/>
      <c r="Q670" s="513"/>
      <c r="R670" s="516">
        <f t="shared" si="32"/>
        <v>0</v>
      </c>
    </row>
    <row r="671" spans="2:18" ht="15" customHeight="1" x14ac:dyDescent="0.2">
      <c r="B671" s="256"/>
      <c r="C671" s="513"/>
      <c r="D671" s="516">
        <f t="shared" si="30"/>
        <v>0</v>
      </c>
      <c r="I671" s="256"/>
      <c r="J671" s="513"/>
      <c r="K671" s="516">
        <f t="shared" si="31"/>
        <v>0</v>
      </c>
      <c r="P671" s="256"/>
      <c r="Q671" s="513"/>
      <c r="R671" s="516">
        <f t="shared" si="32"/>
        <v>0</v>
      </c>
    </row>
    <row r="672" spans="2:18" ht="15" customHeight="1" x14ac:dyDescent="0.2">
      <c r="B672" s="256"/>
      <c r="C672" s="513"/>
      <c r="D672" s="516">
        <f t="shared" si="30"/>
        <v>0</v>
      </c>
      <c r="I672" s="256"/>
      <c r="J672" s="513"/>
      <c r="K672" s="516">
        <f t="shared" si="31"/>
        <v>0</v>
      </c>
      <c r="P672" s="256"/>
      <c r="Q672" s="513"/>
      <c r="R672" s="516">
        <f t="shared" si="32"/>
        <v>0</v>
      </c>
    </row>
    <row r="673" spans="2:18" ht="15" customHeight="1" x14ac:dyDescent="0.2">
      <c r="B673" s="256"/>
      <c r="C673" s="513"/>
      <c r="D673" s="516">
        <f t="shared" si="30"/>
        <v>0</v>
      </c>
      <c r="I673" s="256"/>
      <c r="J673" s="513"/>
      <c r="K673" s="516">
        <f t="shared" si="31"/>
        <v>0</v>
      </c>
      <c r="P673" s="256"/>
      <c r="Q673" s="513"/>
      <c r="R673" s="516">
        <f t="shared" si="32"/>
        <v>0</v>
      </c>
    </row>
    <row r="674" spans="2:18" ht="15" customHeight="1" x14ac:dyDescent="0.2">
      <c r="B674" s="256"/>
      <c r="C674" s="513"/>
      <c r="D674" s="516">
        <f t="shared" si="30"/>
        <v>0</v>
      </c>
      <c r="I674" s="256"/>
      <c r="J674" s="513"/>
      <c r="K674" s="516">
        <f t="shared" si="31"/>
        <v>0</v>
      </c>
      <c r="P674" s="256"/>
      <c r="Q674" s="513"/>
      <c r="R674" s="516">
        <f t="shared" si="32"/>
        <v>0</v>
      </c>
    </row>
    <row r="675" spans="2:18" ht="15" customHeight="1" x14ac:dyDescent="0.2">
      <c r="B675" s="256"/>
      <c r="C675" s="513"/>
      <c r="D675" s="516">
        <f t="shared" si="30"/>
        <v>0</v>
      </c>
      <c r="I675" s="256"/>
      <c r="J675" s="513"/>
      <c r="K675" s="516">
        <f t="shared" si="31"/>
        <v>0</v>
      </c>
      <c r="P675" s="256"/>
      <c r="Q675" s="513"/>
      <c r="R675" s="516">
        <f t="shared" si="32"/>
        <v>0</v>
      </c>
    </row>
    <row r="676" spans="2:18" ht="15" customHeight="1" x14ac:dyDescent="0.2">
      <c r="B676" s="256"/>
      <c r="C676" s="513"/>
      <c r="D676" s="516">
        <f t="shared" si="30"/>
        <v>0</v>
      </c>
      <c r="I676" s="256"/>
      <c r="J676" s="513"/>
      <c r="K676" s="516">
        <f t="shared" si="31"/>
        <v>0</v>
      </c>
      <c r="P676" s="256"/>
      <c r="Q676" s="513"/>
      <c r="R676" s="516">
        <f t="shared" si="32"/>
        <v>0</v>
      </c>
    </row>
    <row r="677" spans="2:18" ht="15" customHeight="1" x14ac:dyDescent="0.2">
      <c r="B677" s="256"/>
      <c r="C677" s="513"/>
      <c r="D677" s="516">
        <f t="shared" si="30"/>
        <v>0</v>
      </c>
      <c r="I677" s="256"/>
      <c r="J677" s="513"/>
      <c r="K677" s="516">
        <f t="shared" si="31"/>
        <v>0</v>
      </c>
      <c r="P677" s="256"/>
      <c r="Q677" s="513"/>
      <c r="R677" s="516">
        <f t="shared" si="32"/>
        <v>0</v>
      </c>
    </row>
    <row r="678" spans="2:18" ht="15" customHeight="1" x14ac:dyDescent="0.2">
      <c r="B678" s="256"/>
      <c r="C678" s="513"/>
      <c r="D678" s="516">
        <f t="shared" si="30"/>
        <v>0</v>
      </c>
      <c r="I678" s="256"/>
      <c r="J678" s="513"/>
      <c r="K678" s="516">
        <f t="shared" si="31"/>
        <v>0</v>
      </c>
      <c r="P678" s="256"/>
      <c r="Q678" s="513"/>
      <c r="R678" s="516">
        <f t="shared" si="32"/>
        <v>0</v>
      </c>
    </row>
    <row r="679" spans="2:18" ht="15" customHeight="1" x14ac:dyDescent="0.2">
      <c r="B679" s="256"/>
      <c r="C679" s="513"/>
      <c r="D679" s="516">
        <f t="shared" si="30"/>
        <v>0</v>
      </c>
      <c r="I679" s="256"/>
      <c r="J679" s="513"/>
      <c r="K679" s="516">
        <f t="shared" si="31"/>
        <v>0</v>
      </c>
      <c r="P679" s="256"/>
      <c r="Q679" s="513"/>
      <c r="R679" s="516">
        <f t="shared" si="32"/>
        <v>0</v>
      </c>
    </row>
    <row r="680" spans="2:18" ht="15" customHeight="1" x14ac:dyDescent="0.2">
      <c r="B680" s="256"/>
      <c r="C680" s="513"/>
      <c r="D680" s="516">
        <f t="shared" si="30"/>
        <v>0</v>
      </c>
      <c r="I680" s="256"/>
      <c r="J680" s="513"/>
      <c r="K680" s="516">
        <f t="shared" si="31"/>
        <v>0</v>
      </c>
      <c r="P680" s="256"/>
      <c r="Q680" s="513"/>
      <c r="R680" s="516">
        <f t="shared" si="32"/>
        <v>0</v>
      </c>
    </row>
    <row r="681" spans="2:18" ht="15" customHeight="1" x14ac:dyDescent="0.2">
      <c r="B681" s="256"/>
      <c r="C681" s="513"/>
      <c r="D681" s="516">
        <f t="shared" si="30"/>
        <v>0</v>
      </c>
      <c r="I681" s="256"/>
      <c r="J681" s="513"/>
      <c r="K681" s="516">
        <f t="shared" si="31"/>
        <v>0</v>
      </c>
      <c r="P681" s="256"/>
      <c r="Q681" s="513"/>
      <c r="R681" s="516">
        <f t="shared" si="32"/>
        <v>0</v>
      </c>
    </row>
    <row r="682" spans="2:18" ht="15" customHeight="1" x14ac:dyDescent="0.2">
      <c r="B682" s="256"/>
      <c r="C682" s="513"/>
      <c r="D682" s="516">
        <f t="shared" si="30"/>
        <v>0</v>
      </c>
      <c r="I682" s="256"/>
      <c r="J682" s="513"/>
      <c r="K682" s="516">
        <f t="shared" si="31"/>
        <v>0</v>
      </c>
      <c r="P682" s="256"/>
      <c r="Q682" s="513"/>
      <c r="R682" s="516">
        <f t="shared" si="32"/>
        <v>0</v>
      </c>
    </row>
    <row r="683" spans="2:18" ht="15" customHeight="1" x14ac:dyDescent="0.2">
      <c r="B683" s="256"/>
      <c r="C683" s="513"/>
      <c r="D683" s="516">
        <f t="shared" si="30"/>
        <v>0</v>
      </c>
      <c r="I683" s="256"/>
      <c r="J683" s="513"/>
      <c r="K683" s="516">
        <f t="shared" si="31"/>
        <v>0</v>
      </c>
      <c r="P683" s="256"/>
      <c r="Q683" s="513"/>
      <c r="R683" s="516">
        <f t="shared" si="32"/>
        <v>0</v>
      </c>
    </row>
    <row r="684" spans="2:18" ht="15" customHeight="1" x14ac:dyDescent="0.2">
      <c r="B684" s="256"/>
      <c r="C684" s="513"/>
      <c r="D684" s="516">
        <f t="shared" si="30"/>
        <v>0</v>
      </c>
      <c r="I684" s="256"/>
      <c r="J684" s="513"/>
      <c r="K684" s="516">
        <f t="shared" si="31"/>
        <v>0</v>
      </c>
      <c r="P684" s="256"/>
      <c r="Q684" s="513"/>
      <c r="R684" s="516">
        <f t="shared" si="32"/>
        <v>0</v>
      </c>
    </row>
    <row r="685" spans="2:18" ht="15" customHeight="1" x14ac:dyDescent="0.2">
      <c r="B685" s="256"/>
      <c r="C685" s="513"/>
      <c r="D685" s="516">
        <f t="shared" si="30"/>
        <v>0</v>
      </c>
      <c r="I685" s="256"/>
      <c r="J685" s="513"/>
      <c r="K685" s="516">
        <f t="shared" si="31"/>
        <v>0</v>
      </c>
      <c r="P685" s="256"/>
      <c r="Q685" s="513"/>
      <c r="R685" s="516">
        <f t="shared" si="32"/>
        <v>0</v>
      </c>
    </row>
    <row r="686" spans="2:18" ht="15" customHeight="1" x14ac:dyDescent="0.2">
      <c r="B686" s="256"/>
      <c r="C686" s="513"/>
      <c r="D686" s="516">
        <f t="shared" si="30"/>
        <v>0</v>
      </c>
      <c r="I686" s="256"/>
      <c r="J686" s="513"/>
      <c r="K686" s="516">
        <f t="shared" si="31"/>
        <v>0</v>
      </c>
      <c r="P686" s="256"/>
      <c r="Q686" s="513"/>
      <c r="R686" s="516">
        <f t="shared" si="32"/>
        <v>0</v>
      </c>
    </row>
    <row r="687" spans="2:18" ht="15" customHeight="1" x14ac:dyDescent="0.2">
      <c r="B687" s="256"/>
      <c r="C687" s="513"/>
      <c r="D687" s="516">
        <f t="shared" si="30"/>
        <v>0</v>
      </c>
      <c r="I687" s="256"/>
      <c r="J687" s="513"/>
      <c r="K687" s="516">
        <f t="shared" si="31"/>
        <v>0</v>
      </c>
      <c r="P687" s="256"/>
      <c r="Q687" s="513"/>
      <c r="R687" s="516">
        <f t="shared" si="32"/>
        <v>0</v>
      </c>
    </row>
    <row r="688" spans="2:18" ht="15" customHeight="1" x14ac:dyDescent="0.2">
      <c r="B688" s="256"/>
      <c r="C688" s="513"/>
      <c r="D688" s="516">
        <f t="shared" si="30"/>
        <v>0</v>
      </c>
      <c r="I688" s="256"/>
      <c r="J688" s="513"/>
      <c r="K688" s="516">
        <f t="shared" si="31"/>
        <v>0</v>
      </c>
      <c r="P688" s="256"/>
      <c r="Q688" s="513"/>
      <c r="R688" s="516">
        <f t="shared" si="32"/>
        <v>0</v>
      </c>
    </row>
    <row r="689" spans="2:18" ht="15" customHeight="1" x14ac:dyDescent="0.2">
      <c r="B689" s="256"/>
      <c r="C689" s="513"/>
      <c r="D689" s="516">
        <f t="shared" si="30"/>
        <v>0</v>
      </c>
      <c r="I689" s="256"/>
      <c r="J689" s="513"/>
      <c r="K689" s="516">
        <f t="shared" si="31"/>
        <v>0</v>
      </c>
      <c r="P689" s="256"/>
      <c r="Q689" s="513"/>
      <c r="R689" s="516">
        <f t="shared" si="32"/>
        <v>0</v>
      </c>
    </row>
    <row r="690" spans="2:18" ht="15" customHeight="1" x14ac:dyDescent="0.2">
      <c r="B690" s="256"/>
      <c r="C690" s="513"/>
      <c r="D690" s="516">
        <f t="shared" si="30"/>
        <v>0</v>
      </c>
      <c r="I690" s="256"/>
      <c r="J690" s="513"/>
      <c r="K690" s="516">
        <f t="shared" si="31"/>
        <v>0</v>
      </c>
      <c r="P690" s="256"/>
      <c r="Q690" s="513"/>
      <c r="R690" s="516">
        <f t="shared" si="32"/>
        <v>0</v>
      </c>
    </row>
    <row r="691" spans="2:18" ht="15" customHeight="1" x14ac:dyDescent="0.2">
      <c r="B691" s="256"/>
      <c r="C691" s="513"/>
      <c r="D691" s="516">
        <f t="shared" si="30"/>
        <v>0</v>
      </c>
      <c r="I691" s="256"/>
      <c r="J691" s="513"/>
      <c r="K691" s="516">
        <f t="shared" si="31"/>
        <v>0</v>
      </c>
      <c r="P691" s="256"/>
      <c r="Q691" s="513"/>
      <c r="R691" s="516">
        <f t="shared" si="32"/>
        <v>0</v>
      </c>
    </row>
    <row r="692" spans="2:18" ht="15" customHeight="1" x14ac:dyDescent="0.2">
      <c r="B692" s="256"/>
      <c r="C692" s="513"/>
      <c r="D692" s="516">
        <f t="shared" si="30"/>
        <v>0</v>
      </c>
      <c r="I692" s="256"/>
      <c r="J692" s="513"/>
      <c r="K692" s="516">
        <f t="shared" si="31"/>
        <v>0</v>
      </c>
      <c r="P692" s="256"/>
      <c r="Q692" s="513"/>
      <c r="R692" s="516">
        <f t="shared" si="32"/>
        <v>0</v>
      </c>
    </row>
    <row r="693" spans="2:18" ht="15" customHeight="1" x14ac:dyDescent="0.2">
      <c r="B693" s="256"/>
      <c r="C693" s="513"/>
      <c r="D693" s="516">
        <f t="shared" si="30"/>
        <v>0</v>
      </c>
      <c r="I693" s="256"/>
      <c r="J693" s="513"/>
      <c r="K693" s="516">
        <f t="shared" si="31"/>
        <v>0</v>
      </c>
      <c r="P693" s="256"/>
      <c r="Q693" s="513"/>
      <c r="R693" s="516">
        <f t="shared" si="32"/>
        <v>0</v>
      </c>
    </row>
    <row r="694" spans="2:18" ht="15" customHeight="1" x14ac:dyDescent="0.2">
      <c r="B694" s="256"/>
      <c r="C694" s="513"/>
      <c r="D694" s="516">
        <f t="shared" si="30"/>
        <v>0</v>
      </c>
      <c r="I694" s="256"/>
      <c r="J694" s="513"/>
      <c r="K694" s="516">
        <f t="shared" si="31"/>
        <v>0</v>
      </c>
      <c r="P694" s="256"/>
      <c r="Q694" s="513"/>
      <c r="R694" s="516">
        <f t="shared" si="32"/>
        <v>0</v>
      </c>
    </row>
    <row r="695" spans="2:18" ht="15" customHeight="1" x14ac:dyDescent="0.2">
      <c r="B695" s="256"/>
      <c r="C695" s="513"/>
      <c r="D695" s="516">
        <f t="shared" si="30"/>
        <v>0</v>
      </c>
      <c r="I695" s="256"/>
      <c r="J695" s="513"/>
      <c r="K695" s="516">
        <f t="shared" si="31"/>
        <v>0</v>
      </c>
      <c r="P695" s="256"/>
      <c r="Q695" s="513"/>
      <c r="R695" s="516">
        <f t="shared" si="32"/>
        <v>0</v>
      </c>
    </row>
    <row r="696" spans="2:18" ht="15" customHeight="1" x14ac:dyDescent="0.2">
      <c r="B696" s="256"/>
      <c r="C696" s="513"/>
      <c r="D696" s="516">
        <f t="shared" si="30"/>
        <v>0</v>
      </c>
      <c r="I696" s="256"/>
      <c r="J696" s="513"/>
      <c r="K696" s="516">
        <f t="shared" si="31"/>
        <v>0</v>
      </c>
      <c r="P696" s="256"/>
      <c r="Q696" s="513"/>
      <c r="R696" s="516">
        <f t="shared" si="32"/>
        <v>0</v>
      </c>
    </row>
    <row r="697" spans="2:18" ht="15" customHeight="1" x14ac:dyDescent="0.2">
      <c r="B697" s="256"/>
      <c r="C697" s="513"/>
      <c r="D697" s="516">
        <f t="shared" si="30"/>
        <v>0</v>
      </c>
      <c r="I697" s="256"/>
      <c r="J697" s="513"/>
      <c r="K697" s="516">
        <f t="shared" si="31"/>
        <v>0</v>
      </c>
      <c r="P697" s="256"/>
      <c r="Q697" s="513"/>
      <c r="R697" s="516">
        <f t="shared" si="32"/>
        <v>0</v>
      </c>
    </row>
    <row r="698" spans="2:18" ht="15" customHeight="1" x14ac:dyDescent="0.2">
      <c r="B698" s="256"/>
      <c r="C698" s="513"/>
      <c r="D698" s="516">
        <f t="shared" si="30"/>
        <v>0</v>
      </c>
      <c r="I698" s="256"/>
      <c r="J698" s="513"/>
      <c r="K698" s="516">
        <f t="shared" si="31"/>
        <v>0</v>
      </c>
      <c r="P698" s="256"/>
      <c r="Q698" s="513"/>
      <c r="R698" s="516">
        <f t="shared" si="32"/>
        <v>0</v>
      </c>
    </row>
    <row r="699" spans="2:18" ht="15" customHeight="1" x14ac:dyDescent="0.2">
      <c r="B699" s="256"/>
      <c r="C699" s="513"/>
      <c r="D699" s="516">
        <f t="shared" si="30"/>
        <v>0</v>
      </c>
      <c r="I699" s="256"/>
      <c r="J699" s="513"/>
      <c r="K699" s="516">
        <f t="shared" si="31"/>
        <v>0</v>
      </c>
      <c r="P699" s="256"/>
      <c r="Q699" s="513"/>
      <c r="R699" s="516">
        <f t="shared" si="32"/>
        <v>0</v>
      </c>
    </row>
    <row r="700" spans="2:18" ht="15" customHeight="1" x14ac:dyDescent="0.2">
      <c r="B700" s="256"/>
      <c r="C700" s="513"/>
      <c r="D700" s="516">
        <f t="shared" si="30"/>
        <v>0</v>
      </c>
      <c r="I700" s="256"/>
      <c r="J700" s="513"/>
      <c r="K700" s="516">
        <f t="shared" si="31"/>
        <v>0</v>
      </c>
      <c r="P700" s="256"/>
      <c r="Q700" s="513"/>
      <c r="R700" s="516">
        <f t="shared" si="32"/>
        <v>0</v>
      </c>
    </row>
    <row r="701" spans="2:18" ht="15" customHeight="1" x14ac:dyDescent="0.2">
      <c r="B701" s="256"/>
      <c r="C701" s="513"/>
      <c r="D701" s="516">
        <f t="shared" si="30"/>
        <v>0</v>
      </c>
      <c r="I701" s="256"/>
      <c r="J701" s="513"/>
      <c r="K701" s="516">
        <f t="shared" si="31"/>
        <v>0</v>
      </c>
      <c r="P701" s="256"/>
      <c r="Q701" s="513"/>
      <c r="R701" s="516">
        <f t="shared" si="32"/>
        <v>0</v>
      </c>
    </row>
    <row r="702" spans="2:18" ht="15" customHeight="1" x14ac:dyDescent="0.2">
      <c r="B702" s="256"/>
      <c r="C702" s="513"/>
      <c r="D702" s="516">
        <f t="shared" si="30"/>
        <v>0</v>
      </c>
      <c r="I702" s="256"/>
      <c r="J702" s="513"/>
      <c r="K702" s="516">
        <f t="shared" si="31"/>
        <v>0</v>
      </c>
      <c r="P702" s="256"/>
      <c r="Q702" s="513"/>
      <c r="R702" s="516">
        <f t="shared" si="32"/>
        <v>0</v>
      </c>
    </row>
    <row r="703" spans="2:18" ht="15" customHeight="1" x14ac:dyDescent="0.2">
      <c r="B703" s="256"/>
      <c r="C703" s="513"/>
      <c r="D703" s="516">
        <f t="shared" si="30"/>
        <v>0</v>
      </c>
      <c r="I703" s="256"/>
      <c r="J703" s="513"/>
      <c r="K703" s="516">
        <f t="shared" si="31"/>
        <v>0</v>
      </c>
      <c r="P703" s="256"/>
      <c r="Q703" s="513"/>
      <c r="R703" s="516">
        <f t="shared" si="32"/>
        <v>0</v>
      </c>
    </row>
    <row r="704" spans="2:18" ht="15" customHeight="1" x14ac:dyDescent="0.2">
      <c r="B704" s="256"/>
      <c r="C704" s="513"/>
      <c r="D704" s="516">
        <f t="shared" si="30"/>
        <v>0</v>
      </c>
      <c r="I704" s="256"/>
      <c r="J704" s="513"/>
      <c r="K704" s="516">
        <f t="shared" si="31"/>
        <v>0</v>
      </c>
      <c r="P704" s="256"/>
      <c r="Q704" s="513"/>
      <c r="R704" s="516">
        <f t="shared" si="32"/>
        <v>0</v>
      </c>
    </row>
    <row r="705" spans="2:18" ht="15" customHeight="1" x14ac:dyDescent="0.2">
      <c r="B705" s="256"/>
      <c r="C705" s="513"/>
      <c r="D705" s="516">
        <f t="shared" si="30"/>
        <v>0</v>
      </c>
      <c r="I705" s="256"/>
      <c r="J705" s="513"/>
      <c r="K705" s="516">
        <f t="shared" si="31"/>
        <v>0</v>
      </c>
      <c r="P705" s="256"/>
      <c r="Q705" s="513"/>
      <c r="R705" s="516">
        <f t="shared" si="32"/>
        <v>0</v>
      </c>
    </row>
    <row r="706" spans="2:18" ht="15" customHeight="1" x14ac:dyDescent="0.2">
      <c r="B706" s="256"/>
      <c r="C706" s="513"/>
      <c r="D706" s="516">
        <f t="shared" si="30"/>
        <v>0</v>
      </c>
      <c r="I706" s="256"/>
      <c r="J706" s="513"/>
      <c r="K706" s="516">
        <f t="shared" si="31"/>
        <v>0</v>
      </c>
      <c r="P706" s="256"/>
      <c r="Q706" s="513"/>
      <c r="R706" s="516">
        <f t="shared" si="32"/>
        <v>0</v>
      </c>
    </row>
    <row r="707" spans="2:18" ht="15" customHeight="1" x14ac:dyDescent="0.2">
      <c r="B707" s="256"/>
      <c r="C707" s="513"/>
      <c r="D707" s="516">
        <f t="shared" si="30"/>
        <v>0</v>
      </c>
      <c r="I707" s="256"/>
      <c r="J707" s="513"/>
      <c r="K707" s="516">
        <f t="shared" si="31"/>
        <v>0</v>
      </c>
      <c r="P707" s="256"/>
      <c r="Q707" s="513"/>
      <c r="R707" s="516">
        <f t="shared" si="32"/>
        <v>0</v>
      </c>
    </row>
    <row r="708" spans="2:18" ht="15" customHeight="1" x14ac:dyDescent="0.2">
      <c r="B708" s="256"/>
      <c r="C708" s="513"/>
      <c r="D708" s="516">
        <f t="shared" si="30"/>
        <v>0</v>
      </c>
      <c r="I708" s="256"/>
      <c r="J708" s="513"/>
      <c r="K708" s="516">
        <f t="shared" si="31"/>
        <v>0</v>
      </c>
      <c r="P708" s="256"/>
      <c r="Q708" s="513"/>
      <c r="R708" s="516">
        <f t="shared" si="32"/>
        <v>0</v>
      </c>
    </row>
    <row r="709" spans="2:18" ht="15" customHeight="1" x14ac:dyDescent="0.2">
      <c r="B709" s="256"/>
      <c r="C709" s="513"/>
      <c r="D709" s="516">
        <f t="shared" si="30"/>
        <v>0</v>
      </c>
      <c r="I709" s="256"/>
      <c r="J709" s="513"/>
      <c r="K709" s="516">
        <f t="shared" si="31"/>
        <v>0</v>
      </c>
      <c r="P709" s="256"/>
      <c r="Q709" s="513"/>
      <c r="R709" s="516">
        <f t="shared" si="32"/>
        <v>0</v>
      </c>
    </row>
    <row r="710" spans="2:18" ht="15" customHeight="1" x14ac:dyDescent="0.2">
      <c r="B710" s="256"/>
      <c r="C710" s="513"/>
      <c r="D710" s="516">
        <f t="shared" si="30"/>
        <v>0</v>
      </c>
      <c r="I710" s="256"/>
      <c r="J710" s="513"/>
      <c r="K710" s="516">
        <f t="shared" si="31"/>
        <v>0</v>
      </c>
      <c r="P710" s="256"/>
      <c r="Q710" s="513"/>
      <c r="R710" s="516">
        <f t="shared" si="32"/>
        <v>0</v>
      </c>
    </row>
    <row r="711" spans="2:18" ht="15" customHeight="1" x14ac:dyDescent="0.2">
      <c r="B711" s="256"/>
      <c r="C711" s="513"/>
      <c r="D711" s="516">
        <f t="shared" si="30"/>
        <v>0</v>
      </c>
      <c r="I711" s="256"/>
      <c r="J711" s="513"/>
      <c r="K711" s="516">
        <f t="shared" si="31"/>
        <v>0</v>
      </c>
      <c r="P711" s="256"/>
      <c r="Q711" s="513"/>
      <c r="R711" s="516">
        <f t="shared" si="32"/>
        <v>0</v>
      </c>
    </row>
    <row r="712" spans="2:18" ht="15" customHeight="1" x14ac:dyDescent="0.2">
      <c r="B712" s="256"/>
      <c r="C712" s="513"/>
      <c r="D712" s="516">
        <f t="shared" si="30"/>
        <v>0</v>
      </c>
      <c r="I712" s="256"/>
      <c r="J712" s="513"/>
      <c r="K712" s="516">
        <f t="shared" si="31"/>
        <v>0</v>
      </c>
      <c r="P712" s="256"/>
      <c r="Q712" s="513"/>
      <c r="R712" s="516">
        <f t="shared" si="32"/>
        <v>0</v>
      </c>
    </row>
    <row r="713" spans="2:18" ht="15" customHeight="1" x14ac:dyDescent="0.2">
      <c r="B713" s="256"/>
      <c r="C713" s="513"/>
      <c r="D713" s="516">
        <f t="shared" si="30"/>
        <v>0</v>
      </c>
      <c r="I713" s="256"/>
      <c r="J713" s="513"/>
      <c r="K713" s="516">
        <f t="shared" si="31"/>
        <v>0</v>
      </c>
      <c r="P713" s="256"/>
      <c r="Q713" s="513"/>
      <c r="R713" s="516">
        <f t="shared" si="32"/>
        <v>0</v>
      </c>
    </row>
    <row r="714" spans="2:18" ht="15" customHeight="1" x14ac:dyDescent="0.2">
      <c r="B714" s="256"/>
      <c r="C714" s="513"/>
      <c r="D714" s="516">
        <f t="shared" si="30"/>
        <v>0</v>
      </c>
      <c r="I714" s="256"/>
      <c r="J714" s="513"/>
      <c r="K714" s="516">
        <f t="shared" si="31"/>
        <v>0</v>
      </c>
      <c r="P714" s="256"/>
      <c r="Q714" s="513"/>
      <c r="R714" s="516">
        <f t="shared" si="32"/>
        <v>0</v>
      </c>
    </row>
    <row r="715" spans="2:18" ht="15" customHeight="1" x14ac:dyDescent="0.2">
      <c r="B715" s="256"/>
      <c r="C715" s="513"/>
      <c r="D715" s="516">
        <f t="shared" si="30"/>
        <v>0</v>
      </c>
      <c r="I715" s="256"/>
      <c r="J715" s="513"/>
      <c r="K715" s="516">
        <f t="shared" si="31"/>
        <v>0</v>
      </c>
      <c r="P715" s="256"/>
      <c r="Q715" s="513"/>
      <c r="R715" s="516">
        <f t="shared" si="32"/>
        <v>0</v>
      </c>
    </row>
    <row r="716" spans="2:18" ht="15" customHeight="1" x14ac:dyDescent="0.2">
      <c r="B716" s="256"/>
      <c r="C716" s="513"/>
      <c r="D716" s="516">
        <f t="shared" si="30"/>
        <v>0</v>
      </c>
      <c r="I716" s="256"/>
      <c r="J716" s="513"/>
      <c r="K716" s="516">
        <f t="shared" si="31"/>
        <v>0</v>
      </c>
      <c r="P716" s="256"/>
      <c r="Q716" s="513"/>
      <c r="R716" s="516">
        <f t="shared" si="32"/>
        <v>0</v>
      </c>
    </row>
    <row r="717" spans="2:18" ht="15" customHeight="1" x14ac:dyDescent="0.2">
      <c r="B717" s="256"/>
      <c r="C717" s="513"/>
      <c r="D717" s="516">
        <f t="shared" si="30"/>
        <v>0</v>
      </c>
      <c r="I717" s="256"/>
      <c r="J717" s="513"/>
      <c r="K717" s="516">
        <f t="shared" si="31"/>
        <v>0</v>
      </c>
      <c r="P717" s="256"/>
      <c r="Q717" s="513"/>
      <c r="R717" s="516">
        <f t="shared" si="32"/>
        <v>0</v>
      </c>
    </row>
    <row r="718" spans="2:18" ht="15" customHeight="1" x14ac:dyDescent="0.2">
      <c r="B718" s="256"/>
      <c r="C718" s="513"/>
      <c r="D718" s="516">
        <f t="shared" si="30"/>
        <v>0</v>
      </c>
      <c r="I718" s="256"/>
      <c r="J718" s="513"/>
      <c r="K718" s="516">
        <f t="shared" si="31"/>
        <v>0</v>
      </c>
      <c r="P718" s="256"/>
      <c r="Q718" s="513"/>
      <c r="R718" s="516">
        <f t="shared" si="32"/>
        <v>0</v>
      </c>
    </row>
    <row r="719" spans="2:18" ht="15" customHeight="1" x14ac:dyDescent="0.2">
      <c r="B719" s="256"/>
      <c r="C719" s="513"/>
      <c r="D719" s="516">
        <f t="shared" si="30"/>
        <v>0</v>
      </c>
      <c r="I719" s="256"/>
      <c r="J719" s="513"/>
      <c r="K719" s="516">
        <f t="shared" si="31"/>
        <v>0</v>
      </c>
      <c r="P719" s="256"/>
      <c r="Q719" s="513"/>
      <c r="R719" s="516">
        <f t="shared" si="32"/>
        <v>0</v>
      </c>
    </row>
    <row r="720" spans="2:18" ht="15" customHeight="1" x14ac:dyDescent="0.2">
      <c r="B720" s="256"/>
      <c r="C720" s="513"/>
      <c r="D720" s="516">
        <f t="shared" si="30"/>
        <v>0</v>
      </c>
      <c r="I720" s="256"/>
      <c r="J720" s="513"/>
      <c r="K720" s="516">
        <f t="shared" si="31"/>
        <v>0</v>
      </c>
      <c r="P720" s="256"/>
      <c r="Q720" s="513"/>
      <c r="R720" s="516">
        <f t="shared" si="32"/>
        <v>0</v>
      </c>
    </row>
    <row r="721" spans="2:18" ht="15" customHeight="1" x14ac:dyDescent="0.2">
      <c r="B721" s="256"/>
      <c r="C721" s="513"/>
      <c r="D721" s="516">
        <f t="shared" si="30"/>
        <v>0</v>
      </c>
      <c r="I721" s="256"/>
      <c r="J721" s="513"/>
      <c r="K721" s="516">
        <f t="shared" si="31"/>
        <v>0</v>
      </c>
      <c r="P721" s="256"/>
      <c r="Q721" s="513"/>
      <c r="R721" s="516">
        <f t="shared" si="32"/>
        <v>0</v>
      </c>
    </row>
    <row r="722" spans="2:18" ht="15" customHeight="1" x14ac:dyDescent="0.2">
      <c r="B722" s="256"/>
      <c r="C722" s="513"/>
      <c r="D722" s="516">
        <f t="shared" ref="D722:D785" si="33">C722/1000</f>
        <v>0</v>
      </c>
      <c r="I722" s="256"/>
      <c r="J722" s="513"/>
      <c r="K722" s="516">
        <f t="shared" ref="K722:K785" si="34">J722/1000</f>
        <v>0</v>
      </c>
      <c r="P722" s="256"/>
      <c r="Q722" s="513"/>
      <c r="R722" s="516">
        <f t="shared" ref="R722:R785" si="35">Q722/1000</f>
        <v>0</v>
      </c>
    </row>
    <row r="723" spans="2:18" ht="15" customHeight="1" x14ac:dyDescent="0.2">
      <c r="B723" s="256"/>
      <c r="C723" s="513"/>
      <c r="D723" s="516">
        <f t="shared" si="33"/>
        <v>0</v>
      </c>
      <c r="I723" s="256"/>
      <c r="J723" s="513"/>
      <c r="K723" s="516">
        <f t="shared" si="34"/>
        <v>0</v>
      </c>
      <c r="P723" s="256"/>
      <c r="Q723" s="513"/>
      <c r="R723" s="516">
        <f t="shared" si="35"/>
        <v>0</v>
      </c>
    </row>
    <row r="724" spans="2:18" ht="15" customHeight="1" x14ac:dyDescent="0.2">
      <c r="B724" s="256"/>
      <c r="C724" s="513"/>
      <c r="D724" s="516">
        <f t="shared" si="33"/>
        <v>0</v>
      </c>
      <c r="I724" s="256"/>
      <c r="J724" s="513"/>
      <c r="K724" s="516">
        <f t="shared" si="34"/>
        <v>0</v>
      </c>
      <c r="P724" s="256"/>
      <c r="Q724" s="513"/>
      <c r="R724" s="516">
        <f t="shared" si="35"/>
        <v>0</v>
      </c>
    </row>
    <row r="725" spans="2:18" ht="15" customHeight="1" x14ac:dyDescent="0.2">
      <c r="B725" s="256"/>
      <c r="C725" s="513"/>
      <c r="D725" s="516">
        <f t="shared" si="33"/>
        <v>0</v>
      </c>
      <c r="I725" s="256"/>
      <c r="J725" s="513"/>
      <c r="K725" s="516">
        <f t="shared" si="34"/>
        <v>0</v>
      </c>
      <c r="P725" s="256"/>
      <c r="Q725" s="513"/>
      <c r="R725" s="516">
        <f t="shared" si="35"/>
        <v>0</v>
      </c>
    </row>
    <row r="726" spans="2:18" ht="15" customHeight="1" x14ac:dyDescent="0.2">
      <c r="B726" s="256"/>
      <c r="C726" s="513"/>
      <c r="D726" s="516">
        <f t="shared" si="33"/>
        <v>0</v>
      </c>
      <c r="I726" s="256"/>
      <c r="J726" s="513"/>
      <c r="K726" s="516">
        <f t="shared" si="34"/>
        <v>0</v>
      </c>
      <c r="P726" s="256"/>
      <c r="Q726" s="513"/>
      <c r="R726" s="516">
        <f t="shared" si="35"/>
        <v>0</v>
      </c>
    </row>
    <row r="727" spans="2:18" ht="15" customHeight="1" x14ac:dyDescent="0.2">
      <c r="B727" s="256"/>
      <c r="C727" s="513"/>
      <c r="D727" s="516">
        <f t="shared" si="33"/>
        <v>0</v>
      </c>
      <c r="I727" s="256"/>
      <c r="J727" s="513"/>
      <c r="K727" s="516">
        <f t="shared" si="34"/>
        <v>0</v>
      </c>
      <c r="P727" s="256"/>
      <c r="Q727" s="513"/>
      <c r="R727" s="516">
        <f t="shared" si="35"/>
        <v>0</v>
      </c>
    </row>
    <row r="728" spans="2:18" ht="15" customHeight="1" x14ac:dyDescent="0.2">
      <c r="B728" s="256"/>
      <c r="C728" s="513"/>
      <c r="D728" s="516">
        <f t="shared" si="33"/>
        <v>0</v>
      </c>
      <c r="I728" s="256"/>
      <c r="J728" s="513"/>
      <c r="K728" s="516">
        <f t="shared" si="34"/>
        <v>0</v>
      </c>
      <c r="P728" s="256"/>
      <c r="Q728" s="513"/>
      <c r="R728" s="516">
        <f t="shared" si="35"/>
        <v>0</v>
      </c>
    </row>
    <row r="729" spans="2:18" ht="15" customHeight="1" x14ac:dyDescent="0.2">
      <c r="B729" s="256"/>
      <c r="C729" s="513"/>
      <c r="D729" s="516">
        <f t="shared" si="33"/>
        <v>0</v>
      </c>
      <c r="I729" s="256"/>
      <c r="J729" s="513"/>
      <c r="K729" s="516">
        <f t="shared" si="34"/>
        <v>0</v>
      </c>
      <c r="P729" s="256"/>
      <c r="Q729" s="513"/>
      <c r="R729" s="516">
        <f t="shared" si="35"/>
        <v>0</v>
      </c>
    </row>
    <row r="730" spans="2:18" ht="15" customHeight="1" x14ac:dyDescent="0.2">
      <c r="B730" s="256"/>
      <c r="C730" s="513"/>
      <c r="D730" s="516">
        <f t="shared" si="33"/>
        <v>0</v>
      </c>
      <c r="I730" s="256"/>
      <c r="J730" s="513"/>
      <c r="K730" s="516">
        <f t="shared" si="34"/>
        <v>0</v>
      </c>
      <c r="P730" s="256"/>
      <c r="Q730" s="513"/>
      <c r="R730" s="516">
        <f t="shared" si="35"/>
        <v>0</v>
      </c>
    </row>
    <row r="731" spans="2:18" ht="15" customHeight="1" x14ac:dyDescent="0.2">
      <c r="B731" s="256"/>
      <c r="C731" s="513"/>
      <c r="D731" s="516">
        <f t="shared" si="33"/>
        <v>0</v>
      </c>
      <c r="I731" s="256"/>
      <c r="J731" s="513"/>
      <c r="K731" s="516">
        <f t="shared" si="34"/>
        <v>0</v>
      </c>
      <c r="P731" s="256"/>
      <c r="Q731" s="513"/>
      <c r="R731" s="516">
        <f t="shared" si="35"/>
        <v>0</v>
      </c>
    </row>
    <row r="732" spans="2:18" ht="15" customHeight="1" x14ac:dyDescent="0.2">
      <c r="B732" s="256"/>
      <c r="C732" s="513"/>
      <c r="D732" s="516">
        <f t="shared" si="33"/>
        <v>0</v>
      </c>
      <c r="I732" s="256"/>
      <c r="J732" s="513"/>
      <c r="K732" s="516">
        <f t="shared" si="34"/>
        <v>0</v>
      </c>
      <c r="P732" s="256"/>
      <c r="Q732" s="513"/>
      <c r="R732" s="516">
        <f t="shared" si="35"/>
        <v>0</v>
      </c>
    </row>
    <row r="733" spans="2:18" ht="15" customHeight="1" x14ac:dyDescent="0.2">
      <c r="B733" s="256"/>
      <c r="C733" s="513"/>
      <c r="D733" s="516">
        <f t="shared" si="33"/>
        <v>0</v>
      </c>
      <c r="I733" s="256"/>
      <c r="J733" s="513"/>
      <c r="K733" s="516">
        <f t="shared" si="34"/>
        <v>0</v>
      </c>
      <c r="P733" s="256"/>
      <c r="Q733" s="513"/>
      <c r="R733" s="516">
        <f t="shared" si="35"/>
        <v>0</v>
      </c>
    </row>
    <row r="734" spans="2:18" ht="15" customHeight="1" x14ac:dyDescent="0.2">
      <c r="B734" s="256"/>
      <c r="C734" s="513"/>
      <c r="D734" s="516">
        <f t="shared" si="33"/>
        <v>0</v>
      </c>
      <c r="I734" s="256"/>
      <c r="J734" s="513"/>
      <c r="K734" s="516">
        <f t="shared" si="34"/>
        <v>0</v>
      </c>
      <c r="P734" s="256"/>
      <c r="Q734" s="513"/>
      <c r="R734" s="516">
        <f t="shared" si="35"/>
        <v>0</v>
      </c>
    </row>
    <row r="735" spans="2:18" ht="15" customHeight="1" x14ac:dyDescent="0.2">
      <c r="B735" s="256"/>
      <c r="C735" s="513"/>
      <c r="D735" s="516">
        <f t="shared" si="33"/>
        <v>0</v>
      </c>
      <c r="I735" s="256"/>
      <c r="J735" s="513"/>
      <c r="K735" s="516">
        <f t="shared" si="34"/>
        <v>0</v>
      </c>
      <c r="P735" s="256"/>
      <c r="Q735" s="513"/>
      <c r="R735" s="516">
        <f t="shared" si="35"/>
        <v>0</v>
      </c>
    </row>
    <row r="736" spans="2:18" ht="15" customHeight="1" x14ac:dyDescent="0.2">
      <c r="B736" s="256"/>
      <c r="C736" s="513"/>
      <c r="D736" s="516">
        <f t="shared" si="33"/>
        <v>0</v>
      </c>
      <c r="I736" s="256"/>
      <c r="J736" s="513"/>
      <c r="K736" s="516">
        <f t="shared" si="34"/>
        <v>0</v>
      </c>
      <c r="P736" s="256"/>
      <c r="Q736" s="513"/>
      <c r="R736" s="516">
        <f t="shared" si="35"/>
        <v>0</v>
      </c>
    </row>
    <row r="737" spans="2:18" ht="15" customHeight="1" x14ac:dyDescent="0.2">
      <c r="B737" s="256"/>
      <c r="C737" s="513"/>
      <c r="D737" s="516">
        <f t="shared" si="33"/>
        <v>0</v>
      </c>
      <c r="I737" s="256"/>
      <c r="J737" s="513"/>
      <c r="K737" s="516">
        <f t="shared" si="34"/>
        <v>0</v>
      </c>
      <c r="P737" s="256"/>
      <c r="Q737" s="513"/>
      <c r="R737" s="516">
        <f t="shared" si="35"/>
        <v>0</v>
      </c>
    </row>
    <row r="738" spans="2:18" ht="15" customHeight="1" x14ac:dyDescent="0.2">
      <c r="B738" s="256"/>
      <c r="C738" s="513"/>
      <c r="D738" s="516">
        <f t="shared" si="33"/>
        <v>0</v>
      </c>
      <c r="I738" s="256"/>
      <c r="J738" s="513"/>
      <c r="K738" s="516">
        <f t="shared" si="34"/>
        <v>0</v>
      </c>
      <c r="P738" s="256"/>
      <c r="Q738" s="513"/>
      <c r="R738" s="516">
        <f t="shared" si="35"/>
        <v>0</v>
      </c>
    </row>
    <row r="739" spans="2:18" ht="15" customHeight="1" x14ac:dyDescent="0.2">
      <c r="B739" s="256"/>
      <c r="C739" s="513"/>
      <c r="D739" s="516">
        <f t="shared" si="33"/>
        <v>0</v>
      </c>
      <c r="I739" s="256"/>
      <c r="J739" s="513"/>
      <c r="K739" s="516">
        <f t="shared" si="34"/>
        <v>0</v>
      </c>
      <c r="P739" s="256"/>
      <c r="Q739" s="513"/>
      <c r="R739" s="516">
        <f t="shared" si="35"/>
        <v>0</v>
      </c>
    </row>
    <row r="740" spans="2:18" ht="15" customHeight="1" x14ac:dyDescent="0.2">
      <c r="B740" s="256"/>
      <c r="C740" s="513"/>
      <c r="D740" s="516">
        <f t="shared" si="33"/>
        <v>0</v>
      </c>
      <c r="I740" s="256"/>
      <c r="J740" s="513"/>
      <c r="K740" s="516">
        <f t="shared" si="34"/>
        <v>0</v>
      </c>
      <c r="P740" s="256"/>
      <c r="Q740" s="513"/>
      <c r="R740" s="516">
        <f t="shared" si="35"/>
        <v>0</v>
      </c>
    </row>
    <row r="741" spans="2:18" ht="15" customHeight="1" x14ac:dyDescent="0.2">
      <c r="B741" s="256"/>
      <c r="C741" s="513"/>
      <c r="D741" s="516">
        <f t="shared" si="33"/>
        <v>0</v>
      </c>
      <c r="I741" s="256"/>
      <c r="J741" s="513"/>
      <c r="K741" s="516">
        <f t="shared" si="34"/>
        <v>0</v>
      </c>
      <c r="P741" s="256"/>
      <c r="Q741" s="513"/>
      <c r="R741" s="516">
        <f t="shared" si="35"/>
        <v>0</v>
      </c>
    </row>
    <row r="742" spans="2:18" ht="15" customHeight="1" x14ac:dyDescent="0.2">
      <c r="B742" s="256"/>
      <c r="C742" s="513"/>
      <c r="D742" s="516">
        <f t="shared" si="33"/>
        <v>0</v>
      </c>
      <c r="I742" s="256"/>
      <c r="J742" s="513"/>
      <c r="K742" s="516">
        <f t="shared" si="34"/>
        <v>0</v>
      </c>
      <c r="P742" s="256"/>
      <c r="Q742" s="513"/>
      <c r="R742" s="516">
        <f t="shared" si="35"/>
        <v>0</v>
      </c>
    </row>
    <row r="743" spans="2:18" ht="15" customHeight="1" x14ac:dyDescent="0.2">
      <c r="B743" s="256"/>
      <c r="C743" s="513"/>
      <c r="D743" s="516">
        <f t="shared" si="33"/>
        <v>0</v>
      </c>
      <c r="I743" s="256"/>
      <c r="J743" s="513"/>
      <c r="K743" s="516">
        <f t="shared" si="34"/>
        <v>0</v>
      </c>
      <c r="P743" s="256"/>
      <c r="Q743" s="513"/>
      <c r="R743" s="516">
        <f t="shared" si="35"/>
        <v>0</v>
      </c>
    </row>
    <row r="744" spans="2:18" ht="15" customHeight="1" x14ac:dyDescent="0.2">
      <c r="B744" s="256"/>
      <c r="C744" s="513"/>
      <c r="D744" s="516">
        <f t="shared" si="33"/>
        <v>0</v>
      </c>
      <c r="I744" s="256"/>
      <c r="J744" s="513"/>
      <c r="K744" s="516">
        <f t="shared" si="34"/>
        <v>0</v>
      </c>
      <c r="P744" s="256"/>
      <c r="Q744" s="513"/>
      <c r="R744" s="516">
        <f t="shared" si="35"/>
        <v>0</v>
      </c>
    </row>
    <row r="745" spans="2:18" ht="15" customHeight="1" x14ac:dyDescent="0.2">
      <c r="B745" s="256"/>
      <c r="C745" s="513"/>
      <c r="D745" s="516">
        <f t="shared" si="33"/>
        <v>0</v>
      </c>
      <c r="I745" s="256"/>
      <c r="J745" s="513"/>
      <c r="K745" s="516">
        <f t="shared" si="34"/>
        <v>0</v>
      </c>
      <c r="P745" s="256"/>
      <c r="Q745" s="513"/>
      <c r="R745" s="516">
        <f t="shared" si="35"/>
        <v>0</v>
      </c>
    </row>
    <row r="746" spans="2:18" ht="15" customHeight="1" x14ac:dyDescent="0.2">
      <c r="B746" s="256"/>
      <c r="C746" s="513"/>
      <c r="D746" s="516">
        <f t="shared" si="33"/>
        <v>0</v>
      </c>
      <c r="I746" s="256"/>
      <c r="J746" s="513"/>
      <c r="K746" s="516">
        <f t="shared" si="34"/>
        <v>0</v>
      </c>
      <c r="P746" s="256"/>
      <c r="Q746" s="513"/>
      <c r="R746" s="516">
        <f t="shared" si="35"/>
        <v>0</v>
      </c>
    </row>
    <row r="747" spans="2:18" ht="15" customHeight="1" x14ac:dyDescent="0.2">
      <c r="B747" s="256"/>
      <c r="C747" s="513"/>
      <c r="D747" s="516">
        <f t="shared" si="33"/>
        <v>0</v>
      </c>
      <c r="I747" s="256"/>
      <c r="J747" s="513"/>
      <c r="K747" s="516">
        <f t="shared" si="34"/>
        <v>0</v>
      </c>
      <c r="P747" s="256"/>
      <c r="Q747" s="513"/>
      <c r="R747" s="516">
        <f t="shared" si="35"/>
        <v>0</v>
      </c>
    </row>
    <row r="748" spans="2:18" ht="15" customHeight="1" x14ac:dyDescent="0.2">
      <c r="B748" s="256"/>
      <c r="C748" s="513"/>
      <c r="D748" s="516">
        <f t="shared" si="33"/>
        <v>0</v>
      </c>
      <c r="I748" s="256"/>
      <c r="J748" s="513"/>
      <c r="K748" s="516">
        <f t="shared" si="34"/>
        <v>0</v>
      </c>
      <c r="P748" s="256"/>
      <c r="Q748" s="513"/>
      <c r="R748" s="516">
        <f t="shared" si="35"/>
        <v>0</v>
      </c>
    </row>
    <row r="749" spans="2:18" ht="15" customHeight="1" x14ac:dyDescent="0.2">
      <c r="B749" s="256"/>
      <c r="C749" s="513"/>
      <c r="D749" s="516">
        <f t="shared" si="33"/>
        <v>0</v>
      </c>
      <c r="I749" s="256"/>
      <c r="J749" s="513"/>
      <c r="K749" s="516">
        <f t="shared" si="34"/>
        <v>0</v>
      </c>
      <c r="P749" s="256"/>
      <c r="Q749" s="513"/>
      <c r="R749" s="516">
        <f t="shared" si="35"/>
        <v>0</v>
      </c>
    </row>
    <row r="750" spans="2:18" ht="15" customHeight="1" x14ac:dyDescent="0.2">
      <c r="B750" s="256"/>
      <c r="C750" s="513"/>
      <c r="D750" s="516">
        <f t="shared" si="33"/>
        <v>0</v>
      </c>
      <c r="I750" s="256"/>
      <c r="J750" s="513"/>
      <c r="K750" s="516">
        <f t="shared" si="34"/>
        <v>0</v>
      </c>
      <c r="P750" s="256"/>
      <c r="Q750" s="513"/>
      <c r="R750" s="516">
        <f t="shared" si="35"/>
        <v>0</v>
      </c>
    </row>
    <row r="751" spans="2:18" ht="15" customHeight="1" x14ac:dyDescent="0.2">
      <c r="B751" s="256"/>
      <c r="C751" s="513"/>
      <c r="D751" s="516">
        <f t="shared" si="33"/>
        <v>0</v>
      </c>
      <c r="I751" s="256"/>
      <c r="J751" s="513"/>
      <c r="K751" s="516">
        <f t="shared" si="34"/>
        <v>0</v>
      </c>
      <c r="P751" s="256"/>
      <c r="Q751" s="513"/>
      <c r="R751" s="516">
        <f t="shared" si="35"/>
        <v>0</v>
      </c>
    </row>
    <row r="752" spans="2:18" ht="15" customHeight="1" x14ac:dyDescent="0.2">
      <c r="B752" s="256"/>
      <c r="C752" s="513"/>
      <c r="D752" s="516">
        <f t="shared" si="33"/>
        <v>0</v>
      </c>
      <c r="I752" s="256"/>
      <c r="J752" s="513"/>
      <c r="K752" s="516">
        <f t="shared" si="34"/>
        <v>0</v>
      </c>
      <c r="P752" s="256"/>
      <c r="Q752" s="513"/>
      <c r="R752" s="516">
        <f t="shared" si="35"/>
        <v>0</v>
      </c>
    </row>
    <row r="753" spans="2:18" ht="15" customHeight="1" x14ac:dyDescent="0.2">
      <c r="B753" s="256"/>
      <c r="C753" s="513"/>
      <c r="D753" s="516">
        <f t="shared" si="33"/>
        <v>0</v>
      </c>
      <c r="I753" s="256"/>
      <c r="J753" s="513"/>
      <c r="K753" s="516">
        <f t="shared" si="34"/>
        <v>0</v>
      </c>
      <c r="P753" s="256"/>
      <c r="Q753" s="513"/>
      <c r="R753" s="516">
        <f t="shared" si="35"/>
        <v>0</v>
      </c>
    </row>
    <row r="754" spans="2:18" ht="15" customHeight="1" x14ac:dyDescent="0.2">
      <c r="B754" s="256"/>
      <c r="C754" s="513"/>
      <c r="D754" s="516">
        <f t="shared" si="33"/>
        <v>0</v>
      </c>
      <c r="I754" s="256"/>
      <c r="J754" s="513"/>
      <c r="K754" s="516">
        <f t="shared" si="34"/>
        <v>0</v>
      </c>
      <c r="P754" s="256"/>
      <c r="Q754" s="513"/>
      <c r="R754" s="516">
        <f t="shared" si="35"/>
        <v>0</v>
      </c>
    </row>
    <row r="755" spans="2:18" ht="15" customHeight="1" x14ac:dyDescent="0.2">
      <c r="B755" s="256"/>
      <c r="C755" s="513"/>
      <c r="D755" s="516">
        <f t="shared" si="33"/>
        <v>0</v>
      </c>
      <c r="I755" s="256"/>
      <c r="J755" s="513"/>
      <c r="K755" s="516">
        <f t="shared" si="34"/>
        <v>0</v>
      </c>
      <c r="P755" s="256"/>
      <c r="Q755" s="513"/>
      <c r="R755" s="516">
        <f t="shared" si="35"/>
        <v>0</v>
      </c>
    </row>
    <row r="756" spans="2:18" ht="15" customHeight="1" x14ac:dyDescent="0.2">
      <c r="B756" s="256"/>
      <c r="C756" s="513"/>
      <c r="D756" s="516">
        <f t="shared" si="33"/>
        <v>0</v>
      </c>
      <c r="I756" s="256"/>
      <c r="J756" s="513"/>
      <c r="K756" s="516">
        <f t="shared" si="34"/>
        <v>0</v>
      </c>
      <c r="P756" s="256"/>
      <c r="Q756" s="513"/>
      <c r="R756" s="516">
        <f t="shared" si="35"/>
        <v>0</v>
      </c>
    </row>
    <row r="757" spans="2:18" ht="15" customHeight="1" x14ac:dyDescent="0.2">
      <c r="B757" s="256"/>
      <c r="C757" s="513"/>
      <c r="D757" s="516">
        <f t="shared" si="33"/>
        <v>0</v>
      </c>
      <c r="I757" s="256"/>
      <c r="J757" s="513"/>
      <c r="K757" s="516">
        <f t="shared" si="34"/>
        <v>0</v>
      </c>
      <c r="P757" s="256"/>
      <c r="Q757" s="513"/>
      <c r="R757" s="516">
        <f t="shared" si="35"/>
        <v>0</v>
      </c>
    </row>
    <row r="758" spans="2:18" ht="15" customHeight="1" x14ac:dyDescent="0.2">
      <c r="B758" s="256"/>
      <c r="C758" s="513"/>
      <c r="D758" s="516">
        <f t="shared" si="33"/>
        <v>0</v>
      </c>
      <c r="I758" s="256"/>
      <c r="J758" s="513"/>
      <c r="K758" s="516">
        <f t="shared" si="34"/>
        <v>0</v>
      </c>
      <c r="P758" s="256"/>
      <c r="Q758" s="513"/>
      <c r="R758" s="516">
        <f t="shared" si="35"/>
        <v>0</v>
      </c>
    </row>
    <row r="759" spans="2:18" ht="15" customHeight="1" x14ac:dyDescent="0.2">
      <c r="B759" s="256"/>
      <c r="C759" s="513"/>
      <c r="D759" s="516">
        <f t="shared" si="33"/>
        <v>0</v>
      </c>
      <c r="I759" s="256"/>
      <c r="J759" s="513"/>
      <c r="K759" s="516">
        <f t="shared" si="34"/>
        <v>0</v>
      </c>
      <c r="P759" s="256"/>
      <c r="Q759" s="513"/>
      <c r="R759" s="516">
        <f t="shared" si="35"/>
        <v>0</v>
      </c>
    </row>
    <row r="760" spans="2:18" ht="15" customHeight="1" x14ac:dyDescent="0.2">
      <c r="B760" s="256"/>
      <c r="C760" s="513"/>
      <c r="D760" s="516">
        <f t="shared" si="33"/>
        <v>0</v>
      </c>
      <c r="I760" s="256"/>
      <c r="J760" s="513"/>
      <c r="K760" s="516">
        <f t="shared" si="34"/>
        <v>0</v>
      </c>
      <c r="P760" s="256"/>
      <c r="Q760" s="513"/>
      <c r="R760" s="516">
        <f t="shared" si="35"/>
        <v>0</v>
      </c>
    </row>
    <row r="761" spans="2:18" ht="15" customHeight="1" x14ac:dyDescent="0.2">
      <c r="B761" s="256"/>
      <c r="C761" s="513"/>
      <c r="D761" s="516">
        <f t="shared" si="33"/>
        <v>0</v>
      </c>
      <c r="I761" s="256"/>
      <c r="J761" s="513"/>
      <c r="K761" s="516">
        <f t="shared" si="34"/>
        <v>0</v>
      </c>
      <c r="P761" s="256"/>
      <c r="Q761" s="513"/>
      <c r="R761" s="516">
        <f t="shared" si="35"/>
        <v>0</v>
      </c>
    </row>
    <row r="762" spans="2:18" ht="15" customHeight="1" x14ac:dyDescent="0.2">
      <c r="B762" s="256"/>
      <c r="C762" s="513"/>
      <c r="D762" s="516">
        <f t="shared" si="33"/>
        <v>0</v>
      </c>
      <c r="I762" s="256"/>
      <c r="J762" s="513"/>
      <c r="K762" s="516">
        <f t="shared" si="34"/>
        <v>0</v>
      </c>
      <c r="P762" s="256"/>
      <c r="Q762" s="513"/>
      <c r="R762" s="516">
        <f t="shared" si="35"/>
        <v>0</v>
      </c>
    </row>
    <row r="763" spans="2:18" ht="15" customHeight="1" x14ac:dyDescent="0.2">
      <c r="B763" s="256"/>
      <c r="C763" s="513"/>
      <c r="D763" s="516">
        <f t="shared" si="33"/>
        <v>0</v>
      </c>
      <c r="I763" s="256"/>
      <c r="J763" s="513"/>
      <c r="K763" s="516">
        <f t="shared" si="34"/>
        <v>0</v>
      </c>
      <c r="P763" s="256"/>
      <c r="Q763" s="513"/>
      <c r="R763" s="516">
        <f t="shared" si="35"/>
        <v>0</v>
      </c>
    </row>
    <row r="764" spans="2:18" ht="15" customHeight="1" x14ac:dyDescent="0.2">
      <c r="B764" s="256"/>
      <c r="C764" s="513"/>
      <c r="D764" s="516">
        <f t="shared" si="33"/>
        <v>0</v>
      </c>
      <c r="I764" s="256"/>
      <c r="J764" s="513"/>
      <c r="K764" s="516">
        <f t="shared" si="34"/>
        <v>0</v>
      </c>
      <c r="P764" s="256"/>
      <c r="Q764" s="513"/>
      <c r="R764" s="516">
        <f t="shared" si="35"/>
        <v>0</v>
      </c>
    </row>
    <row r="765" spans="2:18" ht="15" customHeight="1" x14ac:dyDescent="0.2">
      <c r="B765" s="256"/>
      <c r="C765" s="513"/>
      <c r="D765" s="516">
        <f t="shared" si="33"/>
        <v>0</v>
      </c>
      <c r="I765" s="256"/>
      <c r="J765" s="513"/>
      <c r="K765" s="516">
        <f t="shared" si="34"/>
        <v>0</v>
      </c>
      <c r="P765" s="256"/>
      <c r="Q765" s="513"/>
      <c r="R765" s="516">
        <f t="shared" si="35"/>
        <v>0</v>
      </c>
    </row>
    <row r="766" spans="2:18" ht="15" customHeight="1" x14ac:dyDescent="0.2">
      <c r="B766" s="256"/>
      <c r="C766" s="513"/>
      <c r="D766" s="516">
        <f t="shared" si="33"/>
        <v>0</v>
      </c>
      <c r="I766" s="256"/>
      <c r="J766" s="513"/>
      <c r="K766" s="516">
        <f t="shared" si="34"/>
        <v>0</v>
      </c>
      <c r="P766" s="256"/>
      <c r="Q766" s="513"/>
      <c r="R766" s="516">
        <f t="shared" si="35"/>
        <v>0</v>
      </c>
    </row>
    <row r="767" spans="2:18" ht="15" customHeight="1" x14ac:dyDescent="0.2">
      <c r="B767" s="256"/>
      <c r="C767" s="513"/>
      <c r="D767" s="516">
        <f t="shared" si="33"/>
        <v>0</v>
      </c>
      <c r="I767" s="256"/>
      <c r="J767" s="513"/>
      <c r="K767" s="516">
        <f t="shared" si="34"/>
        <v>0</v>
      </c>
      <c r="P767" s="256"/>
      <c r="Q767" s="513"/>
      <c r="R767" s="516">
        <f t="shared" si="35"/>
        <v>0</v>
      </c>
    </row>
    <row r="768" spans="2:18" ht="15" customHeight="1" x14ac:dyDescent="0.2">
      <c r="B768" s="256"/>
      <c r="C768" s="513"/>
      <c r="D768" s="516">
        <f t="shared" si="33"/>
        <v>0</v>
      </c>
      <c r="I768" s="256"/>
      <c r="J768" s="513"/>
      <c r="K768" s="516">
        <f t="shared" si="34"/>
        <v>0</v>
      </c>
      <c r="P768" s="256"/>
      <c r="Q768" s="513"/>
      <c r="R768" s="516">
        <f t="shared" si="35"/>
        <v>0</v>
      </c>
    </row>
    <row r="769" spans="2:18" ht="15" customHeight="1" x14ac:dyDescent="0.2">
      <c r="B769" s="256"/>
      <c r="C769" s="513"/>
      <c r="D769" s="516">
        <f t="shared" si="33"/>
        <v>0</v>
      </c>
      <c r="I769" s="256"/>
      <c r="J769" s="513"/>
      <c r="K769" s="516">
        <f t="shared" si="34"/>
        <v>0</v>
      </c>
      <c r="P769" s="256"/>
      <c r="Q769" s="513"/>
      <c r="R769" s="516">
        <f t="shared" si="35"/>
        <v>0</v>
      </c>
    </row>
    <row r="770" spans="2:18" ht="15" customHeight="1" x14ac:dyDescent="0.2">
      <c r="B770" s="256"/>
      <c r="C770" s="513"/>
      <c r="D770" s="516">
        <f t="shared" si="33"/>
        <v>0</v>
      </c>
      <c r="I770" s="256"/>
      <c r="J770" s="513"/>
      <c r="K770" s="516">
        <f t="shared" si="34"/>
        <v>0</v>
      </c>
      <c r="P770" s="256"/>
      <c r="Q770" s="513"/>
      <c r="R770" s="516">
        <f t="shared" si="35"/>
        <v>0</v>
      </c>
    </row>
    <row r="771" spans="2:18" ht="15" customHeight="1" x14ac:dyDescent="0.2">
      <c r="B771" s="256"/>
      <c r="C771" s="513"/>
      <c r="D771" s="516">
        <f t="shared" si="33"/>
        <v>0</v>
      </c>
      <c r="I771" s="256"/>
      <c r="J771" s="513"/>
      <c r="K771" s="516">
        <f t="shared" si="34"/>
        <v>0</v>
      </c>
      <c r="P771" s="256"/>
      <c r="Q771" s="513"/>
      <c r="R771" s="516">
        <f t="shared" si="35"/>
        <v>0</v>
      </c>
    </row>
    <row r="772" spans="2:18" ht="15" customHeight="1" x14ac:dyDescent="0.2">
      <c r="B772" s="256"/>
      <c r="C772" s="513"/>
      <c r="D772" s="516">
        <f t="shared" si="33"/>
        <v>0</v>
      </c>
      <c r="I772" s="256"/>
      <c r="J772" s="513"/>
      <c r="K772" s="516">
        <f t="shared" si="34"/>
        <v>0</v>
      </c>
      <c r="P772" s="256"/>
      <c r="Q772" s="513"/>
      <c r="R772" s="516">
        <f t="shared" si="35"/>
        <v>0</v>
      </c>
    </row>
    <row r="773" spans="2:18" ht="15" customHeight="1" x14ac:dyDescent="0.2">
      <c r="B773" s="256"/>
      <c r="C773" s="513"/>
      <c r="D773" s="516">
        <f t="shared" si="33"/>
        <v>0</v>
      </c>
      <c r="I773" s="256"/>
      <c r="J773" s="513"/>
      <c r="K773" s="516">
        <f t="shared" si="34"/>
        <v>0</v>
      </c>
      <c r="P773" s="256"/>
      <c r="Q773" s="513"/>
      <c r="R773" s="516">
        <f t="shared" si="35"/>
        <v>0</v>
      </c>
    </row>
    <row r="774" spans="2:18" ht="15" customHeight="1" x14ac:dyDescent="0.2">
      <c r="B774" s="256"/>
      <c r="C774" s="513"/>
      <c r="D774" s="516">
        <f t="shared" si="33"/>
        <v>0</v>
      </c>
      <c r="I774" s="256"/>
      <c r="J774" s="513"/>
      <c r="K774" s="516">
        <f t="shared" si="34"/>
        <v>0</v>
      </c>
      <c r="P774" s="256"/>
      <c r="Q774" s="513"/>
      <c r="R774" s="516">
        <f t="shared" si="35"/>
        <v>0</v>
      </c>
    </row>
    <row r="775" spans="2:18" ht="15" customHeight="1" x14ac:dyDescent="0.2">
      <c r="B775" s="256"/>
      <c r="C775" s="513"/>
      <c r="D775" s="516">
        <f t="shared" si="33"/>
        <v>0</v>
      </c>
      <c r="I775" s="256"/>
      <c r="J775" s="513"/>
      <c r="K775" s="516">
        <f t="shared" si="34"/>
        <v>0</v>
      </c>
      <c r="P775" s="256"/>
      <c r="Q775" s="513"/>
      <c r="R775" s="516">
        <f t="shared" si="35"/>
        <v>0</v>
      </c>
    </row>
    <row r="776" spans="2:18" ht="15" customHeight="1" x14ac:dyDescent="0.2">
      <c r="B776" s="256"/>
      <c r="C776" s="513"/>
      <c r="D776" s="516">
        <f t="shared" si="33"/>
        <v>0</v>
      </c>
      <c r="I776" s="256"/>
      <c r="J776" s="513"/>
      <c r="K776" s="516">
        <f t="shared" si="34"/>
        <v>0</v>
      </c>
      <c r="P776" s="256"/>
      <c r="Q776" s="513"/>
      <c r="R776" s="516">
        <f t="shared" si="35"/>
        <v>0</v>
      </c>
    </row>
    <row r="777" spans="2:18" ht="15" customHeight="1" x14ac:dyDescent="0.2">
      <c r="B777" s="256"/>
      <c r="C777" s="513"/>
      <c r="D777" s="516">
        <f t="shared" si="33"/>
        <v>0</v>
      </c>
      <c r="I777" s="256"/>
      <c r="J777" s="513"/>
      <c r="K777" s="516">
        <f t="shared" si="34"/>
        <v>0</v>
      </c>
      <c r="P777" s="256"/>
      <c r="Q777" s="513"/>
      <c r="R777" s="516">
        <f t="shared" si="35"/>
        <v>0</v>
      </c>
    </row>
    <row r="778" spans="2:18" ht="15" customHeight="1" x14ac:dyDescent="0.2">
      <c r="B778" s="256"/>
      <c r="C778" s="513"/>
      <c r="D778" s="516">
        <f t="shared" si="33"/>
        <v>0</v>
      </c>
      <c r="I778" s="256"/>
      <c r="J778" s="513"/>
      <c r="K778" s="516">
        <f t="shared" si="34"/>
        <v>0</v>
      </c>
      <c r="P778" s="256"/>
      <c r="Q778" s="513"/>
      <c r="R778" s="516">
        <f t="shared" si="35"/>
        <v>0</v>
      </c>
    </row>
    <row r="779" spans="2:18" ht="15" customHeight="1" x14ac:dyDescent="0.2">
      <c r="B779" s="256"/>
      <c r="C779" s="513"/>
      <c r="D779" s="516">
        <f t="shared" si="33"/>
        <v>0</v>
      </c>
      <c r="I779" s="256"/>
      <c r="J779" s="513"/>
      <c r="K779" s="516">
        <f t="shared" si="34"/>
        <v>0</v>
      </c>
      <c r="P779" s="256"/>
      <c r="Q779" s="513"/>
      <c r="R779" s="516">
        <f t="shared" si="35"/>
        <v>0</v>
      </c>
    </row>
    <row r="780" spans="2:18" ht="15" customHeight="1" x14ac:dyDescent="0.2">
      <c r="B780" s="256"/>
      <c r="C780" s="513"/>
      <c r="D780" s="516">
        <f t="shared" si="33"/>
        <v>0</v>
      </c>
      <c r="I780" s="256"/>
      <c r="J780" s="513"/>
      <c r="K780" s="516">
        <f t="shared" si="34"/>
        <v>0</v>
      </c>
      <c r="P780" s="256"/>
      <c r="Q780" s="513"/>
      <c r="R780" s="516">
        <f t="shared" si="35"/>
        <v>0</v>
      </c>
    </row>
    <row r="781" spans="2:18" ht="15" customHeight="1" x14ac:dyDescent="0.2">
      <c r="B781" s="256"/>
      <c r="C781" s="513"/>
      <c r="D781" s="516">
        <f t="shared" si="33"/>
        <v>0</v>
      </c>
      <c r="I781" s="256"/>
      <c r="J781" s="513"/>
      <c r="K781" s="516">
        <f t="shared" si="34"/>
        <v>0</v>
      </c>
      <c r="P781" s="256"/>
      <c r="Q781" s="513"/>
      <c r="R781" s="516">
        <f t="shared" si="35"/>
        <v>0</v>
      </c>
    </row>
    <row r="782" spans="2:18" ht="15" customHeight="1" x14ac:dyDescent="0.2">
      <c r="B782" s="256"/>
      <c r="C782" s="513"/>
      <c r="D782" s="516">
        <f t="shared" si="33"/>
        <v>0</v>
      </c>
      <c r="I782" s="256"/>
      <c r="J782" s="513"/>
      <c r="K782" s="516">
        <f t="shared" si="34"/>
        <v>0</v>
      </c>
      <c r="P782" s="256"/>
      <c r="Q782" s="513"/>
      <c r="R782" s="516">
        <f t="shared" si="35"/>
        <v>0</v>
      </c>
    </row>
    <row r="783" spans="2:18" ht="15" customHeight="1" x14ac:dyDescent="0.2">
      <c r="B783" s="256"/>
      <c r="C783" s="513"/>
      <c r="D783" s="516">
        <f t="shared" si="33"/>
        <v>0</v>
      </c>
      <c r="I783" s="256"/>
      <c r="J783" s="513"/>
      <c r="K783" s="516">
        <f t="shared" si="34"/>
        <v>0</v>
      </c>
      <c r="P783" s="256"/>
      <c r="Q783" s="513"/>
      <c r="R783" s="516">
        <f t="shared" si="35"/>
        <v>0</v>
      </c>
    </row>
    <row r="784" spans="2:18" ht="15" customHeight="1" x14ac:dyDescent="0.2">
      <c r="B784" s="256"/>
      <c r="C784" s="513"/>
      <c r="D784" s="516">
        <f t="shared" si="33"/>
        <v>0</v>
      </c>
      <c r="I784" s="256"/>
      <c r="J784" s="513"/>
      <c r="K784" s="516">
        <f t="shared" si="34"/>
        <v>0</v>
      </c>
      <c r="P784" s="256"/>
      <c r="Q784" s="513"/>
      <c r="R784" s="516">
        <f t="shared" si="35"/>
        <v>0</v>
      </c>
    </row>
    <row r="785" spans="2:18" ht="15" customHeight="1" x14ac:dyDescent="0.2">
      <c r="B785" s="256"/>
      <c r="C785" s="513"/>
      <c r="D785" s="516">
        <f t="shared" si="33"/>
        <v>0</v>
      </c>
      <c r="I785" s="256"/>
      <c r="J785" s="513"/>
      <c r="K785" s="516">
        <f t="shared" si="34"/>
        <v>0</v>
      </c>
      <c r="P785" s="256"/>
      <c r="Q785" s="513"/>
      <c r="R785" s="516">
        <f t="shared" si="35"/>
        <v>0</v>
      </c>
    </row>
    <row r="786" spans="2:18" ht="15" customHeight="1" x14ac:dyDescent="0.2">
      <c r="B786" s="256"/>
      <c r="C786" s="513"/>
      <c r="D786" s="516">
        <f t="shared" ref="D786:D849" si="36">C786/1000</f>
        <v>0</v>
      </c>
      <c r="I786" s="256"/>
      <c r="J786" s="513"/>
      <c r="K786" s="516">
        <f t="shared" ref="K786:K849" si="37">J786/1000</f>
        <v>0</v>
      </c>
      <c r="P786" s="256"/>
      <c r="Q786" s="513"/>
      <c r="R786" s="516">
        <f t="shared" ref="R786:R849" si="38">Q786/1000</f>
        <v>0</v>
      </c>
    </row>
    <row r="787" spans="2:18" ht="15" customHeight="1" x14ac:dyDescent="0.2">
      <c r="B787" s="256"/>
      <c r="C787" s="513"/>
      <c r="D787" s="516">
        <f t="shared" si="36"/>
        <v>0</v>
      </c>
      <c r="I787" s="256"/>
      <c r="J787" s="513"/>
      <c r="K787" s="516">
        <f t="shared" si="37"/>
        <v>0</v>
      </c>
      <c r="P787" s="256"/>
      <c r="Q787" s="513"/>
      <c r="R787" s="516">
        <f t="shared" si="38"/>
        <v>0</v>
      </c>
    </row>
    <row r="788" spans="2:18" ht="15" customHeight="1" x14ac:dyDescent="0.2">
      <c r="B788" s="256"/>
      <c r="C788" s="513"/>
      <c r="D788" s="516">
        <f t="shared" si="36"/>
        <v>0</v>
      </c>
      <c r="I788" s="256"/>
      <c r="J788" s="513"/>
      <c r="K788" s="516">
        <f t="shared" si="37"/>
        <v>0</v>
      </c>
      <c r="P788" s="256"/>
      <c r="Q788" s="513"/>
      <c r="R788" s="516">
        <f t="shared" si="38"/>
        <v>0</v>
      </c>
    </row>
    <row r="789" spans="2:18" ht="15" customHeight="1" x14ac:dyDescent="0.2">
      <c r="B789" s="256"/>
      <c r="C789" s="513"/>
      <c r="D789" s="516">
        <f t="shared" si="36"/>
        <v>0</v>
      </c>
      <c r="I789" s="256"/>
      <c r="J789" s="513"/>
      <c r="K789" s="516">
        <f t="shared" si="37"/>
        <v>0</v>
      </c>
      <c r="P789" s="256"/>
      <c r="Q789" s="513"/>
      <c r="R789" s="516">
        <f t="shared" si="38"/>
        <v>0</v>
      </c>
    </row>
    <row r="790" spans="2:18" ht="15" customHeight="1" x14ac:dyDescent="0.2">
      <c r="B790" s="256"/>
      <c r="C790" s="513"/>
      <c r="D790" s="516">
        <f t="shared" si="36"/>
        <v>0</v>
      </c>
      <c r="I790" s="256"/>
      <c r="J790" s="513"/>
      <c r="K790" s="516">
        <f t="shared" si="37"/>
        <v>0</v>
      </c>
      <c r="P790" s="256"/>
      <c r="Q790" s="513"/>
      <c r="R790" s="516">
        <f t="shared" si="38"/>
        <v>0</v>
      </c>
    </row>
    <row r="791" spans="2:18" ht="15" customHeight="1" x14ac:dyDescent="0.2">
      <c r="B791" s="256"/>
      <c r="C791" s="513"/>
      <c r="D791" s="516">
        <f t="shared" si="36"/>
        <v>0</v>
      </c>
      <c r="I791" s="256"/>
      <c r="J791" s="513"/>
      <c r="K791" s="516">
        <f t="shared" si="37"/>
        <v>0</v>
      </c>
      <c r="P791" s="256"/>
      <c r="Q791" s="513"/>
      <c r="R791" s="516">
        <f t="shared" si="38"/>
        <v>0</v>
      </c>
    </row>
    <row r="792" spans="2:18" ht="15" customHeight="1" x14ac:dyDescent="0.2">
      <c r="B792" s="256"/>
      <c r="C792" s="513"/>
      <c r="D792" s="516">
        <f t="shared" si="36"/>
        <v>0</v>
      </c>
      <c r="I792" s="256"/>
      <c r="J792" s="513"/>
      <c r="K792" s="516">
        <f t="shared" si="37"/>
        <v>0</v>
      </c>
      <c r="P792" s="256"/>
      <c r="Q792" s="513"/>
      <c r="R792" s="516">
        <f t="shared" si="38"/>
        <v>0</v>
      </c>
    </row>
    <row r="793" spans="2:18" ht="15" customHeight="1" x14ac:dyDescent="0.2">
      <c r="B793" s="256"/>
      <c r="C793" s="513"/>
      <c r="D793" s="516">
        <f t="shared" si="36"/>
        <v>0</v>
      </c>
      <c r="I793" s="256"/>
      <c r="J793" s="513"/>
      <c r="K793" s="516">
        <f t="shared" si="37"/>
        <v>0</v>
      </c>
      <c r="P793" s="256"/>
      <c r="Q793" s="513"/>
      <c r="R793" s="516">
        <f t="shared" si="38"/>
        <v>0</v>
      </c>
    </row>
    <row r="794" spans="2:18" ht="15" customHeight="1" x14ac:dyDescent="0.2">
      <c r="B794" s="256"/>
      <c r="C794" s="513"/>
      <c r="D794" s="516">
        <f t="shared" si="36"/>
        <v>0</v>
      </c>
      <c r="I794" s="256"/>
      <c r="J794" s="513"/>
      <c r="K794" s="516">
        <f t="shared" si="37"/>
        <v>0</v>
      </c>
      <c r="P794" s="256"/>
      <c r="Q794" s="513"/>
      <c r="R794" s="516">
        <f t="shared" si="38"/>
        <v>0</v>
      </c>
    </row>
    <row r="795" spans="2:18" ht="15" customHeight="1" x14ac:dyDescent="0.2">
      <c r="B795" s="256"/>
      <c r="C795" s="513"/>
      <c r="D795" s="516">
        <f t="shared" si="36"/>
        <v>0</v>
      </c>
      <c r="I795" s="256"/>
      <c r="J795" s="513"/>
      <c r="K795" s="516">
        <f t="shared" si="37"/>
        <v>0</v>
      </c>
      <c r="P795" s="256"/>
      <c r="Q795" s="513"/>
      <c r="R795" s="516">
        <f t="shared" si="38"/>
        <v>0</v>
      </c>
    </row>
    <row r="796" spans="2:18" ht="15" customHeight="1" x14ac:dyDescent="0.2">
      <c r="B796" s="256"/>
      <c r="C796" s="513"/>
      <c r="D796" s="516">
        <f t="shared" si="36"/>
        <v>0</v>
      </c>
      <c r="I796" s="256"/>
      <c r="J796" s="513"/>
      <c r="K796" s="516">
        <f t="shared" si="37"/>
        <v>0</v>
      </c>
      <c r="P796" s="256"/>
      <c r="Q796" s="513"/>
      <c r="R796" s="516">
        <f t="shared" si="38"/>
        <v>0</v>
      </c>
    </row>
    <row r="797" spans="2:18" ht="15" customHeight="1" x14ac:dyDescent="0.2">
      <c r="B797" s="256"/>
      <c r="C797" s="513"/>
      <c r="D797" s="516">
        <f t="shared" si="36"/>
        <v>0</v>
      </c>
      <c r="I797" s="256"/>
      <c r="J797" s="513"/>
      <c r="K797" s="516">
        <f t="shared" si="37"/>
        <v>0</v>
      </c>
      <c r="P797" s="256"/>
      <c r="Q797" s="513"/>
      <c r="R797" s="516">
        <f t="shared" si="38"/>
        <v>0</v>
      </c>
    </row>
    <row r="798" spans="2:18" ht="15" customHeight="1" x14ac:dyDescent="0.2">
      <c r="B798" s="256"/>
      <c r="C798" s="513"/>
      <c r="D798" s="516">
        <f t="shared" si="36"/>
        <v>0</v>
      </c>
      <c r="I798" s="256"/>
      <c r="J798" s="513"/>
      <c r="K798" s="516">
        <f t="shared" si="37"/>
        <v>0</v>
      </c>
      <c r="P798" s="256"/>
      <c r="Q798" s="513"/>
      <c r="R798" s="516">
        <f t="shared" si="38"/>
        <v>0</v>
      </c>
    </row>
    <row r="799" spans="2:18" ht="15" customHeight="1" x14ac:dyDescent="0.2">
      <c r="B799" s="256"/>
      <c r="C799" s="513"/>
      <c r="D799" s="516">
        <f t="shared" si="36"/>
        <v>0</v>
      </c>
      <c r="I799" s="256"/>
      <c r="J799" s="513"/>
      <c r="K799" s="516">
        <f t="shared" si="37"/>
        <v>0</v>
      </c>
      <c r="P799" s="256"/>
      <c r="Q799" s="513"/>
      <c r="R799" s="516">
        <f t="shared" si="38"/>
        <v>0</v>
      </c>
    </row>
    <row r="800" spans="2:18" ht="15" customHeight="1" x14ac:dyDescent="0.2">
      <c r="B800" s="256"/>
      <c r="C800" s="513"/>
      <c r="D800" s="516">
        <f t="shared" si="36"/>
        <v>0</v>
      </c>
      <c r="I800" s="256"/>
      <c r="J800" s="513"/>
      <c r="K800" s="516">
        <f t="shared" si="37"/>
        <v>0</v>
      </c>
      <c r="P800" s="256"/>
      <c r="Q800" s="513"/>
      <c r="R800" s="516">
        <f t="shared" si="38"/>
        <v>0</v>
      </c>
    </row>
    <row r="801" spans="2:18" ht="15" customHeight="1" x14ac:dyDescent="0.2">
      <c r="B801" s="256"/>
      <c r="C801" s="513"/>
      <c r="D801" s="516">
        <f t="shared" si="36"/>
        <v>0</v>
      </c>
      <c r="I801" s="256"/>
      <c r="J801" s="513"/>
      <c r="K801" s="516">
        <f t="shared" si="37"/>
        <v>0</v>
      </c>
      <c r="P801" s="256"/>
      <c r="Q801" s="513"/>
      <c r="R801" s="516">
        <f t="shared" si="38"/>
        <v>0</v>
      </c>
    </row>
    <row r="802" spans="2:18" ht="15" customHeight="1" x14ac:dyDescent="0.2">
      <c r="B802" s="256"/>
      <c r="C802" s="513"/>
      <c r="D802" s="516">
        <f t="shared" si="36"/>
        <v>0</v>
      </c>
      <c r="I802" s="256"/>
      <c r="J802" s="513"/>
      <c r="K802" s="516">
        <f t="shared" si="37"/>
        <v>0</v>
      </c>
      <c r="P802" s="256"/>
      <c r="Q802" s="513"/>
      <c r="R802" s="516">
        <f t="shared" si="38"/>
        <v>0</v>
      </c>
    </row>
    <row r="803" spans="2:18" ht="15" customHeight="1" x14ac:dyDescent="0.2">
      <c r="B803" s="256"/>
      <c r="C803" s="513"/>
      <c r="D803" s="516">
        <f t="shared" si="36"/>
        <v>0</v>
      </c>
      <c r="I803" s="256"/>
      <c r="J803" s="513"/>
      <c r="K803" s="516">
        <f t="shared" si="37"/>
        <v>0</v>
      </c>
      <c r="P803" s="256"/>
      <c r="Q803" s="513"/>
      <c r="R803" s="516">
        <f t="shared" si="38"/>
        <v>0</v>
      </c>
    </row>
    <row r="804" spans="2:18" ht="15" customHeight="1" x14ac:dyDescent="0.2">
      <c r="B804" s="256"/>
      <c r="C804" s="513"/>
      <c r="D804" s="516">
        <f t="shared" si="36"/>
        <v>0</v>
      </c>
      <c r="I804" s="256"/>
      <c r="J804" s="513"/>
      <c r="K804" s="516">
        <f t="shared" si="37"/>
        <v>0</v>
      </c>
      <c r="P804" s="256"/>
      <c r="Q804" s="513"/>
      <c r="R804" s="516">
        <f t="shared" si="38"/>
        <v>0</v>
      </c>
    </row>
    <row r="805" spans="2:18" ht="15" customHeight="1" x14ac:dyDescent="0.2">
      <c r="B805" s="256"/>
      <c r="C805" s="513"/>
      <c r="D805" s="516">
        <f t="shared" si="36"/>
        <v>0</v>
      </c>
      <c r="I805" s="256"/>
      <c r="J805" s="513"/>
      <c r="K805" s="516">
        <f t="shared" si="37"/>
        <v>0</v>
      </c>
      <c r="P805" s="256"/>
      <c r="Q805" s="513"/>
      <c r="R805" s="516">
        <f t="shared" si="38"/>
        <v>0</v>
      </c>
    </row>
    <row r="806" spans="2:18" ht="15" customHeight="1" x14ac:dyDescent="0.2">
      <c r="B806" s="256"/>
      <c r="C806" s="513"/>
      <c r="D806" s="516">
        <f t="shared" si="36"/>
        <v>0</v>
      </c>
      <c r="I806" s="256"/>
      <c r="J806" s="513"/>
      <c r="K806" s="516">
        <f t="shared" si="37"/>
        <v>0</v>
      </c>
      <c r="P806" s="256"/>
      <c r="Q806" s="513"/>
      <c r="R806" s="516">
        <f t="shared" si="38"/>
        <v>0</v>
      </c>
    </row>
    <row r="807" spans="2:18" ht="15" customHeight="1" x14ac:dyDescent="0.2">
      <c r="B807" s="256"/>
      <c r="C807" s="513"/>
      <c r="D807" s="516">
        <f t="shared" si="36"/>
        <v>0</v>
      </c>
      <c r="I807" s="256"/>
      <c r="J807" s="513"/>
      <c r="K807" s="516">
        <f t="shared" si="37"/>
        <v>0</v>
      </c>
      <c r="P807" s="256"/>
      <c r="Q807" s="513"/>
      <c r="R807" s="516">
        <f t="shared" si="38"/>
        <v>0</v>
      </c>
    </row>
    <row r="808" spans="2:18" ht="15" customHeight="1" x14ac:dyDescent="0.2">
      <c r="B808" s="256"/>
      <c r="C808" s="513"/>
      <c r="D808" s="516">
        <f t="shared" si="36"/>
        <v>0</v>
      </c>
      <c r="I808" s="256"/>
      <c r="J808" s="513"/>
      <c r="K808" s="516">
        <f t="shared" si="37"/>
        <v>0</v>
      </c>
      <c r="P808" s="256"/>
      <c r="Q808" s="513"/>
      <c r="R808" s="516">
        <f t="shared" si="38"/>
        <v>0</v>
      </c>
    </row>
    <row r="809" spans="2:18" ht="15" customHeight="1" x14ac:dyDescent="0.2">
      <c r="B809" s="256"/>
      <c r="C809" s="513"/>
      <c r="D809" s="516">
        <f t="shared" si="36"/>
        <v>0</v>
      </c>
      <c r="I809" s="256"/>
      <c r="J809" s="513"/>
      <c r="K809" s="516">
        <f t="shared" si="37"/>
        <v>0</v>
      </c>
      <c r="P809" s="256"/>
      <c r="Q809" s="513"/>
      <c r="R809" s="516">
        <f t="shared" si="38"/>
        <v>0</v>
      </c>
    </row>
    <row r="810" spans="2:18" ht="15" customHeight="1" x14ac:dyDescent="0.2">
      <c r="B810" s="256"/>
      <c r="C810" s="513"/>
      <c r="D810" s="516">
        <f t="shared" si="36"/>
        <v>0</v>
      </c>
      <c r="I810" s="256"/>
      <c r="J810" s="513"/>
      <c r="K810" s="516">
        <f t="shared" si="37"/>
        <v>0</v>
      </c>
      <c r="P810" s="256"/>
      <c r="Q810" s="513"/>
      <c r="R810" s="516">
        <f t="shared" si="38"/>
        <v>0</v>
      </c>
    </row>
    <row r="811" spans="2:18" ht="15" customHeight="1" x14ac:dyDescent="0.2">
      <c r="B811" s="256"/>
      <c r="C811" s="513"/>
      <c r="D811" s="516">
        <f t="shared" si="36"/>
        <v>0</v>
      </c>
      <c r="I811" s="256"/>
      <c r="J811" s="513"/>
      <c r="K811" s="516">
        <f t="shared" si="37"/>
        <v>0</v>
      </c>
      <c r="P811" s="256"/>
      <c r="Q811" s="513"/>
      <c r="R811" s="516">
        <f t="shared" si="38"/>
        <v>0</v>
      </c>
    </row>
    <row r="812" spans="2:18" ht="15" customHeight="1" x14ac:dyDescent="0.2">
      <c r="B812" s="256"/>
      <c r="C812" s="513"/>
      <c r="D812" s="516">
        <f t="shared" si="36"/>
        <v>0</v>
      </c>
      <c r="I812" s="256"/>
      <c r="J812" s="513"/>
      <c r="K812" s="516">
        <f t="shared" si="37"/>
        <v>0</v>
      </c>
      <c r="P812" s="256"/>
      <c r="Q812" s="513"/>
      <c r="R812" s="516">
        <f t="shared" si="38"/>
        <v>0</v>
      </c>
    </row>
    <row r="813" spans="2:18" ht="15" customHeight="1" x14ac:dyDescent="0.2">
      <c r="B813" s="256"/>
      <c r="C813" s="513"/>
      <c r="D813" s="516">
        <f t="shared" si="36"/>
        <v>0</v>
      </c>
      <c r="I813" s="256"/>
      <c r="J813" s="513"/>
      <c r="K813" s="516">
        <f t="shared" si="37"/>
        <v>0</v>
      </c>
      <c r="P813" s="256"/>
      <c r="Q813" s="513"/>
      <c r="R813" s="516">
        <f t="shared" si="38"/>
        <v>0</v>
      </c>
    </row>
    <row r="814" spans="2:18" ht="15" customHeight="1" x14ac:dyDescent="0.2">
      <c r="B814" s="256"/>
      <c r="C814" s="513"/>
      <c r="D814" s="516">
        <f t="shared" si="36"/>
        <v>0</v>
      </c>
      <c r="I814" s="256"/>
      <c r="J814" s="513"/>
      <c r="K814" s="516">
        <f t="shared" si="37"/>
        <v>0</v>
      </c>
      <c r="P814" s="256"/>
      <c r="Q814" s="513"/>
      <c r="R814" s="516">
        <f t="shared" si="38"/>
        <v>0</v>
      </c>
    </row>
    <row r="815" spans="2:18" ht="15" customHeight="1" x14ac:dyDescent="0.2">
      <c r="B815" s="256"/>
      <c r="C815" s="513"/>
      <c r="D815" s="516">
        <f t="shared" si="36"/>
        <v>0</v>
      </c>
      <c r="I815" s="256"/>
      <c r="J815" s="513"/>
      <c r="K815" s="516">
        <f t="shared" si="37"/>
        <v>0</v>
      </c>
      <c r="P815" s="256"/>
      <c r="Q815" s="513"/>
      <c r="R815" s="516">
        <f t="shared" si="38"/>
        <v>0</v>
      </c>
    </row>
    <row r="816" spans="2:18" ht="15" customHeight="1" x14ac:dyDescent="0.2">
      <c r="B816" s="256"/>
      <c r="C816" s="513"/>
      <c r="D816" s="516">
        <f t="shared" si="36"/>
        <v>0</v>
      </c>
      <c r="I816" s="256"/>
      <c r="J816" s="513"/>
      <c r="K816" s="516">
        <f t="shared" si="37"/>
        <v>0</v>
      </c>
      <c r="P816" s="256"/>
      <c r="Q816" s="513"/>
      <c r="R816" s="516">
        <f t="shared" si="38"/>
        <v>0</v>
      </c>
    </row>
    <row r="817" spans="2:18" ht="15" customHeight="1" x14ac:dyDescent="0.2">
      <c r="B817" s="256"/>
      <c r="C817" s="513"/>
      <c r="D817" s="516">
        <f t="shared" si="36"/>
        <v>0</v>
      </c>
      <c r="I817" s="256"/>
      <c r="J817" s="513"/>
      <c r="K817" s="516">
        <f t="shared" si="37"/>
        <v>0</v>
      </c>
      <c r="P817" s="256"/>
      <c r="Q817" s="513"/>
      <c r="R817" s="516">
        <f t="shared" si="38"/>
        <v>0</v>
      </c>
    </row>
    <row r="818" spans="2:18" ht="15" customHeight="1" x14ac:dyDescent="0.2">
      <c r="B818" s="256"/>
      <c r="C818" s="513"/>
      <c r="D818" s="516">
        <f t="shared" si="36"/>
        <v>0</v>
      </c>
      <c r="I818" s="256"/>
      <c r="J818" s="513"/>
      <c r="K818" s="516">
        <f t="shared" si="37"/>
        <v>0</v>
      </c>
      <c r="P818" s="256"/>
      <c r="Q818" s="513"/>
      <c r="R818" s="516">
        <f t="shared" si="38"/>
        <v>0</v>
      </c>
    </row>
    <row r="819" spans="2:18" ht="15" customHeight="1" x14ac:dyDescent="0.2">
      <c r="B819" s="256"/>
      <c r="C819" s="513"/>
      <c r="D819" s="516">
        <f t="shared" si="36"/>
        <v>0</v>
      </c>
      <c r="I819" s="256"/>
      <c r="J819" s="513"/>
      <c r="K819" s="516">
        <f t="shared" si="37"/>
        <v>0</v>
      </c>
      <c r="P819" s="256"/>
      <c r="Q819" s="513"/>
      <c r="R819" s="516">
        <f t="shared" si="38"/>
        <v>0</v>
      </c>
    </row>
    <row r="820" spans="2:18" ht="15" customHeight="1" x14ac:dyDescent="0.2">
      <c r="B820" s="256"/>
      <c r="C820" s="513"/>
      <c r="D820" s="516">
        <f t="shared" si="36"/>
        <v>0</v>
      </c>
      <c r="I820" s="256"/>
      <c r="J820" s="513"/>
      <c r="K820" s="516">
        <f t="shared" si="37"/>
        <v>0</v>
      </c>
      <c r="P820" s="256"/>
      <c r="Q820" s="513"/>
      <c r="R820" s="516">
        <f t="shared" si="38"/>
        <v>0</v>
      </c>
    </row>
    <row r="821" spans="2:18" ht="15" customHeight="1" x14ac:dyDescent="0.2">
      <c r="B821" s="256"/>
      <c r="C821" s="513"/>
      <c r="D821" s="516">
        <f t="shared" si="36"/>
        <v>0</v>
      </c>
      <c r="I821" s="256"/>
      <c r="J821" s="513"/>
      <c r="K821" s="516">
        <f t="shared" si="37"/>
        <v>0</v>
      </c>
      <c r="P821" s="256"/>
      <c r="Q821" s="513"/>
      <c r="R821" s="516">
        <f t="shared" si="38"/>
        <v>0</v>
      </c>
    </row>
    <row r="822" spans="2:18" ht="15" customHeight="1" x14ac:dyDescent="0.2">
      <c r="B822" s="256"/>
      <c r="C822" s="513"/>
      <c r="D822" s="516">
        <f t="shared" si="36"/>
        <v>0</v>
      </c>
      <c r="I822" s="256"/>
      <c r="J822" s="513"/>
      <c r="K822" s="516">
        <f t="shared" si="37"/>
        <v>0</v>
      </c>
      <c r="P822" s="256"/>
      <c r="Q822" s="513"/>
      <c r="R822" s="516">
        <f t="shared" si="38"/>
        <v>0</v>
      </c>
    </row>
    <row r="823" spans="2:18" ht="15" customHeight="1" x14ac:dyDescent="0.2">
      <c r="B823" s="256"/>
      <c r="C823" s="513"/>
      <c r="D823" s="516">
        <f t="shared" si="36"/>
        <v>0</v>
      </c>
      <c r="I823" s="256"/>
      <c r="J823" s="513"/>
      <c r="K823" s="516">
        <f t="shared" si="37"/>
        <v>0</v>
      </c>
      <c r="P823" s="256"/>
      <c r="Q823" s="513"/>
      <c r="R823" s="516">
        <f t="shared" si="38"/>
        <v>0</v>
      </c>
    </row>
    <row r="824" spans="2:18" ht="15" customHeight="1" x14ac:dyDescent="0.2">
      <c r="B824" s="256"/>
      <c r="C824" s="513"/>
      <c r="D824" s="516">
        <f t="shared" si="36"/>
        <v>0</v>
      </c>
      <c r="I824" s="256"/>
      <c r="J824" s="513"/>
      <c r="K824" s="516">
        <f t="shared" si="37"/>
        <v>0</v>
      </c>
      <c r="P824" s="256"/>
      <c r="Q824" s="513"/>
      <c r="R824" s="516">
        <f t="shared" si="38"/>
        <v>0</v>
      </c>
    </row>
    <row r="825" spans="2:18" ht="15" customHeight="1" x14ac:dyDescent="0.2">
      <c r="B825" s="256"/>
      <c r="C825" s="513"/>
      <c r="D825" s="516">
        <f t="shared" si="36"/>
        <v>0</v>
      </c>
      <c r="I825" s="256"/>
      <c r="J825" s="513"/>
      <c r="K825" s="516">
        <f t="shared" si="37"/>
        <v>0</v>
      </c>
      <c r="P825" s="256"/>
      <c r="Q825" s="513"/>
      <c r="R825" s="516">
        <f t="shared" si="38"/>
        <v>0</v>
      </c>
    </row>
    <row r="826" spans="2:18" ht="15" customHeight="1" x14ac:dyDescent="0.2">
      <c r="B826" s="256"/>
      <c r="C826" s="513"/>
      <c r="D826" s="516">
        <f t="shared" si="36"/>
        <v>0</v>
      </c>
      <c r="I826" s="256"/>
      <c r="J826" s="513"/>
      <c r="K826" s="516">
        <f t="shared" si="37"/>
        <v>0</v>
      </c>
      <c r="P826" s="256"/>
      <c r="Q826" s="513"/>
      <c r="R826" s="516">
        <f t="shared" si="38"/>
        <v>0</v>
      </c>
    </row>
    <row r="827" spans="2:18" ht="15" customHeight="1" x14ac:dyDescent="0.2">
      <c r="B827" s="256"/>
      <c r="C827" s="513"/>
      <c r="D827" s="516">
        <f t="shared" si="36"/>
        <v>0</v>
      </c>
      <c r="I827" s="256"/>
      <c r="J827" s="513"/>
      <c r="K827" s="516">
        <f t="shared" si="37"/>
        <v>0</v>
      </c>
      <c r="P827" s="256"/>
      <c r="Q827" s="513"/>
      <c r="R827" s="516">
        <f t="shared" si="38"/>
        <v>0</v>
      </c>
    </row>
    <row r="828" spans="2:18" ht="15" customHeight="1" x14ac:dyDescent="0.2">
      <c r="B828" s="256"/>
      <c r="C828" s="513"/>
      <c r="D828" s="516">
        <f t="shared" si="36"/>
        <v>0</v>
      </c>
      <c r="I828" s="256"/>
      <c r="J828" s="513"/>
      <c r="K828" s="516">
        <f t="shared" si="37"/>
        <v>0</v>
      </c>
      <c r="P828" s="256"/>
      <c r="Q828" s="513"/>
      <c r="R828" s="516">
        <f t="shared" si="38"/>
        <v>0</v>
      </c>
    </row>
    <row r="829" spans="2:18" ht="15" customHeight="1" x14ac:dyDescent="0.2">
      <c r="B829" s="256"/>
      <c r="C829" s="513"/>
      <c r="D829" s="516">
        <f t="shared" si="36"/>
        <v>0</v>
      </c>
      <c r="I829" s="256"/>
      <c r="J829" s="513"/>
      <c r="K829" s="516">
        <f t="shared" si="37"/>
        <v>0</v>
      </c>
      <c r="P829" s="256"/>
      <c r="Q829" s="513"/>
      <c r="R829" s="516">
        <f t="shared" si="38"/>
        <v>0</v>
      </c>
    </row>
    <row r="830" spans="2:18" ht="15" customHeight="1" x14ac:dyDescent="0.2">
      <c r="B830" s="256"/>
      <c r="C830" s="513"/>
      <c r="D830" s="516">
        <f t="shared" si="36"/>
        <v>0</v>
      </c>
      <c r="I830" s="256"/>
      <c r="J830" s="513"/>
      <c r="K830" s="516">
        <f t="shared" si="37"/>
        <v>0</v>
      </c>
      <c r="P830" s="256"/>
      <c r="Q830" s="513"/>
      <c r="R830" s="516">
        <f t="shared" si="38"/>
        <v>0</v>
      </c>
    </row>
    <row r="831" spans="2:18" ht="15" customHeight="1" x14ac:dyDescent="0.2">
      <c r="B831" s="256"/>
      <c r="C831" s="513"/>
      <c r="D831" s="516">
        <f t="shared" si="36"/>
        <v>0</v>
      </c>
      <c r="I831" s="256"/>
      <c r="J831" s="513"/>
      <c r="K831" s="516">
        <f t="shared" si="37"/>
        <v>0</v>
      </c>
      <c r="P831" s="256"/>
      <c r="Q831" s="513"/>
      <c r="R831" s="516">
        <f t="shared" si="38"/>
        <v>0</v>
      </c>
    </row>
    <row r="832" spans="2:18" ht="15" customHeight="1" x14ac:dyDescent="0.2">
      <c r="B832" s="256"/>
      <c r="C832" s="513"/>
      <c r="D832" s="516">
        <f t="shared" si="36"/>
        <v>0</v>
      </c>
      <c r="I832" s="256"/>
      <c r="J832" s="513"/>
      <c r="K832" s="516">
        <f t="shared" si="37"/>
        <v>0</v>
      </c>
      <c r="P832" s="256"/>
      <c r="Q832" s="513"/>
      <c r="R832" s="516">
        <f t="shared" si="38"/>
        <v>0</v>
      </c>
    </row>
    <row r="833" spans="2:18" ht="15" customHeight="1" x14ac:dyDescent="0.2">
      <c r="B833" s="256"/>
      <c r="C833" s="513"/>
      <c r="D833" s="516">
        <f t="shared" si="36"/>
        <v>0</v>
      </c>
      <c r="I833" s="256"/>
      <c r="J833" s="513"/>
      <c r="K833" s="516">
        <f t="shared" si="37"/>
        <v>0</v>
      </c>
      <c r="P833" s="256"/>
      <c r="Q833" s="513"/>
      <c r="R833" s="516">
        <f t="shared" si="38"/>
        <v>0</v>
      </c>
    </row>
    <row r="834" spans="2:18" ht="15" customHeight="1" x14ac:dyDescent="0.2">
      <c r="B834" s="256"/>
      <c r="C834" s="513"/>
      <c r="D834" s="516">
        <f t="shared" si="36"/>
        <v>0</v>
      </c>
      <c r="I834" s="256"/>
      <c r="J834" s="513"/>
      <c r="K834" s="516">
        <f t="shared" si="37"/>
        <v>0</v>
      </c>
      <c r="P834" s="256"/>
      <c r="Q834" s="513"/>
      <c r="R834" s="516">
        <f t="shared" si="38"/>
        <v>0</v>
      </c>
    </row>
    <row r="835" spans="2:18" ht="15" customHeight="1" x14ac:dyDescent="0.2">
      <c r="B835" s="256"/>
      <c r="C835" s="513"/>
      <c r="D835" s="516">
        <f t="shared" si="36"/>
        <v>0</v>
      </c>
      <c r="I835" s="256"/>
      <c r="J835" s="513"/>
      <c r="K835" s="516">
        <f t="shared" si="37"/>
        <v>0</v>
      </c>
      <c r="P835" s="256"/>
      <c r="Q835" s="513"/>
      <c r="R835" s="516">
        <f t="shared" si="38"/>
        <v>0</v>
      </c>
    </row>
    <row r="836" spans="2:18" ht="15" customHeight="1" x14ac:dyDescent="0.2">
      <c r="B836" s="256"/>
      <c r="C836" s="513"/>
      <c r="D836" s="516">
        <f t="shared" si="36"/>
        <v>0</v>
      </c>
      <c r="I836" s="256"/>
      <c r="J836" s="513"/>
      <c r="K836" s="516">
        <f t="shared" si="37"/>
        <v>0</v>
      </c>
      <c r="P836" s="256"/>
      <c r="Q836" s="513"/>
      <c r="R836" s="516">
        <f t="shared" si="38"/>
        <v>0</v>
      </c>
    </row>
    <row r="837" spans="2:18" ht="15" customHeight="1" x14ac:dyDescent="0.2">
      <c r="B837" s="256"/>
      <c r="C837" s="513"/>
      <c r="D837" s="516">
        <f t="shared" si="36"/>
        <v>0</v>
      </c>
      <c r="I837" s="256"/>
      <c r="J837" s="513"/>
      <c r="K837" s="516">
        <f t="shared" si="37"/>
        <v>0</v>
      </c>
      <c r="P837" s="256"/>
      <c r="Q837" s="513"/>
      <c r="R837" s="516">
        <f t="shared" si="38"/>
        <v>0</v>
      </c>
    </row>
    <row r="838" spans="2:18" ht="15" customHeight="1" x14ac:dyDescent="0.2">
      <c r="B838" s="256"/>
      <c r="C838" s="513"/>
      <c r="D838" s="516">
        <f t="shared" si="36"/>
        <v>0</v>
      </c>
      <c r="I838" s="256"/>
      <c r="J838" s="513"/>
      <c r="K838" s="516">
        <f t="shared" si="37"/>
        <v>0</v>
      </c>
      <c r="P838" s="256"/>
      <c r="Q838" s="513"/>
      <c r="R838" s="516">
        <f t="shared" si="38"/>
        <v>0</v>
      </c>
    </row>
    <row r="839" spans="2:18" ht="15" customHeight="1" x14ac:dyDescent="0.2">
      <c r="B839" s="256"/>
      <c r="C839" s="513"/>
      <c r="D839" s="516">
        <f t="shared" si="36"/>
        <v>0</v>
      </c>
      <c r="I839" s="256"/>
      <c r="J839" s="513"/>
      <c r="K839" s="516">
        <f t="shared" si="37"/>
        <v>0</v>
      </c>
      <c r="P839" s="256"/>
      <c r="Q839" s="513"/>
      <c r="R839" s="516">
        <f t="shared" si="38"/>
        <v>0</v>
      </c>
    </row>
    <row r="840" spans="2:18" ht="15" customHeight="1" x14ac:dyDescent="0.2">
      <c r="B840" s="256"/>
      <c r="C840" s="513"/>
      <c r="D840" s="516">
        <f t="shared" si="36"/>
        <v>0</v>
      </c>
      <c r="I840" s="256"/>
      <c r="J840" s="513"/>
      <c r="K840" s="516">
        <f t="shared" si="37"/>
        <v>0</v>
      </c>
      <c r="P840" s="256"/>
      <c r="Q840" s="513"/>
      <c r="R840" s="516">
        <f t="shared" si="38"/>
        <v>0</v>
      </c>
    </row>
    <row r="841" spans="2:18" ht="15" customHeight="1" x14ac:dyDescent="0.2">
      <c r="B841" s="256"/>
      <c r="C841" s="513"/>
      <c r="D841" s="516">
        <f t="shared" si="36"/>
        <v>0</v>
      </c>
      <c r="I841" s="256"/>
      <c r="J841" s="513"/>
      <c r="K841" s="516">
        <f t="shared" si="37"/>
        <v>0</v>
      </c>
      <c r="P841" s="256"/>
      <c r="Q841" s="513"/>
      <c r="R841" s="516">
        <f t="shared" si="38"/>
        <v>0</v>
      </c>
    </row>
    <row r="842" spans="2:18" ht="15" customHeight="1" x14ac:dyDescent="0.2">
      <c r="B842" s="256"/>
      <c r="C842" s="513"/>
      <c r="D842" s="516">
        <f t="shared" si="36"/>
        <v>0</v>
      </c>
      <c r="I842" s="256"/>
      <c r="J842" s="513"/>
      <c r="K842" s="516">
        <f t="shared" si="37"/>
        <v>0</v>
      </c>
      <c r="P842" s="256"/>
      <c r="Q842" s="513"/>
      <c r="R842" s="516">
        <f t="shared" si="38"/>
        <v>0</v>
      </c>
    </row>
    <row r="843" spans="2:18" ht="15" customHeight="1" x14ac:dyDescent="0.2">
      <c r="B843" s="256"/>
      <c r="C843" s="513"/>
      <c r="D843" s="516">
        <f t="shared" si="36"/>
        <v>0</v>
      </c>
      <c r="I843" s="256"/>
      <c r="J843" s="513"/>
      <c r="K843" s="516">
        <f t="shared" si="37"/>
        <v>0</v>
      </c>
      <c r="P843" s="256"/>
      <c r="Q843" s="513"/>
      <c r="R843" s="516">
        <f t="shared" si="38"/>
        <v>0</v>
      </c>
    </row>
    <row r="844" spans="2:18" ht="15" customHeight="1" x14ac:dyDescent="0.2">
      <c r="B844" s="256"/>
      <c r="C844" s="513"/>
      <c r="D844" s="516">
        <f t="shared" si="36"/>
        <v>0</v>
      </c>
      <c r="I844" s="256"/>
      <c r="J844" s="513"/>
      <c r="K844" s="516">
        <f t="shared" si="37"/>
        <v>0</v>
      </c>
      <c r="P844" s="256"/>
      <c r="Q844" s="513"/>
      <c r="R844" s="516">
        <f t="shared" si="38"/>
        <v>0</v>
      </c>
    </row>
    <row r="845" spans="2:18" ht="15" customHeight="1" x14ac:dyDescent="0.2">
      <c r="B845" s="256"/>
      <c r="C845" s="513"/>
      <c r="D845" s="516">
        <f t="shared" si="36"/>
        <v>0</v>
      </c>
      <c r="I845" s="256"/>
      <c r="J845" s="513"/>
      <c r="K845" s="516">
        <f t="shared" si="37"/>
        <v>0</v>
      </c>
      <c r="P845" s="256"/>
      <c r="Q845" s="513"/>
      <c r="R845" s="516">
        <f t="shared" si="38"/>
        <v>0</v>
      </c>
    </row>
    <row r="846" spans="2:18" ht="15" customHeight="1" x14ac:dyDescent="0.2">
      <c r="B846" s="256"/>
      <c r="C846" s="513"/>
      <c r="D846" s="516">
        <f t="shared" si="36"/>
        <v>0</v>
      </c>
      <c r="I846" s="256"/>
      <c r="J846" s="513"/>
      <c r="K846" s="516">
        <f t="shared" si="37"/>
        <v>0</v>
      </c>
      <c r="P846" s="256"/>
      <c r="Q846" s="513"/>
      <c r="R846" s="516">
        <f t="shared" si="38"/>
        <v>0</v>
      </c>
    </row>
    <row r="847" spans="2:18" ht="15" customHeight="1" x14ac:dyDescent="0.2">
      <c r="B847" s="256"/>
      <c r="C847" s="513"/>
      <c r="D847" s="516">
        <f t="shared" si="36"/>
        <v>0</v>
      </c>
      <c r="I847" s="256"/>
      <c r="J847" s="513"/>
      <c r="K847" s="516">
        <f t="shared" si="37"/>
        <v>0</v>
      </c>
      <c r="P847" s="256"/>
      <c r="Q847" s="513"/>
      <c r="R847" s="516">
        <f t="shared" si="38"/>
        <v>0</v>
      </c>
    </row>
    <row r="848" spans="2:18" ht="15" customHeight="1" x14ac:dyDescent="0.2">
      <c r="B848" s="256"/>
      <c r="C848" s="513"/>
      <c r="D848" s="516">
        <f t="shared" si="36"/>
        <v>0</v>
      </c>
      <c r="I848" s="256"/>
      <c r="J848" s="513"/>
      <c r="K848" s="516">
        <f t="shared" si="37"/>
        <v>0</v>
      </c>
      <c r="P848" s="256"/>
      <c r="Q848" s="513"/>
      <c r="R848" s="516">
        <f t="shared" si="38"/>
        <v>0</v>
      </c>
    </row>
    <row r="849" spans="2:18" ht="15" customHeight="1" x14ac:dyDescent="0.2">
      <c r="B849" s="256"/>
      <c r="C849" s="513"/>
      <c r="D849" s="516">
        <f t="shared" si="36"/>
        <v>0</v>
      </c>
      <c r="I849" s="256"/>
      <c r="J849" s="513"/>
      <c r="K849" s="516">
        <f t="shared" si="37"/>
        <v>0</v>
      </c>
      <c r="P849" s="256"/>
      <c r="Q849" s="513"/>
      <c r="R849" s="516">
        <f t="shared" si="38"/>
        <v>0</v>
      </c>
    </row>
    <row r="850" spans="2:18" ht="15" customHeight="1" x14ac:dyDescent="0.2">
      <c r="B850" s="256"/>
      <c r="C850" s="513"/>
      <c r="D850" s="516">
        <f t="shared" ref="D850:D913" si="39">C850/1000</f>
        <v>0</v>
      </c>
      <c r="I850" s="256"/>
      <c r="J850" s="513"/>
      <c r="K850" s="516">
        <f t="shared" ref="K850:K913" si="40">J850/1000</f>
        <v>0</v>
      </c>
      <c r="P850" s="256"/>
      <c r="Q850" s="513"/>
      <c r="R850" s="516">
        <f t="shared" ref="R850:R913" si="41">Q850/1000</f>
        <v>0</v>
      </c>
    </row>
    <row r="851" spans="2:18" ht="15" customHeight="1" x14ac:dyDescent="0.2">
      <c r="B851" s="256"/>
      <c r="C851" s="513"/>
      <c r="D851" s="516">
        <f t="shared" si="39"/>
        <v>0</v>
      </c>
      <c r="I851" s="256"/>
      <c r="J851" s="513"/>
      <c r="K851" s="516">
        <f t="shared" si="40"/>
        <v>0</v>
      </c>
      <c r="P851" s="256"/>
      <c r="Q851" s="513"/>
      <c r="R851" s="516">
        <f t="shared" si="41"/>
        <v>0</v>
      </c>
    </row>
    <row r="852" spans="2:18" ht="15" customHeight="1" x14ac:dyDescent="0.2">
      <c r="B852" s="256"/>
      <c r="C852" s="513"/>
      <c r="D852" s="516">
        <f t="shared" si="39"/>
        <v>0</v>
      </c>
      <c r="I852" s="256"/>
      <c r="J852" s="513"/>
      <c r="K852" s="516">
        <f t="shared" si="40"/>
        <v>0</v>
      </c>
      <c r="P852" s="256"/>
      <c r="Q852" s="513"/>
      <c r="R852" s="516">
        <f t="shared" si="41"/>
        <v>0</v>
      </c>
    </row>
    <row r="853" spans="2:18" ht="15" customHeight="1" x14ac:dyDescent="0.2">
      <c r="B853" s="256"/>
      <c r="C853" s="513"/>
      <c r="D853" s="516">
        <f t="shared" si="39"/>
        <v>0</v>
      </c>
      <c r="I853" s="256"/>
      <c r="J853" s="513"/>
      <c r="K853" s="516">
        <f t="shared" si="40"/>
        <v>0</v>
      </c>
      <c r="P853" s="256"/>
      <c r="Q853" s="513"/>
      <c r="R853" s="516">
        <f t="shared" si="41"/>
        <v>0</v>
      </c>
    </row>
    <row r="854" spans="2:18" ht="15" customHeight="1" x14ac:dyDescent="0.2">
      <c r="B854" s="256"/>
      <c r="C854" s="513"/>
      <c r="D854" s="516">
        <f t="shared" si="39"/>
        <v>0</v>
      </c>
      <c r="I854" s="256"/>
      <c r="J854" s="513"/>
      <c r="K854" s="516">
        <f t="shared" si="40"/>
        <v>0</v>
      </c>
      <c r="P854" s="256"/>
      <c r="Q854" s="513"/>
      <c r="R854" s="516">
        <f t="shared" si="41"/>
        <v>0</v>
      </c>
    </row>
    <row r="855" spans="2:18" ht="15" customHeight="1" x14ac:dyDescent="0.2">
      <c r="B855" s="256"/>
      <c r="C855" s="513"/>
      <c r="D855" s="516">
        <f t="shared" si="39"/>
        <v>0</v>
      </c>
      <c r="I855" s="256"/>
      <c r="J855" s="513"/>
      <c r="K855" s="516">
        <f t="shared" si="40"/>
        <v>0</v>
      </c>
      <c r="P855" s="256"/>
      <c r="Q855" s="513"/>
      <c r="R855" s="516">
        <f t="shared" si="41"/>
        <v>0</v>
      </c>
    </row>
    <row r="856" spans="2:18" ht="15" customHeight="1" x14ac:dyDescent="0.2">
      <c r="B856" s="256"/>
      <c r="C856" s="513"/>
      <c r="D856" s="516">
        <f t="shared" si="39"/>
        <v>0</v>
      </c>
      <c r="I856" s="256"/>
      <c r="J856" s="513"/>
      <c r="K856" s="516">
        <f t="shared" si="40"/>
        <v>0</v>
      </c>
      <c r="P856" s="256"/>
      <c r="Q856" s="513"/>
      <c r="R856" s="516">
        <f t="shared" si="41"/>
        <v>0</v>
      </c>
    </row>
    <row r="857" spans="2:18" ht="15" customHeight="1" x14ac:dyDescent="0.2">
      <c r="B857" s="256"/>
      <c r="C857" s="513"/>
      <c r="D857" s="516">
        <f t="shared" si="39"/>
        <v>0</v>
      </c>
      <c r="I857" s="256"/>
      <c r="J857" s="513"/>
      <c r="K857" s="516">
        <f t="shared" si="40"/>
        <v>0</v>
      </c>
      <c r="P857" s="256"/>
      <c r="Q857" s="513"/>
      <c r="R857" s="516">
        <f t="shared" si="41"/>
        <v>0</v>
      </c>
    </row>
    <row r="858" spans="2:18" ht="15" customHeight="1" x14ac:dyDescent="0.2">
      <c r="B858" s="256"/>
      <c r="C858" s="513"/>
      <c r="D858" s="516">
        <f t="shared" si="39"/>
        <v>0</v>
      </c>
      <c r="I858" s="256"/>
      <c r="J858" s="513"/>
      <c r="K858" s="516">
        <f t="shared" si="40"/>
        <v>0</v>
      </c>
      <c r="P858" s="256"/>
      <c r="Q858" s="513"/>
      <c r="R858" s="516">
        <f t="shared" si="41"/>
        <v>0</v>
      </c>
    </row>
    <row r="859" spans="2:18" ht="15" customHeight="1" x14ac:dyDescent="0.2">
      <c r="B859" s="256"/>
      <c r="C859" s="513"/>
      <c r="D859" s="516">
        <f t="shared" si="39"/>
        <v>0</v>
      </c>
      <c r="I859" s="256"/>
      <c r="J859" s="513"/>
      <c r="K859" s="516">
        <f t="shared" si="40"/>
        <v>0</v>
      </c>
      <c r="P859" s="256"/>
      <c r="Q859" s="513"/>
      <c r="R859" s="516">
        <f t="shared" si="41"/>
        <v>0</v>
      </c>
    </row>
    <row r="860" spans="2:18" ht="15" customHeight="1" x14ac:dyDescent="0.2">
      <c r="B860" s="256"/>
      <c r="C860" s="513"/>
      <c r="D860" s="516">
        <f t="shared" si="39"/>
        <v>0</v>
      </c>
      <c r="I860" s="256"/>
      <c r="J860" s="513"/>
      <c r="K860" s="516">
        <f t="shared" si="40"/>
        <v>0</v>
      </c>
      <c r="P860" s="256"/>
      <c r="Q860" s="513"/>
      <c r="R860" s="516">
        <f t="shared" si="41"/>
        <v>0</v>
      </c>
    </row>
    <row r="861" spans="2:18" ht="15" customHeight="1" x14ac:dyDescent="0.2">
      <c r="B861" s="256"/>
      <c r="C861" s="513"/>
      <c r="D861" s="516">
        <f t="shared" si="39"/>
        <v>0</v>
      </c>
      <c r="I861" s="256"/>
      <c r="J861" s="513"/>
      <c r="K861" s="516">
        <f t="shared" si="40"/>
        <v>0</v>
      </c>
      <c r="P861" s="256"/>
      <c r="Q861" s="513"/>
      <c r="R861" s="516">
        <f t="shared" si="41"/>
        <v>0</v>
      </c>
    </row>
    <row r="862" spans="2:18" ht="15" customHeight="1" x14ac:dyDescent="0.2">
      <c r="B862" s="256"/>
      <c r="C862" s="513"/>
      <c r="D862" s="516">
        <f t="shared" si="39"/>
        <v>0</v>
      </c>
      <c r="I862" s="256"/>
      <c r="J862" s="513"/>
      <c r="K862" s="516">
        <f t="shared" si="40"/>
        <v>0</v>
      </c>
      <c r="P862" s="256"/>
      <c r="Q862" s="513"/>
      <c r="R862" s="516">
        <f t="shared" si="41"/>
        <v>0</v>
      </c>
    </row>
    <row r="863" spans="2:18" ht="15" customHeight="1" x14ac:dyDescent="0.2">
      <c r="B863" s="256"/>
      <c r="C863" s="513"/>
      <c r="D863" s="516">
        <f t="shared" si="39"/>
        <v>0</v>
      </c>
      <c r="I863" s="256"/>
      <c r="J863" s="513"/>
      <c r="K863" s="516">
        <f t="shared" si="40"/>
        <v>0</v>
      </c>
      <c r="P863" s="256"/>
      <c r="Q863" s="513"/>
      <c r="R863" s="516">
        <f t="shared" si="41"/>
        <v>0</v>
      </c>
    </row>
    <row r="864" spans="2:18" ht="15" customHeight="1" x14ac:dyDescent="0.2">
      <c r="B864" s="256"/>
      <c r="C864" s="513"/>
      <c r="D864" s="516">
        <f t="shared" si="39"/>
        <v>0</v>
      </c>
      <c r="I864" s="256"/>
      <c r="J864" s="513"/>
      <c r="K864" s="516">
        <f t="shared" si="40"/>
        <v>0</v>
      </c>
      <c r="P864" s="256"/>
      <c r="Q864" s="513"/>
      <c r="R864" s="516">
        <f t="shared" si="41"/>
        <v>0</v>
      </c>
    </row>
    <row r="865" spans="2:18" ht="15" customHeight="1" x14ac:dyDescent="0.2">
      <c r="B865" s="256"/>
      <c r="C865" s="513"/>
      <c r="D865" s="516">
        <f t="shared" si="39"/>
        <v>0</v>
      </c>
      <c r="I865" s="256"/>
      <c r="J865" s="513"/>
      <c r="K865" s="516">
        <f t="shared" si="40"/>
        <v>0</v>
      </c>
      <c r="P865" s="256"/>
      <c r="Q865" s="513"/>
      <c r="R865" s="516">
        <f t="shared" si="41"/>
        <v>0</v>
      </c>
    </row>
    <row r="866" spans="2:18" ht="15" customHeight="1" x14ac:dyDescent="0.2">
      <c r="B866" s="256"/>
      <c r="C866" s="513"/>
      <c r="D866" s="516">
        <f t="shared" si="39"/>
        <v>0</v>
      </c>
      <c r="I866" s="256"/>
      <c r="J866" s="513"/>
      <c r="K866" s="516">
        <f t="shared" si="40"/>
        <v>0</v>
      </c>
      <c r="P866" s="256"/>
      <c r="Q866" s="513"/>
      <c r="R866" s="516">
        <f t="shared" si="41"/>
        <v>0</v>
      </c>
    </row>
    <row r="867" spans="2:18" ht="15" customHeight="1" x14ac:dyDescent="0.2">
      <c r="B867" s="256"/>
      <c r="C867" s="513"/>
      <c r="D867" s="516">
        <f t="shared" si="39"/>
        <v>0</v>
      </c>
      <c r="I867" s="256"/>
      <c r="J867" s="513"/>
      <c r="K867" s="516">
        <f t="shared" si="40"/>
        <v>0</v>
      </c>
      <c r="P867" s="256"/>
      <c r="Q867" s="513"/>
      <c r="R867" s="516">
        <f t="shared" si="41"/>
        <v>0</v>
      </c>
    </row>
    <row r="868" spans="2:18" ht="15" customHeight="1" x14ac:dyDescent="0.2">
      <c r="B868" s="256"/>
      <c r="C868" s="513"/>
      <c r="D868" s="516">
        <f t="shared" si="39"/>
        <v>0</v>
      </c>
      <c r="I868" s="256"/>
      <c r="J868" s="513"/>
      <c r="K868" s="516">
        <f t="shared" si="40"/>
        <v>0</v>
      </c>
      <c r="P868" s="256"/>
      <c r="Q868" s="513"/>
      <c r="R868" s="516">
        <f t="shared" si="41"/>
        <v>0</v>
      </c>
    </row>
    <row r="869" spans="2:18" ht="15" customHeight="1" x14ac:dyDescent="0.2">
      <c r="B869" s="256"/>
      <c r="C869" s="513"/>
      <c r="D869" s="516">
        <f t="shared" si="39"/>
        <v>0</v>
      </c>
      <c r="I869" s="256"/>
      <c r="J869" s="513"/>
      <c r="K869" s="516">
        <f t="shared" si="40"/>
        <v>0</v>
      </c>
      <c r="P869" s="256"/>
      <c r="Q869" s="513"/>
      <c r="R869" s="516">
        <f t="shared" si="41"/>
        <v>0</v>
      </c>
    </row>
    <row r="870" spans="2:18" ht="15" customHeight="1" x14ac:dyDescent="0.2">
      <c r="B870" s="256"/>
      <c r="C870" s="513"/>
      <c r="D870" s="516">
        <f t="shared" si="39"/>
        <v>0</v>
      </c>
      <c r="I870" s="256"/>
      <c r="J870" s="513"/>
      <c r="K870" s="516">
        <f t="shared" si="40"/>
        <v>0</v>
      </c>
      <c r="P870" s="256"/>
      <c r="Q870" s="513"/>
      <c r="R870" s="516">
        <f t="shared" si="41"/>
        <v>0</v>
      </c>
    </row>
    <row r="871" spans="2:18" ht="15" customHeight="1" x14ac:dyDescent="0.2">
      <c r="B871" s="256"/>
      <c r="C871" s="513"/>
      <c r="D871" s="516">
        <f t="shared" si="39"/>
        <v>0</v>
      </c>
      <c r="I871" s="256"/>
      <c r="J871" s="513"/>
      <c r="K871" s="516">
        <f t="shared" si="40"/>
        <v>0</v>
      </c>
      <c r="P871" s="256"/>
      <c r="Q871" s="513"/>
      <c r="R871" s="516">
        <f t="shared" si="41"/>
        <v>0</v>
      </c>
    </row>
    <row r="872" spans="2:18" ht="15" customHeight="1" x14ac:dyDescent="0.2">
      <c r="B872" s="256"/>
      <c r="C872" s="513"/>
      <c r="D872" s="516">
        <f t="shared" si="39"/>
        <v>0</v>
      </c>
      <c r="I872" s="256"/>
      <c r="J872" s="513"/>
      <c r="K872" s="516">
        <f t="shared" si="40"/>
        <v>0</v>
      </c>
      <c r="P872" s="256"/>
      <c r="Q872" s="513"/>
      <c r="R872" s="516">
        <f t="shared" si="41"/>
        <v>0</v>
      </c>
    </row>
    <row r="873" spans="2:18" ht="15" customHeight="1" x14ac:dyDescent="0.2">
      <c r="B873" s="256"/>
      <c r="C873" s="513"/>
      <c r="D873" s="516">
        <f t="shared" si="39"/>
        <v>0</v>
      </c>
      <c r="I873" s="256"/>
      <c r="J873" s="513"/>
      <c r="K873" s="516">
        <f t="shared" si="40"/>
        <v>0</v>
      </c>
      <c r="P873" s="256"/>
      <c r="Q873" s="513"/>
      <c r="R873" s="516">
        <f t="shared" si="41"/>
        <v>0</v>
      </c>
    </row>
    <row r="874" spans="2:18" ht="15" customHeight="1" x14ac:dyDescent="0.2">
      <c r="B874" s="256"/>
      <c r="C874" s="513"/>
      <c r="D874" s="516">
        <f t="shared" si="39"/>
        <v>0</v>
      </c>
      <c r="I874" s="256"/>
      <c r="J874" s="513"/>
      <c r="K874" s="516">
        <f t="shared" si="40"/>
        <v>0</v>
      </c>
      <c r="P874" s="256"/>
      <c r="Q874" s="513"/>
      <c r="R874" s="516">
        <f t="shared" si="41"/>
        <v>0</v>
      </c>
    </row>
    <row r="875" spans="2:18" ht="15" customHeight="1" x14ac:dyDescent="0.2">
      <c r="B875" s="256"/>
      <c r="C875" s="513"/>
      <c r="D875" s="516">
        <f t="shared" si="39"/>
        <v>0</v>
      </c>
      <c r="I875" s="256"/>
      <c r="J875" s="513"/>
      <c r="K875" s="516">
        <f t="shared" si="40"/>
        <v>0</v>
      </c>
      <c r="P875" s="256"/>
      <c r="Q875" s="513"/>
      <c r="R875" s="516">
        <f t="shared" si="41"/>
        <v>0</v>
      </c>
    </row>
    <row r="876" spans="2:18" ht="15" customHeight="1" x14ac:dyDescent="0.2">
      <c r="B876" s="256"/>
      <c r="C876" s="513"/>
      <c r="D876" s="516">
        <f t="shared" si="39"/>
        <v>0</v>
      </c>
      <c r="I876" s="256"/>
      <c r="J876" s="513"/>
      <c r="K876" s="516">
        <f t="shared" si="40"/>
        <v>0</v>
      </c>
      <c r="P876" s="256"/>
      <c r="Q876" s="513"/>
      <c r="R876" s="516">
        <f t="shared" si="41"/>
        <v>0</v>
      </c>
    </row>
    <row r="877" spans="2:18" ht="15" customHeight="1" x14ac:dyDescent="0.2">
      <c r="B877" s="256"/>
      <c r="C877" s="513"/>
      <c r="D877" s="516">
        <f t="shared" si="39"/>
        <v>0</v>
      </c>
      <c r="I877" s="256"/>
      <c r="J877" s="513"/>
      <c r="K877" s="516">
        <f t="shared" si="40"/>
        <v>0</v>
      </c>
      <c r="P877" s="256"/>
      <c r="Q877" s="513"/>
      <c r="R877" s="516">
        <f t="shared" si="41"/>
        <v>0</v>
      </c>
    </row>
    <row r="878" spans="2:18" ht="15" customHeight="1" x14ac:dyDescent="0.2">
      <c r="B878" s="256"/>
      <c r="C878" s="513"/>
      <c r="D878" s="516">
        <f t="shared" si="39"/>
        <v>0</v>
      </c>
      <c r="I878" s="256"/>
      <c r="J878" s="513"/>
      <c r="K878" s="516">
        <f t="shared" si="40"/>
        <v>0</v>
      </c>
      <c r="P878" s="256"/>
      <c r="Q878" s="513"/>
      <c r="R878" s="516">
        <f t="shared" si="41"/>
        <v>0</v>
      </c>
    </row>
    <row r="879" spans="2:18" ht="15" customHeight="1" x14ac:dyDescent="0.2">
      <c r="B879" s="256"/>
      <c r="C879" s="513"/>
      <c r="D879" s="516">
        <f t="shared" si="39"/>
        <v>0</v>
      </c>
      <c r="I879" s="256"/>
      <c r="J879" s="513"/>
      <c r="K879" s="516">
        <f t="shared" si="40"/>
        <v>0</v>
      </c>
      <c r="P879" s="256"/>
      <c r="Q879" s="513"/>
      <c r="R879" s="516">
        <f t="shared" si="41"/>
        <v>0</v>
      </c>
    </row>
    <row r="880" spans="2:18" ht="15" customHeight="1" x14ac:dyDescent="0.2">
      <c r="B880" s="256"/>
      <c r="C880" s="513"/>
      <c r="D880" s="516">
        <f t="shared" si="39"/>
        <v>0</v>
      </c>
      <c r="I880" s="256"/>
      <c r="J880" s="513"/>
      <c r="K880" s="516">
        <f t="shared" si="40"/>
        <v>0</v>
      </c>
      <c r="P880" s="256"/>
      <c r="Q880" s="513"/>
      <c r="R880" s="516">
        <f t="shared" si="41"/>
        <v>0</v>
      </c>
    </row>
    <row r="881" spans="2:18" ht="15" customHeight="1" x14ac:dyDescent="0.2">
      <c r="B881" s="256"/>
      <c r="C881" s="513"/>
      <c r="D881" s="516">
        <f t="shared" si="39"/>
        <v>0</v>
      </c>
      <c r="I881" s="256"/>
      <c r="J881" s="513"/>
      <c r="K881" s="516">
        <f t="shared" si="40"/>
        <v>0</v>
      </c>
      <c r="P881" s="256"/>
      <c r="Q881" s="513"/>
      <c r="R881" s="516">
        <f t="shared" si="41"/>
        <v>0</v>
      </c>
    </row>
    <row r="882" spans="2:18" ht="15" customHeight="1" x14ac:dyDescent="0.2">
      <c r="B882" s="256"/>
      <c r="C882" s="513"/>
      <c r="D882" s="516">
        <f t="shared" si="39"/>
        <v>0</v>
      </c>
      <c r="I882" s="256"/>
      <c r="J882" s="513"/>
      <c r="K882" s="516">
        <f t="shared" si="40"/>
        <v>0</v>
      </c>
      <c r="P882" s="256"/>
      <c r="Q882" s="513"/>
      <c r="R882" s="516">
        <f t="shared" si="41"/>
        <v>0</v>
      </c>
    </row>
    <row r="883" spans="2:18" ht="15" customHeight="1" x14ac:dyDescent="0.2">
      <c r="B883" s="256"/>
      <c r="C883" s="513"/>
      <c r="D883" s="516">
        <f t="shared" si="39"/>
        <v>0</v>
      </c>
      <c r="I883" s="256"/>
      <c r="J883" s="513"/>
      <c r="K883" s="516">
        <f t="shared" si="40"/>
        <v>0</v>
      </c>
      <c r="P883" s="256"/>
      <c r="Q883" s="513"/>
      <c r="R883" s="516">
        <f t="shared" si="41"/>
        <v>0</v>
      </c>
    </row>
    <row r="884" spans="2:18" ht="15" customHeight="1" x14ac:dyDescent="0.2">
      <c r="B884" s="256"/>
      <c r="C884" s="513"/>
      <c r="D884" s="516">
        <f t="shared" si="39"/>
        <v>0</v>
      </c>
      <c r="I884" s="256"/>
      <c r="J884" s="513"/>
      <c r="K884" s="516">
        <f t="shared" si="40"/>
        <v>0</v>
      </c>
      <c r="P884" s="256"/>
      <c r="Q884" s="513"/>
      <c r="R884" s="516">
        <f t="shared" si="41"/>
        <v>0</v>
      </c>
    </row>
    <row r="885" spans="2:18" ht="15" customHeight="1" x14ac:dyDescent="0.2">
      <c r="B885" s="256"/>
      <c r="C885" s="513"/>
      <c r="D885" s="516">
        <f t="shared" si="39"/>
        <v>0</v>
      </c>
      <c r="I885" s="256"/>
      <c r="J885" s="513"/>
      <c r="K885" s="516">
        <f t="shared" si="40"/>
        <v>0</v>
      </c>
      <c r="P885" s="256"/>
      <c r="Q885" s="513"/>
      <c r="R885" s="516">
        <f t="shared" si="41"/>
        <v>0</v>
      </c>
    </row>
    <row r="886" spans="2:18" ht="15" customHeight="1" x14ac:dyDescent="0.2">
      <c r="B886" s="256"/>
      <c r="C886" s="513"/>
      <c r="D886" s="516">
        <f t="shared" si="39"/>
        <v>0</v>
      </c>
      <c r="I886" s="256"/>
      <c r="J886" s="513"/>
      <c r="K886" s="516">
        <f t="shared" si="40"/>
        <v>0</v>
      </c>
      <c r="P886" s="256"/>
      <c r="Q886" s="513"/>
      <c r="R886" s="516">
        <f t="shared" si="41"/>
        <v>0</v>
      </c>
    </row>
    <row r="887" spans="2:18" ht="15" customHeight="1" x14ac:dyDescent="0.2">
      <c r="B887" s="256"/>
      <c r="C887" s="513"/>
      <c r="D887" s="516">
        <f t="shared" si="39"/>
        <v>0</v>
      </c>
      <c r="I887" s="256"/>
      <c r="J887" s="513"/>
      <c r="K887" s="516">
        <f t="shared" si="40"/>
        <v>0</v>
      </c>
      <c r="P887" s="256"/>
      <c r="Q887" s="513"/>
      <c r="R887" s="516">
        <f t="shared" si="41"/>
        <v>0</v>
      </c>
    </row>
    <row r="888" spans="2:18" ht="15" customHeight="1" x14ac:dyDescent="0.2">
      <c r="B888" s="256"/>
      <c r="C888" s="513"/>
      <c r="D888" s="516">
        <f t="shared" si="39"/>
        <v>0</v>
      </c>
      <c r="I888" s="256"/>
      <c r="J888" s="513"/>
      <c r="K888" s="516">
        <f t="shared" si="40"/>
        <v>0</v>
      </c>
      <c r="P888" s="256"/>
      <c r="Q888" s="513"/>
      <c r="R888" s="516">
        <f t="shared" si="41"/>
        <v>0</v>
      </c>
    </row>
    <row r="889" spans="2:18" ht="15" customHeight="1" x14ac:dyDescent="0.2">
      <c r="B889" s="256"/>
      <c r="C889" s="513"/>
      <c r="D889" s="516">
        <f t="shared" si="39"/>
        <v>0</v>
      </c>
      <c r="I889" s="256"/>
      <c r="J889" s="513"/>
      <c r="K889" s="516">
        <f t="shared" si="40"/>
        <v>0</v>
      </c>
      <c r="P889" s="256"/>
      <c r="Q889" s="513"/>
      <c r="R889" s="516">
        <f t="shared" si="41"/>
        <v>0</v>
      </c>
    </row>
    <row r="890" spans="2:18" ht="15" customHeight="1" x14ac:dyDescent="0.2">
      <c r="B890" s="256"/>
      <c r="C890" s="513"/>
      <c r="D890" s="516">
        <f t="shared" si="39"/>
        <v>0</v>
      </c>
      <c r="I890" s="256"/>
      <c r="J890" s="513"/>
      <c r="K890" s="516">
        <f t="shared" si="40"/>
        <v>0</v>
      </c>
      <c r="P890" s="256"/>
      <c r="Q890" s="513"/>
      <c r="R890" s="516">
        <f t="shared" si="41"/>
        <v>0</v>
      </c>
    </row>
    <row r="891" spans="2:18" ht="15" customHeight="1" x14ac:dyDescent="0.2">
      <c r="B891" s="256"/>
      <c r="C891" s="513"/>
      <c r="D891" s="516">
        <f t="shared" si="39"/>
        <v>0</v>
      </c>
      <c r="I891" s="256"/>
      <c r="J891" s="513"/>
      <c r="K891" s="516">
        <f t="shared" si="40"/>
        <v>0</v>
      </c>
      <c r="P891" s="256"/>
      <c r="Q891" s="513"/>
      <c r="R891" s="516">
        <f t="shared" si="41"/>
        <v>0</v>
      </c>
    </row>
    <row r="892" spans="2:18" ht="15" customHeight="1" x14ac:dyDescent="0.2">
      <c r="B892" s="256"/>
      <c r="C892" s="513"/>
      <c r="D892" s="516">
        <f t="shared" si="39"/>
        <v>0</v>
      </c>
      <c r="I892" s="256"/>
      <c r="J892" s="513"/>
      <c r="K892" s="516">
        <f t="shared" si="40"/>
        <v>0</v>
      </c>
      <c r="P892" s="256"/>
      <c r="Q892" s="513"/>
      <c r="R892" s="516">
        <f t="shared" si="41"/>
        <v>0</v>
      </c>
    </row>
    <row r="893" spans="2:18" ht="15" customHeight="1" x14ac:dyDescent="0.2">
      <c r="B893" s="256"/>
      <c r="C893" s="513"/>
      <c r="D893" s="516">
        <f t="shared" si="39"/>
        <v>0</v>
      </c>
      <c r="I893" s="256"/>
      <c r="J893" s="513"/>
      <c r="K893" s="516">
        <f t="shared" si="40"/>
        <v>0</v>
      </c>
      <c r="P893" s="256"/>
      <c r="Q893" s="513"/>
      <c r="R893" s="516">
        <f t="shared" si="41"/>
        <v>0</v>
      </c>
    </row>
    <row r="894" spans="2:18" ht="15" customHeight="1" x14ac:dyDescent="0.2">
      <c r="B894" s="256"/>
      <c r="C894" s="513"/>
      <c r="D894" s="516">
        <f t="shared" si="39"/>
        <v>0</v>
      </c>
      <c r="I894" s="256"/>
      <c r="J894" s="513"/>
      <c r="K894" s="516">
        <f t="shared" si="40"/>
        <v>0</v>
      </c>
      <c r="P894" s="256"/>
      <c r="Q894" s="513"/>
      <c r="R894" s="516">
        <f t="shared" si="41"/>
        <v>0</v>
      </c>
    </row>
    <row r="895" spans="2:18" ht="15" customHeight="1" x14ac:dyDescent="0.2">
      <c r="B895" s="256"/>
      <c r="C895" s="513"/>
      <c r="D895" s="516">
        <f t="shared" si="39"/>
        <v>0</v>
      </c>
      <c r="I895" s="256"/>
      <c r="J895" s="513"/>
      <c r="K895" s="516">
        <f t="shared" si="40"/>
        <v>0</v>
      </c>
      <c r="P895" s="256"/>
      <c r="Q895" s="513"/>
      <c r="R895" s="516">
        <f t="shared" si="41"/>
        <v>0</v>
      </c>
    </row>
    <row r="896" spans="2:18" ht="15" customHeight="1" x14ac:dyDescent="0.2">
      <c r="B896" s="256"/>
      <c r="C896" s="513"/>
      <c r="D896" s="516">
        <f t="shared" si="39"/>
        <v>0</v>
      </c>
      <c r="I896" s="256"/>
      <c r="J896" s="513"/>
      <c r="K896" s="516">
        <f t="shared" si="40"/>
        <v>0</v>
      </c>
      <c r="P896" s="256"/>
      <c r="Q896" s="513"/>
      <c r="R896" s="516">
        <f t="shared" si="41"/>
        <v>0</v>
      </c>
    </row>
    <row r="897" spans="2:18" ht="15" customHeight="1" x14ac:dyDescent="0.2">
      <c r="B897" s="256"/>
      <c r="C897" s="513"/>
      <c r="D897" s="516">
        <f t="shared" si="39"/>
        <v>0</v>
      </c>
      <c r="I897" s="256"/>
      <c r="J897" s="513"/>
      <c r="K897" s="516">
        <f t="shared" si="40"/>
        <v>0</v>
      </c>
      <c r="P897" s="256"/>
      <c r="Q897" s="513"/>
      <c r="R897" s="516">
        <f t="shared" si="41"/>
        <v>0</v>
      </c>
    </row>
    <row r="898" spans="2:18" ht="15" customHeight="1" x14ac:dyDescent="0.2">
      <c r="B898" s="256"/>
      <c r="C898" s="513"/>
      <c r="D898" s="516">
        <f t="shared" si="39"/>
        <v>0</v>
      </c>
      <c r="I898" s="256"/>
      <c r="J898" s="513"/>
      <c r="K898" s="516">
        <f t="shared" si="40"/>
        <v>0</v>
      </c>
      <c r="P898" s="256"/>
      <c r="Q898" s="513"/>
      <c r="R898" s="516">
        <f t="shared" si="41"/>
        <v>0</v>
      </c>
    </row>
    <row r="899" spans="2:18" ht="15" customHeight="1" x14ac:dyDescent="0.2">
      <c r="B899" s="256"/>
      <c r="C899" s="513"/>
      <c r="D899" s="516">
        <f t="shared" si="39"/>
        <v>0</v>
      </c>
      <c r="I899" s="256"/>
      <c r="J899" s="513"/>
      <c r="K899" s="516">
        <f t="shared" si="40"/>
        <v>0</v>
      </c>
      <c r="P899" s="256"/>
      <c r="Q899" s="513"/>
      <c r="R899" s="516">
        <f t="shared" si="41"/>
        <v>0</v>
      </c>
    </row>
    <row r="900" spans="2:18" ht="15" customHeight="1" x14ac:dyDescent="0.2">
      <c r="B900" s="256"/>
      <c r="C900" s="513"/>
      <c r="D900" s="516">
        <f t="shared" si="39"/>
        <v>0</v>
      </c>
      <c r="I900" s="256"/>
      <c r="J900" s="513"/>
      <c r="K900" s="516">
        <f t="shared" si="40"/>
        <v>0</v>
      </c>
      <c r="P900" s="256"/>
      <c r="Q900" s="513"/>
      <c r="R900" s="516">
        <f t="shared" si="41"/>
        <v>0</v>
      </c>
    </row>
    <row r="901" spans="2:18" ht="15" customHeight="1" x14ac:dyDescent="0.2">
      <c r="B901" s="256"/>
      <c r="C901" s="513"/>
      <c r="D901" s="516">
        <f t="shared" si="39"/>
        <v>0</v>
      </c>
      <c r="I901" s="256"/>
      <c r="J901" s="513"/>
      <c r="K901" s="516">
        <f t="shared" si="40"/>
        <v>0</v>
      </c>
      <c r="P901" s="256"/>
      <c r="Q901" s="513"/>
      <c r="R901" s="516">
        <f t="shared" si="41"/>
        <v>0</v>
      </c>
    </row>
    <row r="902" spans="2:18" ht="15" customHeight="1" x14ac:dyDescent="0.2">
      <c r="B902" s="256"/>
      <c r="C902" s="513"/>
      <c r="D902" s="516">
        <f t="shared" si="39"/>
        <v>0</v>
      </c>
      <c r="I902" s="256"/>
      <c r="J902" s="513"/>
      <c r="K902" s="516">
        <f t="shared" si="40"/>
        <v>0</v>
      </c>
      <c r="P902" s="256"/>
      <c r="Q902" s="513"/>
      <c r="R902" s="516">
        <f t="shared" si="41"/>
        <v>0</v>
      </c>
    </row>
    <row r="903" spans="2:18" ht="15" customHeight="1" x14ac:dyDescent="0.2">
      <c r="B903" s="256"/>
      <c r="C903" s="513"/>
      <c r="D903" s="516">
        <f t="shared" si="39"/>
        <v>0</v>
      </c>
      <c r="I903" s="256"/>
      <c r="J903" s="513"/>
      <c r="K903" s="516">
        <f t="shared" si="40"/>
        <v>0</v>
      </c>
      <c r="P903" s="256"/>
      <c r="Q903" s="513"/>
      <c r="R903" s="516">
        <f t="shared" si="41"/>
        <v>0</v>
      </c>
    </row>
    <row r="904" spans="2:18" ht="15" customHeight="1" x14ac:dyDescent="0.2">
      <c r="B904" s="256"/>
      <c r="C904" s="513"/>
      <c r="D904" s="516">
        <f t="shared" si="39"/>
        <v>0</v>
      </c>
      <c r="I904" s="256"/>
      <c r="J904" s="513"/>
      <c r="K904" s="516">
        <f t="shared" si="40"/>
        <v>0</v>
      </c>
      <c r="P904" s="256"/>
      <c r="Q904" s="513"/>
      <c r="R904" s="516">
        <f t="shared" si="41"/>
        <v>0</v>
      </c>
    </row>
    <row r="905" spans="2:18" ht="15" customHeight="1" x14ac:dyDescent="0.2">
      <c r="B905" s="256"/>
      <c r="C905" s="513"/>
      <c r="D905" s="516">
        <f t="shared" si="39"/>
        <v>0</v>
      </c>
      <c r="I905" s="256"/>
      <c r="J905" s="513"/>
      <c r="K905" s="516">
        <f t="shared" si="40"/>
        <v>0</v>
      </c>
      <c r="P905" s="256"/>
      <c r="Q905" s="513"/>
      <c r="R905" s="516">
        <f t="shared" si="41"/>
        <v>0</v>
      </c>
    </row>
    <row r="906" spans="2:18" ht="15" customHeight="1" x14ac:dyDescent="0.2">
      <c r="B906" s="256"/>
      <c r="C906" s="513"/>
      <c r="D906" s="516">
        <f t="shared" si="39"/>
        <v>0</v>
      </c>
      <c r="I906" s="256"/>
      <c r="J906" s="513"/>
      <c r="K906" s="516">
        <f t="shared" si="40"/>
        <v>0</v>
      </c>
      <c r="P906" s="256"/>
      <c r="Q906" s="513"/>
      <c r="R906" s="516">
        <f t="shared" si="41"/>
        <v>0</v>
      </c>
    </row>
    <row r="907" spans="2:18" ht="15" customHeight="1" x14ac:dyDescent="0.2">
      <c r="B907" s="256"/>
      <c r="C907" s="513"/>
      <c r="D907" s="516">
        <f t="shared" si="39"/>
        <v>0</v>
      </c>
      <c r="I907" s="256"/>
      <c r="J907" s="513"/>
      <c r="K907" s="516">
        <f t="shared" si="40"/>
        <v>0</v>
      </c>
      <c r="P907" s="256"/>
      <c r="Q907" s="513"/>
      <c r="R907" s="516">
        <f t="shared" si="41"/>
        <v>0</v>
      </c>
    </row>
    <row r="908" spans="2:18" ht="15" customHeight="1" x14ac:dyDescent="0.2">
      <c r="B908" s="256"/>
      <c r="C908" s="513"/>
      <c r="D908" s="516">
        <f t="shared" si="39"/>
        <v>0</v>
      </c>
      <c r="I908" s="256"/>
      <c r="J908" s="513"/>
      <c r="K908" s="516">
        <f t="shared" si="40"/>
        <v>0</v>
      </c>
      <c r="P908" s="256"/>
      <c r="Q908" s="513"/>
      <c r="R908" s="516">
        <f t="shared" si="41"/>
        <v>0</v>
      </c>
    </row>
    <row r="909" spans="2:18" ht="15" customHeight="1" x14ac:dyDescent="0.2">
      <c r="B909" s="256"/>
      <c r="C909" s="513"/>
      <c r="D909" s="516">
        <f t="shared" si="39"/>
        <v>0</v>
      </c>
      <c r="I909" s="256"/>
      <c r="J909" s="513"/>
      <c r="K909" s="516">
        <f t="shared" si="40"/>
        <v>0</v>
      </c>
      <c r="P909" s="256"/>
      <c r="Q909" s="513"/>
      <c r="R909" s="516">
        <f t="shared" si="41"/>
        <v>0</v>
      </c>
    </row>
    <row r="910" spans="2:18" ht="15" customHeight="1" x14ac:dyDescent="0.2">
      <c r="B910" s="256"/>
      <c r="C910" s="513"/>
      <c r="D910" s="516">
        <f t="shared" si="39"/>
        <v>0</v>
      </c>
      <c r="I910" s="256"/>
      <c r="J910" s="513"/>
      <c r="K910" s="516">
        <f t="shared" si="40"/>
        <v>0</v>
      </c>
      <c r="P910" s="256"/>
      <c r="Q910" s="513"/>
      <c r="R910" s="516">
        <f t="shared" si="41"/>
        <v>0</v>
      </c>
    </row>
    <row r="911" spans="2:18" ht="15" customHeight="1" x14ac:dyDescent="0.2">
      <c r="B911" s="256"/>
      <c r="C911" s="513"/>
      <c r="D911" s="516">
        <f t="shared" si="39"/>
        <v>0</v>
      </c>
      <c r="I911" s="256"/>
      <c r="J911" s="513"/>
      <c r="K911" s="516">
        <f t="shared" si="40"/>
        <v>0</v>
      </c>
      <c r="P911" s="256"/>
      <c r="Q911" s="513"/>
      <c r="R911" s="516">
        <f t="shared" si="41"/>
        <v>0</v>
      </c>
    </row>
    <row r="912" spans="2:18" ht="15" customHeight="1" x14ac:dyDescent="0.2">
      <c r="B912" s="256"/>
      <c r="C912" s="513"/>
      <c r="D912" s="516">
        <f t="shared" si="39"/>
        <v>0</v>
      </c>
      <c r="I912" s="256"/>
      <c r="J912" s="513"/>
      <c r="K912" s="516">
        <f t="shared" si="40"/>
        <v>0</v>
      </c>
      <c r="P912" s="256"/>
      <c r="Q912" s="513"/>
      <c r="R912" s="516">
        <f t="shared" si="41"/>
        <v>0</v>
      </c>
    </row>
    <row r="913" spans="2:18" ht="15" customHeight="1" x14ac:dyDescent="0.2">
      <c r="B913" s="256"/>
      <c r="C913" s="513"/>
      <c r="D913" s="516">
        <f t="shared" si="39"/>
        <v>0</v>
      </c>
      <c r="I913" s="256"/>
      <c r="J913" s="513"/>
      <c r="K913" s="516">
        <f t="shared" si="40"/>
        <v>0</v>
      </c>
      <c r="P913" s="256"/>
      <c r="Q913" s="513"/>
      <c r="R913" s="516">
        <f t="shared" si="41"/>
        <v>0</v>
      </c>
    </row>
    <row r="914" spans="2:18" ht="15" customHeight="1" x14ac:dyDescent="0.2">
      <c r="B914" s="256"/>
      <c r="C914" s="513"/>
      <c r="D914" s="516">
        <f t="shared" ref="D914:D977" si="42">C914/1000</f>
        <v>0</v>
      </c>
      <c r="I914" s="256"/>
      <c r="J914" s="513"/>
      <c r="K914" s="516">
        <f t="shared" ref="K914:K977" si="43">J914/1000</f>
        <v>0</v>
      </c>
      <c r="P914" s="256"/>
      <c r="Q914" s="513"/>
      <c r="R914" s="516">
        <f t="shared" ref="R914:R977" si="44">Q914/1000</f>
        <v>0</v>
      </c>
    </row>
    <row r="915" spans="2:18" ht="15" customHeight="1" x14ac:dyDescent="0.2">
      <c r="B915" s="256"/>
      <c r="C915" s="513"/>
      <c r="D915" s="516">
        <f t="shared" si="42"/>
        <v>0</v>
      </c>
      <c r="I915" s="256"/>
      <c r="J915" s="513"/>
      <c r="K915" s="516">
        <f t="shared" si="43"/>
        <v>0</v>
      </c>
      <c r="P915" s="256"/>
      <c r="Q915" s="513"/>
      <c r="R915" s="516">
        <f t="shared" si="44"/>
        <v>0</v>
      </c>
    </row>
    <row r="916" spans="2:18" ht="15" customHeight="1" x14ac:dyDescent="0.2">
      <c r="B916" s="256"/>
      <c r="C916" s="513"/>
      <c r="D916" s="516">
        <f t="shared" si="42"/>
        <v>0</v>
      </c>
      <c r="I916" s="256"/>
      <c r="J916" s="513"/>
      <c r="K916" s="516">
        <f t="shared" si="43"/>
        <v>0</v>
      </c>
      <c r="P916" s="256"/>
      <c r="Q916" s="513"/>
      <c r="R916" s="516">
        <f t="shared" si="44"/>
        <v>0</v>
      </c>
    </row>
    <row r="917" spans="2:18" ht="15" customHeight="1" x14ac:dyDescent="0.2">
      <c r="B917" s="256"/>
      <c r="C917" s="513"/>
      <c r="D917" s="516">
        <f t="shared" si="42"/>
        <v>0</v>
      </c>
      <c r="I917" s="256"/>
      <c r="J917" s="513"/>
      <c r="K917" s="516">
        <f t="shared" si="43"/>
        <v>0</v>
      </c>
      <c r="P917" s="256"/>
      <c r="Q917" s="513"/>
      <c r="R917" s="516">
        <f t="shared" si="44"/>
        <v>0</v>
      </c>
    </row>
    <row r="918" spans="2:18" ht="15" customHeight="1" x14ac:dyDescent="0.2">
      <c r="B918" s="256"/>
      <c r="C918" s="513"/>
      <c r="D918" s="516">
        <f t="shared" si="42"/>
        <v>0</v>
      </c>
      <c r="I918" s="256"/>
      <c r="J918" s="513"/>
      <c r="K918" s="516">
        <f t="shared" si="43"/>
        <v>0</v>
      </c>
      <c r="P918" s="256"/>
      <c r="Q918" s="513"/>
      <c r="R918" s="516">
        <f t="shared" si="44"/>
        <v>0</v>
      </c>
    </row>
    <row r="919" spans="2:18" ht="15" customHeight="1" x14ac:dyDescent="0.2">
      <c r="B919" s="256"/>
      <c r="C919" s="513"/>
      <c r="D919" s="516">
        <f t="shared" si="42"/>
        <v>0</v>
      </c>
      <c r="I919" s="256"/>
      <c r="J919" s="513"/>
      <c r="K919" s="516">
        <f t="shared" si="43"/>
        <v>0</v>
      </c>
      <c r="P919" s="256"/>
      <c r="Q919" s="513"/>
      <c r="R919" s="516">
        <f t="shared" si="44"/>
        <v>0</v>
      </c>
    </row>
    <row r="920" spans="2:18" ht="15" customHeight="1" x14ac:dyDescent="0.2">
      <c r="B920" s="256"/>
      <c r="C920" s="513"/>
      <c r="D920" s="516">
        <f t="shared" si="42"/>
        <v>0</v>
      </c>
      <c r="I920" s="256"/>
      <c r="J920" s="513"/>
      <c r="K920" s="516">
        <f t="shared" si="43"/>
        <v>0</v>
      </c>
      <c r="P920" s="256"/>
      <c r="Q920" s="513"/>
      <c r="R920" s="516">
        <f t="shared" si="44"/>
        <v>0</v>
      </c>
    </row>
    <row r="921" spans="2:18" ht="15" customHeight="1" x14ac:dyDescent="0.2">
      <c r="B921" s="256"/>
      <c r="C921" s="513"/>
      <c r="D921" s="516">
        <f t="shared" si="42"/>
        <v>0</v>
      </c>
      <c r="I921" s="256"/>
      <c r="J921" s="513"/>
      <c r="K921" s="516">
        <f t="shared" si="43"/>
        <v>0</v>
      </c>
      <c r="P921" s="256"/>
      <c r="Q921" s="513"/>
      <c r="R921" s="516">
        <f t="shared" si="44"/>
        <v>0</v>
      </c>
    </row>
    <row r="922" spans="2:18" ht="15" customHeight="1" x14ac:dyDescent="0.2">
      <c r="B922" s="256"/>
      <c r="C922" s="513"/>
      <c r="D922" s="516">
        <f t="shared" si="42"/>
        <v>0</v>
      </c>
      <c r="I922" s="256"/>
      <c r="J922" s="513"/>
      <c r="K922" s="516">
        <f t="shared" si="43"/>
        <v>0</v>
      </c>
      <c r="P922" s="256"/>
      <c r="Q922" s="513"/>
      <c r="R922" s="516">
        <f t="shared" si="44"/>
        <v>0</v>
      </c>
    </row>
    <row r="923" spans="2:18" ht="15" customHeight="1" x14ac:dyDescent="0.2">
      <c r="B923" s="256"/>
      <c r="C923" s="513"/>
      <c r="D923" s="516">
        <f t="shared" si="42"/>
        <v>0</v>
      </c>
      <c r="I923" s="256"/>
      <c r="J923" s="513"/>
      <c r="K923" s="516">
        <f t="shared" si="43"/>
        <v>0</v>
      </c>
      <c r="P923" s="256"/>
      <c r="Q923" s="513"/>
      <c r="R923" s="516">
        <f t="shared" si="44"/>
        <v>0</v>
      </c>
    </row>
    <row r="924" spans="2:18" ht="15" customHeight="1" x14ac:dyDescent="0.2">
      <c r="B924" s="256"/>
      <c r="C924" s="513"/>
      <c r="D924" s="516">
        <f t="shared" si="42"/>
        <v>0</v>
      </c>
      <c r="I924" s="256"/>
      <c r="J924" s="513"/>
      <c r="K924" s="516">
        <f t="shared" si="43"/>
        <v>0</v>
      </c>
      <c r="P924" s="256"/>
      <c r="Q924" s="513"/>
      <c r="R924" s="516">
        <f t="shared" si="44"/>
        <v>0</v>
      </c>
    </row>
    <row r="925" spans="2:18" ht="15" customHeight="1" x14ac:dyDescent="0.2">
      <c r="B925" s="256"/>
      <c r="C925" s="513"/>
      <c r="D925" s="516">
        <f t="shared" si="42"/>
        <v>0</v>
      </c>
      <c r="I925" s="256"/>
      <c r="J925" s="513"/>
      <c r="K925" s="516">
        <f t="shared" si="43"/>
        <v>0</v>
      </c>
      <c r="P925" s="256"/>
      <c r="Q925" s="513"/>
      <c r="R925" s="516">
        <f t="shared" si="44"/>
        <v>0</v>
      </c>
    </row>
    <row r="926" spans="2:18" ht="15" customHeight="1" x14ac:dyDescent="0.2">
      <c r="B926" s="256"/>
      <c r="C926" s="513"/>
      <c r="D926" s="516">
        <f t="shared" si="42"/>
        <v>0</v>
      </c>
      <c r="I926" s="256"/>
      <c r="J926" s="513"/>
      <c r="K926" s="516">
        <f t="shared" si="43"/>
        <v>0</v>
      </c>
      <c r="P926" s="256"/>
      <c r="Q926" s="513"/>
      <c r="R926" s="516">
        <f t="shared" si="44"/>
        <v>0</v>
      </c>
    </row>
    <row r="927" spans="2:18" ht="15" customHeight="1" x14ac:dyDescent="0.2">
      <c r="B927" s="256"/>
      <c r="C927" s="513"/>
      <c r="D927" s="516">
        <f t="shared" si="42"/>
        <v>0</v>
      </c>
      <c r="I927" s="256"/>
      <c r="J927" s="513"/>
      <c r="K927" s="516">
        <f t="shared" si="43"/>
        <v>0</v>
      </c>
      <c r="P927" s="256"/>
      <c r="Q927" s="513"/>
      <c r="R927" s="516">
        <f t="shared" si="44"/>
        <v>0</v>
      </c>
    </row>
    <row r="928" spans="2:18" ht="15" customHeight="1" x14ac:dyDescent="0.2">
      <c r="B928" s="256"/>
      <c r="C928" s="513"/>
      <c r="D928" s="516">
        <f t="shared" si="42"/>
        <v>0</v>
      </c>
      <c r="I928" s="256"/>
      <c r="J928" s="513"/>
      <c r="K928" s="516">
        <f t="shared" si="43"/>
        <v>0</v>
      </c>
      <c r="P928" s="256"/>
      <c r="Q928" s="513"/>
      <c r="R928" s="516">
        <f t="shared" si="44"/>
        <v>0</v>
      </c>
    </row>
    <row r="929" spans="2:18" ht="15" customHeight="1" x14ac:dyDescent="0.2">
      <c r="B929" s="256"/>
      <c r="C929" s="513"/>
      <c r="D929" s="516">
        <f t="shared" si="42"/>
        <v>0</v>
      </c>
      <c r="I929" s="256"/>
      <c r="J929" s="513"/>
      <c r="K929" s="516">
        <f t="shared" si="43"/>
        <v>0</v>
      </c>
      <c r="P929" s="256"/>
      <c r="Q929" s="513"/>
      <c r="R929" s="516">
        <f t="shared" si="44"/>
        <v>0</v>
      </c>
    </row>
    <row r="930" spans="2:18" ht="15" customHeight="1" x14ac:dyDescent="0.2">
      <c r="B930" s="256"/>
      <c r="C930" s="513"/>
      <c r="D930" s="516">
        <f t="shared" si="42"/>
        <v>0</v>
      </c>
      <c r="I930" s="256"/>
      <c r="J930" s="513"/>
      <c r="K930" s="516">
        <f t="shared" si="43"/>
        <v>0</v>
      </c>
      <c r="P930" s="256"/>
      <c r="Q930" s="513"/>
      <c r="R930" s="516">
        <f t="shared" si="44"/>
        <v>0</v>
      </c>
    </row>
    <row r="931" spans="2:18" ht="15" customHeight="1" x14ac:dyDescent="0.2">
      <c r="B931" s="256"/>
      <c r="C931" s="513"/>
      <c r="D931" s="516">
        <f t="shared" si="42"/>
        <v>0</v>
      </c>
      <c r="I931" s="256"/>
      <c r="J931" s="513"/>
      <c r="K931" s="516">
        <f t="shared" si="43"/>
        <v>0</v>
      </c>
      <c r="P931" s="256"/>
      <c r="Q931" s="513"/>
      <c r="R931" s="516">
        <f t="shared" si="44"/>
        <v>0</v>
      </c>
    </row>
    <row r="932" spans="2:18" ht="15" customHeight="1" x14ac:dyDescent="0.2">
      <c r="B932" s="256"/>
      <c r="C932" s="513"/>
      <c r="D932" s="516">
        <f t="shared" si="42"/>
        <v>0</v>
      </c>
      <c r="I932" s="256"/>
      <c r="J932" s="513"/>
      <c r="K932" s="516">
        <f t="shared" si="43"/>
        <v>0</v>
      </c>
      <c r="P932" s="256"/>
      <c r="Q932" s="513"/>
      <c r="R932" s="516">
        <f t="shared" si="44"/>
        <v>0</v>
      </c>
    </row>
    <row r="933" spans="2:18" ht="15" customHeight="1" x14ac:dyDescent="0.2">
      <c r="B933" s="256"/>
      <c r="C933" s="513"/>
      <c r="D933" s="516">
        <f t="shared" si="42"/>
        <v>0</v>
      </c>
      <c r="I933" s="256"/>
      <c r="J933" s="513"/>
      <c r="K933" s="516">
        <f t="shared" si="43"/>
        <v>0</v>
      </c>
      <c r="P933" s="256"/>
      <c r="Q933" s="513"/>
      <c r="R933" s="516">
        <f t="shared" si="44"/>
        <v>0</v>
      </c>
    </row>
    <row r="934" spans="2:18" ht="15" customHeight="1" x14ac:dyDescent="0.2">
      <c r="B934" s="256"/>
      <c r="C934" s="513"/>
      <c r="D934" s="516">
        <f t="shared" si="42"/>
        <v>0</v>
      </c>
      <c r="I934" s="256"/>
      <c r="J934" s="513"/>
      <c r="K934" s="516">
        <f t="shared" si="43"/>
        <v>0</v>
      </c>
      <c r="P934" s="256"/>
      <c r="Q934" s="513"/>
      <c r="R934" s="516">
        <f t="shared" si="44"/>
        <v>0</v>
      </c>
    </row>
    <row r="935" spans="2:18" ht="15" customHeight="1" x14ac:dyDescent="0.2">
      <c r="B935" s="256"/>
      <c r="C935" s="513"/>
      <c r="D935" s="516">
        <f t="shared" si="42"/>
        <v>0</v>
      </c>
      <c r="I935" s="256"/>
      <c r="J935" s="513"/>
      <c r="K935" s="516">
        <f t="shared" si="43"/>
        <v>0</v>
      </c>
      <c r="P935" s="256"/>
      <c r="Q935" s="513"/>
      <c r="R935" s="516">
        <f t="shared" si="44"/>
        <v>0</v>
      </c>
    </row>
    <row r="936" spans="2:18" ht="15" customHeight="1" x14ac:dyDescent="0.2">
      <c r="B936" s="256"/>
      <c r="C936" s="513"/>
      <c r="D936" s="516">
        <f t="shared" si="42"/>
        <v>0</v>
      </c>
      <c r="I936" s="256"/>
      <c r="J936" s="513"/>
      <c r="K936" s="516">
        <f t="shared" si="43"/>
        <v>0</v>
      </c>
      <c r="P936" s="256"/>
      <c r="Q936" s="513"/>
      <c r="R936" s="516">
        <f t="shared" si="44"/>
        <v>0</v>
      </c>
    </row>
    <row r="937" spans="2:18" ht="15" customHeight="1" x14ac:dyDescent="0.2">
      <c r="B937" s="256"/>
      <c r="C937" s="513"/>
      <c r="D937" s="516">
        <f t="shared" si="42"/>
        <v>0</v>
      </c>
      <c r="I937" s="256"/>
      <c r="J937" s="513"/>
      <c r="K937" s="516">
        <f t="shared" si="43"/>
        <v>0</v>
      </c>
      <c r="P937" s="256"/>
      <c r="Q937" s="513"/>
      <c r="R937" s="516">
        <f t="shared" si="44"/>
        <v>0</v>
      </c>
    </row>
    <row r="938" spans="2:18" ht="15" customHeight="1" x14ac:dyDescent="0.2">
      <c r="B938" s="256"/>
      <c r="C938" s="513"/>
      <c r="D938" s="516">
        <f t="shared" si="42"/>
        <v>0</v>
      </c>
      <c r="I938" s="256"/>
      <c r="J938" s="513"/>
      <c r="K938" s="516">
        <f t="shared" si="43"/>
        <v>0</v>
      </c>
      <c r="P938" s="256"/>
      <c r="Q938" s="513"/>
      <c r="R938" s="516">
        <f t="shared" si="44"/>
        <v>0</v>
      </c>
    </row>
    <row r="939" spans="2:18" ht="15" customHeight="1" x14ac:dyDescent="0.2">
      <c r="B939" s="256"/>
      <c r="C939" s="513"/>
      <c r="D939" s="516">
        <f t="shared" si="42"/>
        <v>0</v>
      </c>
      <c r="I939" s="256"/>
      <c r="J939" s="513"/>
      <c r="K939" s="516">
        <f t="shared" si="43"/>
        <v>0</v>
      </c>
      <c r="P939" s="256"/>
      <c r="Q939" s="513"/>
      <c r="R939" s="516">
        <f t="shared" si="44"/>
        <v>0</v>
      </c>
    </row>
    <row r="940" spans="2:18" ht="15" customHeight="1" x14ac:dyDescent="0.2">
      <c r="B940" s="256"/>
      <c r="C940" s="513"/>
      <c r="D940" s="516">
        <f t="shared" si="42"/>
        <v>0</v>
      </c>
      <c r="I940" s="256"/>
      <c r="J940" s="513"/>
      <c r="K940" s="516">
        <f t="shared" si="43"/>
        <v>0</v>
      </c>
      <c r="P940" s="256"/>
      <c r="Q940" s="513"/>
      <c r="R940" s="516">
        <f t="shared" si="44"/>
        <v>0</v>
      </c>
    </row>
    <row r="941" spans="2:18" ht="15" customHeight="1" x14ac:dyDescent="0.2">
      <c r="B941" s="256"/>
      <c r="C941" s="513"/>
      <c r="D941" s="516">
        <f t="shared" si="42"/>
        <v>0</v>
      </c>
      <c r="I941" s="256"/>
      <c r="J941" s="513"/>
      <c r="K941" s="516">
        <f t="shared" si="43"/>
        <v>0</v>
      </c>
      <c r="P941" s="256"/>
      <c r="Q941" s="513"/>
      <c r="R941" s="516">
        <f t="shared" si="44"/>
        <v>0</v>
      </c>
    </row>
    <row r="942" spans="2:18" ht="15" customHeight="1" x14ac:dyDescent="0.2">
      <c r="B942" s="256"/>
      <c r="C942" s="513"/>
      <c r="D942" s="516">
        <f t="shared" si="42"/>
        <v>0</v>
      </c>
      <c r="I942" s="256"/>
      <c r="J942" s="513"/>
      <c r="K942" s="516">
        <f t="shared" si="43"/>
        <v>0</v>
      </c>
      <c r="P942" s="256"/>
      <c r="Q942" s="513"/>
      <c r="R942" s="516">
        <f t="shared" si="44"/>
        <v>0</v>
      </c>
    </row>
    <row r="943" spans="2:18" ht="15" customHeight="1" x14ac:dyDescent="0.2">
      <c r="B943" s="256"/>
      <c r="C943" s="513"/>
      <c r="D943" s="516">
        <f t="shared" si="42"/>
        <v>0</v>
      </c>
      <c r="I943" s="256"/>
      <c r="J943" s="513"/>
      <c r="K943" s="516">
        <f t="shared" si="43"/>
        <v>0</v>
      </c>
      <c r="P943" s="256"/>
      <c r="Q943" s="513"/>
      <c r="R943" s="516">
        <f t="shared" si="44"/>
        <v>0</v>
      </c>
    </row>
    <row r="944" spans="2:18" ht="15" customHeight="1" x14ac:dyDescent="0.2">
      <c r="B944" s="256"/>
      <c r="C944" s="513"/>
      <c r="D944" s="516">
        <f t="shared" si="42"/>
        <v>0</v>
      </c>
      <c r="I944" s="256"/>
      <c r="J944" s="513"/>
      <c r="K944" s="516">
        <f t="shared" si="43"/>
        <v>0</v>
      </c>
      <c r="P944" s="256"/>
      <c r="Q944" s="513"/>
      <c r="R944" s="516">
        <f t="shared" si="44"/>
        <v>0</v>
      </c>
    </row>
    <row r="945" spans="2:18" ht="15" customHeight="1" x14ac:dyDescent="0.2">
      <c r="B945" s="256"/>
      <c r="C945" s="513"/>
      <c r="D945" s="516">
        <f t="shared" si="42"/>
        <v>0</v>
      </c>
      <c r="I945" s="256"/>
      <c r="J945" s="513"/>
      <c r="K945" s="516">
        <f t="shared" si="43"/>
        <v>0</v>
      </c>
      <c r="P945" s="256"/>
      <c r="Q945" s="513"/>
      <c r="R945" s="516">
        <f t="shared" si="44"/>
        <v>0</v>
      </c>
    </row>
    <row r="946" spans="2:18" ht="15" customHeight="1" x14ac:dyDescent="0.2">
      <c r="B946" s="256"/>
      <c r="C946" s="513"/>
      <c r="D946" s="516">
        <f t="shared" si="42"/>
        <v>0</v>
      </c>
      <c r="I946" s="256"/>
      <c r="J946" s="513"/>
      <c r="K946" s="516">
        <f t="shared" si="43"/>
        <v>0</v>
      </c>
      <c r="P946" s="256"/>
      <c r="Q946" s="513"/>
      <c r="R946" s="516">
        <f t="shared" si="44"/>
        <v>0</v>
      </c>
    </row>
    <row r="947" spans="2:18" ht="15" customHeight="1" x14ac:dyDescent="0.2">
      <c r="B947" s="256"/>
      <c r="C947" s="513"/>
      <c r="D947" s="516">
        <f t="shared" si="42"/>
        <v>0</v>
      </c>
      <c r="I947" s="256"/>
      <c r="J947" s="513"/>
      <c r="K947" s="516">
        <f t="shared" si="43"/>
        <v>0</v>
      </c>
      <c r="P947" s="256"/>
      <c r="Q947" s="513"/>
      <c r="R947" s="516">
        <f t="shared" si="44"/>
        <v>0</v>
      </c>
    </row>
    <row r="948" spans="2:18" ht="15" customHeight="1" x14ac:dyDescent="0.2">
      <c r="B948" s="256"/>
      <c r="C948" s="513"/>
      <c r="D948" s="516">
        <f t="shared" si="42"/>
        <v>0</v>
      </c>
      <c r="I948" s="256"/>
      <c r="J948" s="513"/>
      <c r="K948" s="516">
        <f t="shared" si="43"/>
        <v>0</v>
      </c>
      <c r="P948" s="256"/>
      <c r="Q948" s="513"/>
      <c r="R948" s="516">
        <f t="shared" si="44"/>
        <v>0</v>
      </c>
    </row>
    <row r="949" spans="2:18" ht="15" customHeight="1" x14ac:dyDescent="0.2">
      <c r="B949" s="256"/>
      <c r="C949" s="513"/>
      <c r="D949" s="516">
        <f t="shared" si="42"/>
        <v>0</v>
      </c>
      <c r="I949" s="256"/>
      <c r="J949" s="513"/>
      <c r="K949" s="516">
        <f t="shared" si="43"/>
        <v>0</v>
      </c>
      <c r="P949" s="256"/>
      <c r="Q949" s="513"/>
      <c r="R949" s="516">
        <f t="shared" si="44"/>
        <v>0</v>
      </c>
    </row>
    <row r="950" spans="2:18" ht="15" customHeight="1" x14ac:dyDescent="0.2">
      <c r="B950" s="256"/>
      <c r="C950" s="513"/>
      <c r="D950" s="516">
        <f t="shared" si="42"/>
        <v>0</v>
      </c>
      <c r="I950" s="256"/>
      <c r="J950" s="513"/>
      <c r="K950" s="516">
        <f t="shared" si="43"/>
        <v>0</v>
      </c>
      <c r="P950" s="256"/>
      <c r="Q950" s="513"/>
      <c r="R950" s="516">
        <f t="shared" si="44"/>
        <v>0</v>
      </c>
    </row>
    <row r="951" spans="2:18" ht="15" customHeight="1" x14ac:dyDescent="0.2">
      <c r="B951" s="256"/>
      <c r="C951" s="513"/>
      <c r="D951" s="516">
        <f t="shared" si="42"/>
        <v>0</v>
      </c>
      <c r="I951" s="256"/>
      <c r="J951" s="513"/>
      <c r="K951" s="516">
        <f t="shared" si="43"/>
        <v>0</v>
      </c>
      <c r="P951" s="256"/>
      <c r="Q951" s="513"/>
      <c r="R951" s="516">
        <f t="shared" si="44"/>
        <v>0</v>
      </c>
    </row>
    <row r="952" spans="2:18" ht="15" customHeight="1" x14ac:dyDescent="0.2">
      <c r="B952" s="256"/>
      <c r="C952" s="513"/>
      <c r="D952" s="516">
        <f t="shared" si="42"/>
        <v>0</v>
      </c>
      <c r="I952" s="256"/>
      <c r="J952" s="513"/>
      <c r="K952" s="516">
        <f t="shared" si="43"/>
        <v>0</v>
      </c>
      <c r="P952" s="256"/>
      <c r="Q952" s="513"/>
      <c r="R952" s="516">
        <f t="shared" si="44"/>
        <v>0</v>
      </c>
    </row>
    <row r="953" spans="2:18" ht="15" customHeight="1" x14ac:dyDescent="0.2">
      <c r="B953" s="256"/>
      <c r="C953" s="513"/>
      <c r="D953" s="516">
        <f t="shared" si="42"/>
        <v>0</v>
      </c>
      <c r="I953" s="256"/>
      <c r="J953" s="513"/>
      <c r="K953" s="516">
        <f t="shared" si="43"/>
        <v>0</v>
      </c>
      <c r="P953" s="256"/>
      <c r="Q953" s="513"/>
      <c r="R953" s="516">
        <f t="shared" si="44"/>
        <v>0</v>
      </c>
    </row>
    <row r="954" spans="2:18" ht="15" customHeight="1" x14ac:dyDescent="0.2">
      <c r="B954" s="256"/>
      <c r="C954" s="513"/>
      <c r="D954" s="516">
        <f t="shared" si="42"/>
        <v>0</v>
      </c>
      <c r="I954" s="256"/>
      <c r="J954" s="513"/>
      <c r="K954" s="516">
        <f t="shared" si="43"/>
        <v>0</v>
      </c>
      <c r="P954" s="256"/>
      <c r="Q954" s="513"/>
      <c r="R954" s="516">
        <f t="shared" si="44"/>
        <v>0</v>
      </c>
    </row>
    <row r="955" spans="2:18" ht="15" customHeight="1" x14ac:dyDescent="0.2">
      <c r="B955" s="256"/>
      <c r="C955" s="513"/>
      <c r="D955" s="516">
        <f t="shared" si="42"/>
        <v>0</v>
      </c>
      <c r="I955" s="256"/>
      <c r="J955" s="513"/>
      <c r="K955" s="516">
        <f t="shared" si="43"/>
        <v>0</v>
      </c>
      <c r="P955" s="256"/>
      <c r="Q955" s="513"/>
      <c r="R955" s="516">
        <f t="shared" si="44"/>
        <v>0</v>
      </c>
    </row>
    <row r="956" spans="2:18" ht="15" customHeight="1" x14ac:dyDescent="0.2">
      <c r="B956" s="256"/>
      <c r="C956" s="513"/>
      <c r="D956" s="516">
        <f t="shared" si="42"/>
        <v>0</v>
      </c>
      <c r="I956" s="256"/>
      <c r="J956" s="513"/>
      <c r="K956" s="516">
        <f t="shared" si="43"/>
        <v>0</v>
      </c>
      <c r="P956" s="256"/>
      <c r="Q956" s="513"/>
      <c r="R956" s="516">
        <f t="shared" si="44"/>
        <v>0</v>
      </c>
    </row>
    <row r="957" spans="2:18" ht="15" customHeight="1" x14ac:dyDescent="0.2">
      <c r="B957" s="256"/>
      <c r="C957" s="513"/>
      <c r="D957" s="516">
        <f t="shared" si="42"/>
        <v>0</v>
      </c>
      <c r="I957" s="256"/>
      <c r="J957" s="513"/>
      <c r="K957" s="516">
        <f t="shared" si="43"/>
        <v>0</v>
      </c>
      <c r="P957" s="256"/>
      <c r="Q957" s="513"/>
      <c r="R957" s="516">
        <f t="shared" si="44"/>
        <v>0</v>
      </c>
    </row>
    <row r="958" spans="2:18" ht="15" customHeight="1" x14ac:dyDescent="0.2">
      <c r="B958" s="256"/>
      <c r="C958" s="513"/>
      <c r="D958" s="516">
        <f t="shared" si="42"/>
        <v>0</v>
      </c>
      <c r="I958" s="256"/>
      <c r="J958" s="513"/>
      <c r="K958" s="516">
        <f t="shared" si="43"/>
        <v>0</v>
      </c>
      <c r="P958" s="256"/>
      <c r="Q958" s="513"/>
      <c r="R958" s="516">
        <f t="shared" si="44"/>
        <v>0</v>
      </c>
    </row>
    <row r="959" spans="2:18" ht="15" customHeight="1" x14ac:dyDescent="0.2">
      <c r="B959" s="256"/>
      <c r="C959" s="513"/>
      <c r="D959" s="516">
        <f t="shared" si="42"/>
        <v>0</v>
      </c>
      <c r="I959" s="256"/>
      <c r="J959" s="513"/>
      <c r="K959" s="516">
        <f t="shared" si="43"/>
        <v>0</v>
      </c>
      <c r="P959" s="256"/>
      <c r="Q959" s="513"/>
      <c r="R959" s="516">
        <f t="shared" si="44"/>
        <v>0</v>
      </c>
    </row>
    <row r="960" spans="2:18" ht="15" customHeight="1" x14ac:dyDescent="0.2">
      <c r="B960" s="256"/>
      <c r="C960" s="513"/>
      <c r="D960" s="516">
        <f t="shared" si="42"/>
        <v>0</v>
      </c>
      <c r="I960" s="256"/>
      <c r="J960" s="513"/>
      <c r="K960" s="516">
        <f t="shared" si="43"/>
        <v>0</v>
      </c>
      <c r="P960" s="256"/>
      <c r="Q960" s="513"/>
      <c r="R960" s="516">
        <f t="shared" si="44"/>
        <v>0</v>
      </c>
    </row>
    <row r="961" spans="2:18" ht="15" customHeight="1" x14ac:dyDescent="0.2">
      <c r="B961" s="256"/>
      <c r="C961" s="513"/>
      <c r="D961" s="516">
        <f t="shared" si="42"/>
        <v>0</v>
      </c>
      <c r="I961" s="256"/>
      <c r="J961" s="513"/>
      <c r="K961" s="516">
        <f t="shared" si="43"/>
        <v>0</v>
      </c>
      <c r="P961" s="256"/>
      <c r="Q961" s="513"/>
      <c r="R961" s="516">
        <f t="shared" si="44"/>
        <v>0</v>
      </c>
    </row>
    <row r="962" spans="2:18" ht="15" customHeight="1" x14ac:dyDescent="0.2">
      <c r="B962" s="256"/>
      <c r="C962" s="513"/>
      <c r="D962" s="516">
        <f t="shared" si="42"/>
        <v>0</v>
      </c>
      <c r="I962" s="256"/>
      <c r="J962" s="513"/>
      <c r="K962" s="516">
        <f t="shared" si="43"/>
        <v>0</v>
      </c>
      <c r="P962" s="256"/>
      <c r="Q962" s="513"/>
      <c r="R962" s="516">
        <f t="shared" si="44"/>
        <v>0</v>
      </c>
    </row>
    <row r="963" spans="2:18" ht="15" customHeight="1" x14ac:dyDescent="0.2">
      <c r="B963" s="256"/>
      <c r="C963" s="513"/>
      <c r="D963" s="516">
        <f t="shared" si="42"/>
        <v>0</v>
      </c>
      <c r="I963" s="256"/>
      <c r="J963" s="513"/>
      <c r="K963" s="516">
        <f t="shared" si="43"/>
        <v>0</v>
      </c>
      <c r="P963" s="256"/>
      <c r="Q963" s="513"/>
      <c r="R963" s="516">
        <f t="shared" si="44"/>
        <v>0</v>
      </c>
    </row>
    <row r="964" spans="2:18" ht="15" customHeight="1" x14ac:dyDescent="0.2">
      <c r="B964" s="256"/>
      <c r="C964" s="513"/>
      <c r="D964" s="516">
        <f t="shared" si="42"/>
        <v>0</v>
      </c>
      <c r="I964" s="256"/>
      <c r="J964" s="513"/>
      <c r="K964" s="516">
        <f t="shared" si="43"/>
        <v>0</v>
      </c>
      <c r="P964" s="256"/>
      <c r="Q964" s="513"/>
      <c r="R964" s="516">
        <f t="shared" si="44"/>
        <v>0</v>
      </c>
    </row>
    <row r="965" spans="2:18" ht="15" customHeight="1" x14ac:dyDescent="0.2">
      <c r="B965" s="256"/>
      <c r="C965" s="513"/>
      <c r="D965" s="516">
        <f t="shared" si="42"/>
        <v>0</v>
      </c>
      <c r="I965" s="256"/>
      <c r="J965" s="513"/>
      <c r="K965" s="516">
        <f t="shared" si="43"/>
        <v>0</v>
      </c>
      <c r="P965" s="256"/>
      <c r="Q965" s="513"/>
      <c r="R965" s="516">
        <f t="shared" si="44"/>
        <v>0</v>
      </c>
    </row>
    <row r="966" spans="2:18" ht="15" customHeight="1" x14ac:dyDescent="0.2">
      <c r="B966" s="256"/>
      <c r="C966" s="513"/>
      <c r="D966" s="516">
        <f t="shared" si="42"/>
        <v>0</v>
      </c>
      <c r="I966" s="256"/>
      <c r="J966" s="513"/>
      <c r="K966" s="516">
        <f t="shared" si="43"/>
        <v>0</v>
      </c>
      <c r="P966" s="256"/>
      <c r="Q966" s="513"/>
      <c r="R966" s="516">
        <f t="shared" si="44"/>
        <v>0</v>
      </c>
    </row>
    <row r="967" spans="2:18" ht="15" customHeight="1" x14ac:dyDescent="0.2">
      <c r="B967" s="256"/>
      <c r="C967" s="513"/>
      <c r="D967" s="516">
        <f t="shared" si="42"/>
        <v>0</v>
      </c>
      <c r="I967" s="256"/>
      <c r="J967" s="513"/>
      <c r="K967" s="516">
        <f t="shared" si="43"/>
        <v>0</v>
      </c>
      <c r="P967" s="256"/>
      <c r="Q967" s="513"/>
      <c r="R967" s="516">
        <f t="shared" si="44"/>
        <v>0</v>
      </c>
    </row>
    <row r="968" spans="2:18" ht="15" customHeight="1" x14ac:dyDescent="0.2">
      <c r="B968" s="256"/>
      <c r="C968" s="513"/>
      <c r="D968" s="516">
        <f t="shared" si="42"/>
        <v>0</v>
      </c>
      <c r="I968" s="256"/>
      <c r="J968" s="513"/>
      <c r="K968" s="516">
        <f t="shared" si="43"/>
        <v>0</v>
      </c>
      <c r="P968" s="256"/>
      <c r="Q968" s="513"/>
      <c r="R968" s="516">
        <f t="shared" si="44"/>
        <v>0</v>
      </c>
    </row>
    <row r="969" spans="2:18" ht="15" customHeight="1" x14ac:dyDescent="0.2">
      <c r="B969" s="256"/>
      <c r="C969" s="513"/>
      <c r="D969" s="516">
        <f t="shared" si="42"/>
        <v>0</v>
      </c>
      <c r="I969" s="256"/>
      <c r="J969" s="513"/>
      <c r="K969" s="516">
        <f t="shared" si="43"/>
        <v>0</v>
      </c>
      <c r="P969" s="256"/>
      <c r="Q969" s="513"/>
      <c r="R969" s="516">
        <f t="shared" si="44"/>
        <v>0</v>
      </c>
    </row>
    <row r="970" spans="2:18" ht="15" customHeight="1" x14ac:dyDescent="0.2">
      <c r="B970" s="256"/>
      <c r="C970" s="513"/>
      <c r="D970" s="516">
        <f t="shared" si="42"/>
        <v>0</v>
      </c>
      <c r="I970" s="256"/>
      <c r="J970" s="513"/>
      <c r="K970" s="516">
        <f t="shared" si="43"/>
        <v>0</v>
      </c>
      <c r="P970" s="256"/>
      <c r="Q970" s="513"/>
      <c r="R970" s="516">
        <f t="shared" si="44"/>
        <v>0</v>
      </c>
    </row>
    <row r="971" spans="2:18" ht="15" customHeight="1" x14ac:dyDescent="0.2">
      <c r="B971" s="256"/>
      <c r="C971" s="513"/>
      <c r="D971" s="516">
        <f t="shared" si="42"/>
        <v>0</v>
      </c>
      <c r="I971" s="256"/>
      <c r="J971" s="513"/>
      <c r="K971" s="516">
        <f t="shared" si="43"/>
        <v>0</v>
      </c>
      <c r="P971" s="256"/>
      <c r="Q971" s="513"/>
      <c r="R971" s="516">
        <f t="shared" si="44"/>
        <v>0</v>
      </c>
    </row>
    <row r="972" spans="2:18" ht="15" customHeight="1" x14ac:dyDescent="0.2">
      <c r="B972" s="256"/>
      <c r="C972" s="513"/>
      <c r="D972" s="516">
        <f t="shared" si="42"/>
        <v>0</v>
      </c>
      <c r="I972" s="256"/>
      <c r="J972" s="513"/>
      <c r="K972" s="516">
        <f t="shared" si="43"/>
        <v>0</v>
      </c>
      <c r="P972" s="256"/>
      <c r="Q972" s="513"/>
      <c r="R972" s="516">
        <f t="shared" si="44"/>
        <v>0</v>
      </c>
    </row>
    <row r="973" spans="2:18" ht="15" customHeight="1" x14ac:dyDescent="0.2">
      <c r="B973" s="256"/>
      <c r="C973" s="513"/>
      <c r="D973" s="516">
        <f t="shared" si="42"/>
        <v>0</v>
      </c>
      <c r="I973" s="256"/>
      <c r="J973" s="513"/>
      <c r="K973" s="516">
        <f t="shared" si="43"/>
        <v>0</v>
      </c>
      <c r="P973" s="256"/>
      <c r="Q973" s="513"/>
      <c r="R973" s="516">
        <f t="shared" si="44"/>
        <v>0</v>
      </c>
    </row>
    <row r="974" spans="2:18" ht="15" customHeight="1" x14ac:dyDescent="0.2">
      <c r="B974" s="256"/>
      <c r="C974" s="513"/>
      <c r="D974" s="516">
        <f t="shared" si="42"/>
        <v>0</v>
      </c>
      <c r="I974" s="256"/>
      <c r="J974" s="513"/>
      <c r="K974" s="516">
        <f t="shared" si="43"/>
        <v>0</v>
      </c>
      <c r="P974" s="256"/>
      <c r="Q974" s="513"/>
      <c r="R974" s="516">
        <f t="shared" si="44"/>
        <v>0</v>
      </c>
    </row>
    <row r="975" spans="2:18" ht="15" customHeight="1" x14ac:dyDescent="0.2">
      <c r="B975" s="256"/>
      <c r="C975" s="513"/>
      <c r="D975" s="516">
        <f t="shared" si="42"/>
        <v>0</v>
      </c>
      <c r="I975" s="256"/>
      <c r="J975" s="513"/>
      <c r="K975" s="516">
        <f t="shared" si="43"/>
        <v>0</v>
      </c>
      <c r="P975" s="256"/>
      <c r="Q975" s="513"/>
      <c r="R975" s="516">
        <f t="shared" si="44"/>
        <v>0</v>
      </c>
    </row>
    <row r="976" spans="2:18" ht="15" customHeight="1" x14ac:dyDescent="0.2">
      <c r="B976" s="256"/>
      <c r="C976" s="513"/>
      <c r="D976" s="516">
        <f t="shared" si="42"/>
        <v>0</v>
      </c>
      <c r="I976" s="256"/>
      <c r="J976" s="513"/>
      <c r="K976" s="516">
        <f t="shared" si="43"/>
        <v>0</v>
      </c>
      <c r="P976" s="256"/>
      <c r="Q976" s="513"/>
      <c r="R976" s="516">
        <f t="shared" si="44"/>
        <v>0</v>
      </c>
    </row>
    <row r="977" spans="2:18" ht="15" customHeight="1" x14ac:dyDescent="0.2">
      <c r="B977" s="256"/>
      <c r="C977" s="513"/>
      <c r="D977" s="516">
        <f t="shared" si="42"/>
        <v>0</v>
      </c>
      <c r="I977" s="256"/>
      <c r="J977" s="513"/>
      <c r="K977" s="516">
        <f t="shared" si="43"/>
        <v>0</v>
      </c>
      <c r="P977" s="256"/>
      <c r="Q977" s="513"/>
      <c r="R977" s="516">
        <f t="shared" si="44"/>
        <v>0</v>
      </c>
    </row>
    <row r="978" spans="2:18" ht="15" customHeight="1" x14ac:dyDescent="0.2">
      <c r="B978" s="256"/>
      <c r="C978" s="513"/>
      <c r="D978" s="516">
        <f t="shared" ref="D978:D1041" si="45">C978/1000</f>
        <v>0</v>
      </c>
      <c r="I978" s="256"/>
      <c r="J978" s="513"/>
      <c r="K978" s="516">
        <f t="shared" ref="K978:K1041" si="46">J978/1000</f>
        <v>0</v>
      </c>
      <c r="P978" s="256"/>
      <c r="Q978" s="513"/>
      <c r="R978" s="516">
        <f t="shared" ref="R978:R1041" si="47">Q978/1000</f>
        <v>0</v>
      </c>
    </row>
    <row r="979" spans="2:18" ht="15" customHeight="1" x14ac:dyDescent="0.2">
      <c r="B979" s="256"/>
      <c r="C979" s="513"/>
      <c r="D979" s="516">
        <f t="shared" si="45"/>
        <v>0</v>
      </c>
      <c r="I979" s="256"/>
      <c r="J979" s="513"/>
      <c r="K979" s="516">
        <f t="shared" si="46"/>
        <v>0</v>
      </c>
      <c r="P979" s="256"/>
      <c r="Q979" s="513"/>
      <c r="R979" s="516">
        <f t="shared" si="47"/>
        <v>0</v>
      </c>
    </row>
    <row r="980" spans="2:18" ht="15" customHeight="1" x14ac:dyDescent="0.2">
      <c r="B980" s="256"/>
      <c r="C980" s="513"/>
      <c r="D980" s="516">
        <f t="shared" si="45"/>
        <v>0</v>
      </c>
      <c r="I980" s="256"/>
      <c r="J980" s="513"/>
      <c r="K980" s="516">
        <f t="shared" si="46"/>
        <v>0</v>
      </c>
      <c r="P980" s="256"/>
      <c r="Q980" s="513"/>
      <c r="R980" s="516">
        <f t="shared" si="47"/>
        <v>0</v>
      </c>
    </row>
    <row r="981" spans="2:18" ht="15" customHeight="1" x14ac:dyDescent="0.2">
      <c r="B981" s="256"/>
      <c r="C981" s="513"/>
      <c r="D981" s="516">
        <f t="shared" si="45"/>
        <v>0</v>
      </c>
      <c r="I981" s="256"/>
      <c r="J981" s="513"/>
      <c r="K981" s="516">
        <f t="shared" si="46"/>
        <v>0</v>
      </c>
      <c r="P981" s="256"/>
      <c r="Q981" s="513"/>
      <c r="R981" s="516">
        <f t="shared" si="47"/>
        <v>0</v>
      </c>
    </row>
    <row r="982" spans="2:18" ht="15" customHeight="1" x14ac:dyDescent="0.2">
      <c r="B982" s="256"/>
      <c r="C982" s="513"/>
      <c r="D982" s="516">
        <f t="shared" si="45"/>
        <v>0</v>
      </c>
      <c r="I982" s="256"/>
      <c r="J982" s="513"/>
      <c r="K982" s="516">
        <f t="shared" si="46"/>
        <v>0</v>
      </c>
      <c r="P982" s="256"/>
      <c r="Q982" s="513"/>
      <c r="R982" s="516">
        <f t="shared" si="47"/>
        <v>0</v>
      </c>
    </row>
    <row r="983" spans="2:18" ht="15" customHeight="1" x14ac:dyDescent="0.2">
      <c r="B983" s="256"/>
      <c r="C983" s="513"/>
      <c r="D983" s="516">
        <f t="shared" si="45"/>
        <v>0</v>
      </c>
      <c r="I983" s="256"/>
      <c r="J983" s="513"/>
      <c r="K983" s="516">
        <f t="shared" si="46"/>
        <v>0</v>
      </c>
      <c r="P983" s="256"/>
      <c r="Q983" s="513"/>
      <c r="R983" s="516">
        <f t="shared" si="47"/>
        <v>0</v>
      </c>
    </row>
    <row r="984" spans="2:18" ht="15" customHeight="1" x14ac:dyDescent="0.2">
      <c r="B984" s="256"/>
      <c r="C984" s="513"/>
      <c r="D984" s="516">
        <f t="shared" si="45"/>
        <v>0</v>
      </c>
      <c r="I984" s="256"/>
      <c r="J984" s="513"/>
      <c r="K984" s="516">
        <f t="shared" si="46"/>
        <v>0</v>
      </c>
      <c r="P984" s="256"/>
      <c r="Q984" s="513"/>
      <c r="R984" s="516">
        <f t="shared" si="47"/>
        <v>0</v>
      </c>
    </row>
    <row r="985" spans="2:18" ht="15" customHeight="1" x14ac:dyDescent="0.2">
      <c r="B985" s="256"/>
      <c r="C985" s="513"/>
      <c r="D985" s="516">
        <f t="shared" si="45"/>
        <v>0</v>
      </c>
      <c r="I985" s="256"/>
      <c r="J985" s="513"/>
      <c r="K985" s="516">
        <f t="shared" si="46"/>
        <v>0</v>
      </c>
      <c r="P985" s="256"/>
      <c r="Q985" s="513"/>
      <c r="R985" s="516">
        <f t="shared" si="47"/>
        <v>0</v>
      </c>
    </row>
    <row r="986" spans="2:18" ht="15" customHeight="1" x14ac:dyDescent="0.2">
      <c r="B986" s="256"/>
      <c r="C986" s="513"/>
      <c r="D986" s="516">
        <f t="shared" si="45"/>
        <v>0</v>
      </c>
      <c r="I986" s="256"/>
      <c r="J986" s="513"/>
      <c r="K986" s="516">
        <f t="shared" si="46"/>
        <v>0</v>
      </c>
      <c r="P986" s="256"/>
      <c r="Q986" s="513"/>
      <c r="R986" s="516">
        <f t="shared" si="47"/>
        <v>0</v>
      </c>
    </row>
    <row r="987" spans="2:18" ht="15" customHeight="1" x14ac:dyDescent="0.2">
      <c r="B987" s="256"/>
      <c r="C987" s="513"/>
      <c r="D987" s="516">
        <f t="shared" si="45"/>
        <v>0</v>
      </c>
      <c r="I987" s="256"/>
      <c r="J987" s="513"/>
      <c r="K987" s="516">
        <f t="shared" si="46"/>
        <v>0</v>
      </c>
      <c r="P987" s="256"/>
      <c r="Q987" s="513"/>
      <c r="R987" s="516">
        <f t="shared" si="47"/>
        <v>0</v>
      </c>
    </row>
    <row r="988" spans="2:18" ht="15" customHeight="1" x14ac:dyDescent="0.2">
      <c r="B988" s="256"/>
      <c r="C988" s="513"/>
      <c r="D988" s="516">
        <f t="shared" si="45"/>
        <v>0</v>
      </c>
      <c r="I988" s="256"/>
      <c r="J988" s="513"/>
      <c r="K988" s="516">
        <f t="shared" si="46"/>
        <v>0</v>
      </c>
      <c r="P988" s="256"/>
      <c r="Q988" s="513"/>
      <c r="R988" s="516">
        <f t="shared" si="47"/>
        <v>0</v>
      </c>
    </row>
    <row r="989" spans="2:18" ht="15" customHeight="1" x14ac:dyDescent="0.2">
      <c r="B989" s="256"/>
      <c r="C989" s="513"/>
      <c r="D989" s="516">
        <f t="shared" si="45"/>
        <v>0</v>
      </c>
      <c r="I989" s="256"/>
      <c r="J989" s="513"/>
      <c r="K989" s="516">
        <f t="shared" si="46"/>
        <v>0</v>
      </c>
      <c r="P989" s="256"/>
      <c r="Q989" s="513"/>
      <c r="R989" s="516">
        <f t="shared" si="47"/>
        <v>0</v>
      </c>
    </row>
    <row r="990" spans="2:18" ht="15" customHeight="1" x14ac:dyDescent="0.2">
      <c r="B990" s="256"/>
      <c r="C990" s="513"/>
      <c r="D990" s="516">
        <f t="shared" si="45"/>
        <v>0</v>
      </c>
      <c r="I990" s="256"/>
      <c r="J990" s="513"/>
      <c r="K990" s="516">
        <f t="shared" si="46"/>
        <v>0</v>
      </c>
      <c r="P990" s="256"/>
      <c r="Q990" s="513"/>
      <c r="R990" s="516">
        <f t="shared" si="47"/>
        <v>0</v>
      </c>
    </row>
    <row r="991" spans="2:18" ht="15" customHeight="1" x14ac:dyDescent="0.2">
      <c r="B991" s="256"/>
      <c r="C991" s="513"/>
      <c r="D991" s="516">
        <f t="shared" si="45"/>
        <v>0</v>
      </c>
      <c r="I991" s="256"/>
      <c r="J991" s="513"/>
      <c r="K991" s="516">
        <f t="shared" si="46"/>
        <v>0</v>
      </c>
      <c r="P991" s="256"/>
      <c r="Q991" s="513"/>
      <c r="R991" s="516">
        <f t="shared" si="47"/>
        <v>0</v>
      </c>
    </row>
    <row r="992" spans="2:18" ht="15" customHeight="1" x14ac:dyDescent="0.2">
      <c r="B992" s="256"/>
      <c r="C992" s="513"/>
      <c r="D992" s="516">
        <f t="shared" si="45"/>
        <v>0</v>
      </c>
      <c r="I992" s="256"/>
      <c r="J992" s="513"/>
      <c r="K992" s="516">
        <f t="shared" si="46"/>
        <v>0</v>
      </c>
      <c r="P992" s="256"/>
      <c r="Q992" s="513"/>
      <c r="R992" s="516">
        <f t="shared" si="47"/>
        <v>0</v>
      </c>
    </row>
    <row r="993" spans="2:18" ht="15" customHeight="1" x14ac:dyDescent="0.2">
      <c r="B993" s="256"/>
      <c r="C993" s="513"/>
      <c r="D993" s="516">
        <f t="shared" si="45"/>
        <v>0</v>
      </c>
      <c r="I993" s="256"/>
      <c r="J993" s="513"/>
      <c r="K993" s="516">
        <f t="shared" si="46"/>
        <v>0</v>
      </c>
      <c r="P993" s="256"/>
      <c r="Q993" s="513"/>
      <c r="R993" s="516">
        <f t="shared" si="47"/>
        <v>0</v>
      </c>
    </row>
    <row r="994" spans="2:18" ht="15" customHeight="1" x14ac:dyDescent="0.2">
      <c r="B994" s="256"/>
      <c r="C994" s="513"/>
      <c r="D994" s="516">
        <f t="shared" si="45"/>
        <v>0</v>
      </c>
      <c r="I994" s="256"/>
      <c r="J994" s="513"/>
      <c r="K994" s="516">
        <f t="shared" si="46"/>
        <v>0</v>
      </c>
      <c r="P994" s="256"/>
      <c r="Q994" s="513"/>
      <c r="R994" s="516">
        <f t="shared" si="47"/>
        <v>0</v>
      </c>
    </row>
    <row r="995" spans="2:18" ht="15" customHeight="1" x14ac:dyDescent="0.2">
      <c r="B995" s="256"/>
      <c r="C995" s="513"/>
      <c r="D995" s="516">
        <f t="shared" si="45"/>
        <v>0</v>
      </c>
      <c r="I995" s="256"/>
      <c r="J995" s="513"/>
      <c r="K995" s="516">
        <f t="shared" si="46"/>
        <v>0</v>
      </c>
      <c r="P995" s="256"/>
      <c r="Q995" s="513"/>
      <c r="R995" s="516">
        <f t="shared" si="47"/>
        <v>0</v>
      </c>
    </row>
    <row r="996" spans="2:18" ht="15" customHeight="1" x14ac:dyDescent="0.2">
      <c r="B996" s="256"/>
      <c r="C996" s="513"/>
      <c r="D996" s="516">
        <f t="shared" si="45"/>
        <v>0</v>
      </c>
      <c r="I996" s="256"/>
      <c r="J996" s="513"/>
      <c r="K996" s="516">
        <f t="shared" si="46"/>
        <v>0</v>
      </c>
      <c r="P996" s="256"/>
      <c r="Q996" s="513"/>
      <c r="R996" s="516">
        <f t="shared" si="47"/>
        <v>0</v>
      </c>
    </row>
    <row r="997" spans="2:18" ht="15" customHeight="1" x14ac:dyDescent="0.2">
      <c r="B997" s="256"/>
      <c r="C997" s="513"/>
      <c r="D997" s="516">
        <f t="shared" si="45"/>
        <v>0</v>
      </c>
      <c r="I997" s="256"/>
      <c r="J997" s="513"/>
      <c r="K997" s="516">
        <f t="shared" si="46"/>
        <v>0</v>
      </c>
      <c r="P997" s="256"/>
      <c r="Q997" s="513"/>
      <c r="R997" s="516">
        <f t="shared" si="47"/>
        <v>0</v>
      </c>
    </row>
    <row r="998" spans="2:18" ht="15" customHeight="1" x14ac:dyDescent="0.2">
      <c r="B998" s="256"/>
      <c r="C998" s="513"/>
      <c r="D998" s="516">
        <f t="shared" si="45"/>
        <v>0</v>
      </c>
      <c r="I998" s="256"/>
      <c r="J998" s="513"/>
      <c r="K998" s="516">
        <f t="shared" si="46"/>
        <v>0</v>
      </c>
      <c r="P998" s="256"/>
      <c r="Q998" s="513"/>
      <c r="R998" s="516">
        <f t="shared" si="47"/>
        <v>0</v>
      </c>
    </row>
    <row r="999" spans="2:18" ht="15" customHeight="1" x14ac:dyDescent="0.2">
      <c r="B999" s="256"/>
      <c r="C999" s="513"/>
      <c r="D999" s="516">
        <f t="shared" si="45"/>
        <v>0</v>
      </c>
      <c r="I999" s="256"/>
      <c r="J999" s="513"/>
      <c r="K999" s="516">
        <f t="shared" si="46"/>
        <v>0</v>
      </c>
      <c r="P999" s="256"/>
      <c r="Q999" s="513"/>
      <c r="R999" s="516">
        <f t="shared" si="47"/>
        <v>0</v>
      </c>
    </row>
    <row r="1000" spans="2:18" ht="15" customHeight="1" x14ac:dyDescent="0.2">
      <c r="B1000" s="256"/>
      <c r="C1000" s="513"/>
      <c r="D1000" s="516">
        <f t="shared" si="45"/>
        <v>0</v>
      </c>
      <c r="I1000" s="256"/>
      <c r="J1000" s="513"/>
      <c r="K1000" s="516">
        <f t="shared" si="46"/>
        <v>0</v>
      </c>
      <c r="P1000" s="256"/>
      <c r="Q1000" s="513"/>
      <c r="R1000" s="516">
        <f t="shared" si="47"/>
        <v>0</v>
      </c>
    </row>
    <row r="1001" spans="2:18" ht="15" customHeight="1" x14ac:dyDescent="0.2">
      <c r="B1001" s="256"/>
      <c r="C1001" s="513"/>
      <c r="D1001" s="516">
        <f t="shared" si="45"/>
        <v>0</v>
      </c>
      <c r="I1001" s="256"/>
      <c r="J1001" s="513"/>
      <c r="K1001" s="516">
        <f t="shared" si="46"/>
        <v>0</v>
      </c>
      <c r="P1001" s="256"/>
      <c r="Q1001" s="513"/>
      <c r="R1001" s="516">
        <f t="shared" si="47"/>
        <v>0</v>
      </c>
    </row>
    <row r="1002" spans="2:18" ht="15" customHeight="1" x14ac:dyDescent="0.2">
      <c r="B1002" s="256"/>
      <c r="C1002" s="513"/>
      <c r="D1002" s="516">
        <f t="shared" si="45"/>
        <v>0</v>
      </c>
      <c r="I1002" s="256"/>
      <c r="J1002" s="513"/>
      <c r="K1002" s="516">
        <f t="shared" si="46"/>
        <v>0</v>
      </c>
      <c r="P1002" s="256"/>
      <c r="Q1002" s="513"/>
      <c r="R1002" s="516">
        <f t="shared" si="47"/>
        <v>0</v>
      </c>
    </row>
    <row r="1003" spans="2:18" ht="15" customHeight="1" x14ac:dyDescent="0.2">
      <c r="B1003" s="256"/>
      <c r="C1003" s="513"/>
      <c r="D1003" s="516">
        <f t="shared" si="45"/>
        <v>0</v>
      </c>
      <c r="I1003" s="256"/>
      <c r="J1003" s="513"/>
      <c r="K1003" s="516">
        <f t="shared" si="46"/>
        <v>0</v>
      </c>
      <c r="P1003" s="256"/>
      <c r="Q1003" s="513"/>
      <c r="R1003" s="516">
        <f t="shared" si="47"/>
        <v>0</v>
      </c>
    </row>
    <row r="1004" spans="2:18" ht="15" customHeight="1" x14ac:dyDescent="0.2">
      <c r="B1004" s="256"/>
      <c r="C1004" s="513"/>
      <c r="D1004" s="516">
        <f t="shared" si="45"/>
        <v>0</v>
      </c>
      <c r="I1004" s="256"/>
      <c r="J1004" s="513"/>
      <c r="K1004" s="516">
        <f t="shared" si="46"/>
        <v>0</v>
      </c>
      <c r="P1004" s="256"/>
      <c r="Q1004" s="513"/>
      <c r="R1004" s="516">
        <f t="shared" si="47"/>
        <v>0</v>
      </c>
    </row>
    <row r="1005" spans="2:18" ht="15" customHeight="1" x14ac:dyDescent="0.2">
      <c r="B1005" s="256"/>
      <c r="C1005" s="513"/>
      <c r="D1005" s="516">
        <f t="shared" si="45"/>
        <v>0</v>
      </c>
      <c r="I1005" s="256"/>
      <c r="J1005" s="513"/>
      <c r="K1005" s="516">
        <f t="shared" si="46"/>
        <v>0</v>
      </c>
      <c r="P1005" s="256"/>
      <c r="Q1005" s="513"/>
      <c r="R1005" s="516">
        <f t="shared" si="47"/>
        <v>0</v>
      </c>
    </row>
    <row r="1006" spans="2:18" ht="15" customHeight="1" x14ac:dyDescent="0.2">
      <c r="B1006" s="256"/>
      <c r="C1006" s="513"/>
      <c r="D1006" s="516">
        <f t="shared" si="45"/>
        <v>0</v>
      </c>
      <c r="I1006" s="256"/>
      <c r="J1006" s="513"/>
      <c r="K1006" s="516">
        <f t="shared" si="46"/>
        <v>0</v>
      </c>
      <c r="P1006" s="256"/>
      <c r="Q1006" s="513"/>
      <c r="R1006" s="516">
        <f t="shared" si="47"/>
        <v>0</v>
      </c>
    </row>
    <row r="1007" spans="2:18" ht="15" customHeight="1" x14ac:dyDescent="0.2">
      <c r="B1007" s="256"/>
      <c r="C1007" s="513"/>
      <c r="D1007" s="516">
        <f t="shared" si="45"/>
        <v>0</v>
      </c>
      <c r="I1007" s="256"/>
      <c r="J1007" s="513"/>
      <c r="K1007" s="516">
        <f t="shared" si="46"/>
        <v>0</v>
      </c>
      <c r="P1007" s="256"/>
      <c r="Q1007" s="513"/>
      <c r="R1007" s="516">
        <f t="shared" si="47"/>
        <v>0</v>
      </c>
    </row>
    <row r="1008" spans="2:18" ht="15" customHeight="1" x14ac:dyDescent="0.2">
      <c r="B1008" s="256"/>
      <c r="C1008" s="513"/>
      <c r="D1008" s="516">
        <f t="shared" si="45"/>
        <v>0</v>
      </c>
      <c r="I1008" s="256"/>
      <c r="J1008" s="513"/>
      <c r="K1008" s="516">
        <f t="shared" si="46"/>
        <v>0</v>
      </c>
      <c r="P1008" s="256"/>
      <c r="Q1008" s="513"/>
      <c r="R1008" s="516">
        <f t="shared" si="47"/>
        <v>0</v>
      </c>
    </row>
    <row r="1009" spans="2:18" ht="15" customHeight="1" x14ac:dyDescent="0.2">
      <c r="B1009" s="256"/>
      <c r="C1009" s="513"/>
      <c r="D1009" s="516">
        <f t="shared" si="45"/>
        <v>0</v>
      </c>
      <c r="I1009" s="256"/>
      <c r="J1009" s="513"/>
      <c r="K1009" s="516">
        <f t="shared" si="46"/>
        <v>0</v>
      </c>
      <c r="P1009" s="256"/>
      <c r="Q1009" s="513"/>
      <c r="R1009" s="516">
        <f t="shared" si="47"/>
        <v>0</v>
      </c>
    </row>
    <row r="1010" spans="2:18" ht="15" customHeight="1" x14ac:dyDescent="0.2">
      <c r="B1010" s="256"/>
      <c r="C1010" s="513"/>
      <c r="D1010" s="516">
        <f t="shared" si="45"/>
        <v>0</v>
      </c>
      <c r="I1010" s="256"/>
      <c r="J1010" s="513"/>
      <c r="K1010" s="516">
        <f t="shared" si="46"/>
        <v>0</v>
      </c>
      <c r="P1010" s="256"/>
      <c r="Q1010" s="513"/>
      <c r="R1010" s="516">
        <f t="shared" si="47"/>
        <v>0</v>
      </c>
    </row>
    <row r="1011" spans="2:18" ht="15" customHeight="1" x14ac:dyDescent="0.2">
      <c r="B1011" s="256"/>
      <c r="C1011" s="513"/>
      <c r="D1011" s="516">
        <f t="shared" si="45"/>
        <v>0</v>
      </c>
      <c r="I1011" s="256"/>
      <c r="J1011" s="513"/>
      <c r="K1011" s="516">
        <f t="shared" si="46"/>
        <v>0</v>
      </c>
      <c r="P1011" s="256"/>
      <c r="Q1011" s="513"/>
      <c r="R1011" s="516">
        <f t="shared" si="47"/>
        <v>0</v>
      </c>
    </row>
    <row r="1012" spans="2:18" ht="15" customHeight="1" x14ac:dyDescent="0.2">
      <c r="B1012" s="256"/>
      <c r="C1012" s="513"/>
      <c r="D1012" s="516">
        <f t="shared" si="45"/>
        <v>0</v>
      </c>
      <c r="I1012" s="256"/>
      <c r="J1012" s="513"/>
      <c r="K1012" s="516">
        <f t="shared" si="46"/>
        <v>0</v>
      </c>
      <c r="P1012" s="256"/>
      <c r="Q1012" s="513"/>
      <c r="R1012" s="516">
        <f t="shared" si="47"/>
        <v>0</v>
      </c>
    </row>
    <row r="1013" spans="2:18" ht="15" customHeight="1" x14ac:dyDescent="0.2">
      <c r="B1013" s="256"/>
      <c r="C1013" s="513"/>
      <c r="D1013" s="516">
        <f t="shared" si="45"/>
        <v>0</v>
      </c>
      <c r="I1013" s="256"/>
      <c r="J1013" s="513"/>
      <c r="K1013" s="516">
        <f t="shared" si="46"/>
        <v>0</v>
      </c>
      <c r="P1013" s="256"/>
      <c r="Q1013" s="513"/>
      <c r="R1013" s="516">
        <f t="shared" si="47"/>
        <v>0</v>
      </c>
    </row>
    <row r="1014" spans="2:18" ht="15" customHeight="1" x14ac:dyDescent="0.2">
      <c r="B1014" s="256"/>
      <c r="C1014" s="513"/>
      <c r="D1014" s="516">
        <f t="shared" si="45"/>
        <v>0</v>
      </c>
      <c r="I1014" s="256"/>
      <c r="J1014" s="513"/>
      <c r="K1014" s="516">
        <f t="shared" si="46"/>
        <v>0</v>
      </c>
      <c r="P1014" s="256"/>
      <c r="Q1014" s="513"/>
      <c r="R1014" s="516">
        <f t="shared" si="47"/>
        <v>0</v>
      </c>
    </row>
    <row r="1015" spans="2:18" ht="15" customHeight="1" x14ac:dyDescent="0.2">
      <c r="B1015" s="256"/>
      <c r="C1015" s="513"/>
      <c r="D1015" s="516">
        <f t="shared" si="45"/>
        <v>0</v>
      </c>
      <c r="I1015" s="256"/>
      <c r="J1015" s="513"/>
      <c r="K1015" s="516">
        <f t="shared" si="46"/>
        <v>0</v>
      </c>
      <c r="P1015" s="256"/>
      <c r="Q1015" s="513"/>
      <c r="R1015" s="516">
        <f t="shared" si="47"/>
        <v>0</v>
      </c>
    </row>
    <row r="1016" spans="2:18" ht="15" customHeight="1" x14ac:dyDescent="0.2">
      <c r="B1016" s="256"/>
      <c r="C1016" s="513"/>
      <c r="D1016" s="516">
        <f t="shared" si="45"/>
        <v>0</v>
      </c>
      <c r="I1016" s="256"/>
      <c r="J1016" s="513"/>
      <c r="K1016" s="516">
        <f t="shared" si="46"/>
        <v>0</v>
      </c>
      <c r="P1016" s="256"/>
      <c r="Q1016" s="513"/>
      <c r="R1016" s="516">
        <f t="shared" si="47"/>
        <v>0</v>
      </c>
    </row>
    <row r="1017" spans="2:18" ht="15" customHeight="1" x14ac:dyDescent="0.2">
      <c r="B1017" s="256"/>
      <c r="C1017" s="513"/>
      <c r="D1017" s="516">
        <f t="shared" si="45"/>
        <v>0</v>
      </c>
      <c r="I1017" s="256"/>
      <c r="J1017" s="513"/>
      <c r="K1017" s="516">
        <f t="shared" si="46"/>
        <v>0</v>
      </c>
      <c r="P1017" s="256"/>
      <c r="Q1017" s="513"/>
      <c r="R1017" s="516">
        <f t="shared" si="47"/>
        <v>0</v>
      </c>
    </row>
    <row r="1018" spans="2:18" ht="15" customHeight="1" x14ac:dyDescent="0.2">
      <c r="B1018" s="256"/>
      <c r="C1018" s="513"/>
      <c r="D1018" s="516">
        <f t="shared" si="45"/>
        <v>0</v>
      </c>
      <c r="I1018" s="256"/>
      <c r="J1018" s="513"/>
      <c r="K1018" s="516">
        <f t="shared" si="46"/>
        <v>0</v>
      </c>
      <c r="P1018" s="256"/>
      <c r="Q1018" s="513"/>
      <c r="R1018" s="516">
        <f t="shared" si="47"/>
        <v>0</v>
      </c>
    </row>
    <row r="1019" spans="2:18" ht="15" customHeight="1" x14ac:dyDescent="0.2">
      <c r="B1019" s="256"/>
      <c r="C1019" s="513"/>
      <c r="D1019" s="516">
        <f t="shared" si="45"/>
        <v>0</v>
      </c>
      <c r="I1019" s="256"/>
      <c r="J1019" s="513"/>
      <c r="K1019" s="516">
        <f t="shared" si="46"/>
        <v>0</v>
      </c>
      <c r="P1019" s="256"/>
      <c r="Q1019" s="513"/>
      <c r="R1019" s="516">
        <f t="shared" si="47"/>
        <v>0</v>
      </c>
    </row>
    <row r="1020" spans="2:18" ht="15" customHeight="1" x14ac:dyDescent="0.2">
      <c r="B1020" s="256"/>
      <c r="C1020" s="513"/>
      <c r="D1020" s="516">
        <f t="shared" si="45"/>
        <v>0</v>
      </c>
      <c r="I1020" s="256"/>
      <c r="J1020" s="513"/>
      <c r="K1020" s="516">
        <f t="shared" si="46"/>
        <v>0</v>
      </c>
      <c r="P1020" s="256"/>
      <c r="Q1020" s="513"/>
      <c r="R1020" s="516">
        <f t="shared" si="47"/>
        <v>0</v>
      </c>
    </row>
    <row r="1021" spans="2:18" ht="15" customHeight="1" x14ac:dyDescent="0.2">
      <c r="B1021" s="256"/>
      <c r="C1021" s="513"/>
      <c r="D1021" s="516">
        <f t="shared" si="45"/>
        <v>0</v>
      </c>
      <c r="I1021" s="256"/>
      <c r="J1021" s="513"/>
      <c r="K1021" s="516">
        <f t="shared" si="46"/>
        <v>0</v>
      </c>
      <c r="P1021" s="256"/>
      <c r="Q1021" s="513"/>
      <c r="R1021" s="516">
        <f t="shared" si="47"/>
        <v>0</v>
      </c>
    </row>
    <row r="1022" spans="2:18" ht="15" customHeight="1" x14ac:dyDescent="0.2">
      <c r="B1022" s="256"/>
      <c r="C1022" s="513"/>
      <c r="D1022" s="516">
        <f t="shared" si="45"/>
        <v>0</v>
      </c>
      <c r="I1022" s="256"/>
      <c r="J1022" s="513"/>
      <c r="K1022" s="516">
        <f t="shared" si="46"/>
        <v>0</v>
      </c>
      <c r="P1022" s="256"/>
      <c r="Q1022" s="513"/>
      <c r="R1022" s="516">
        <f t="shared" si="47"/>
        <v>0</v>
      </c>
    </row>
    <row r="1023" spans="2:18" ht="15" customHeight="1" x14ac:dyDescent="0.2">
      <c r="B1023" s="256"/>
      <c r="C1023" s="513"/>
      <c r="D1023" s="516">
        <f t="shared" si="45"/>
        <v>0</v>
      </c>
      <c r="I1023" s="256"/>
      <c r="J1023" s="513"/>
      <c r="K1023" s="516">
        <f t="shared" si="46"/>
        <v>0</v>
      </c>
      <c r="P1023" s="256"/>
      <c r="Q1023" s="513"/>
      <c r="R1023" s="516">
        <f t="shared" si="47"/>
        <v>0</v>
      </c>
    </row>
    <row r="1024" spans="2:18" ht="15" customHeight="1" x14ac:dyDescent="0.2">
      <c r="B1024" s="256"/>
      <c r="C1024" s="513"/>
      <c r="D1024" s="516">
        <f t="shared" si="45"/>
        <v>0</v>
      </c>
      <c r="I1024" s="256"/>
      <c r="J1024" s="513"/>
      <c r="K1024" s="516">
        <f t="shared" si="46"/>
        <v>0</v>
      </c>
      <c r="P1024" s="256"/>
      <c r="Q1024" s="513"/>
      <c r="R1024" s="516">
        <f t="shared" si="47"/>
        <v>0</v>
      </c>
    </row>
    <row r="1025" spans="2:18" ht="15" customHeight="1" x14ac:dyDescent="0.2">
      <c r="B1025" s="256"/>
      <c r="C1025" s="513"/>
      <c r="D1025" s="516">
        <f t="shared" si="45"/>
        <v>0</v>
      </c>
      <c r="I1025" s="256"/>
      <c r="J1025" s="513"/>
      <c r="K1025" s="516">
        <f t="shared" si="46"/>
        <v>0</v>
      </c>
      <c r="P1025" s="256"/>
      <c r="Q1025" s="513"/>
      <c r="R1025" s="516">
        <f t="shared" si="47"/>
        <v>0</v>
      </c>
    </row>
    <row r="1026" spans="2:18" ht="15" customHeight="1" x14ac:dyDescent="0.2">
      <c r="B1026" s="256"/>
      <c r="C1026" s="513"/>
      <c r="D1026" s="516">
        <f t="shared" si="45"/>
        <v>0</v>
      </c>
      <c r="I1026" s="256"/>
      <c r="J1026" s="513"/>
      <c r="K1026" s="516">
        <f t="shared" si="46"/>
        <v>0</v>
      </c>
      <c r="P1026" s="256"/>
      <c r="Q1026" s="513"/>
      <c r="R1026" s="516">
        <f t="shared" si="47"/>
        <v>0</v>
      </c>
    </row>
    <row r="1027" spans="2:18" ht="15" customHeight="1" x14ac:dyDescent="0.2">
      <c r="B1027" s="256"/>
      <c r="C1027" s="513"/>
      <c r="D1027" s="516">
        <f t="shared" si="45"/>
        <v>0</v>
      </c>
      <c r="I1027" s="256"/>
      <c r="J1027" s="513"/>
      <c r="K1027" s="516">
        <f t="shared" si="46"/>
        <v>0</v>
      </c>
      <c r="P1027" s="256"/>
      <c r="Q1027" s="513"/>
      <c r="R1027" s="516">
        <f t="shared" si="47"/>
        <v>0</v>
      </c>
    </row>
    <row r="1028" spans="2:18" ht="15" customHeight="1" x14ac:dyDescent="0.2">
      <c r="B1028" s="256"/>
      <c r="C1028" s="513"/>
      <c r="D1028" s="516">
        <f t="shared" si="45"/>
        <v>0</v>
      </c>
      <c r="I1028" s="256"/>
      <c r="J1028" s="513"/>
      <c r="K1028" s="516">
        <f t="shared" si="46"/>
        <v>0</v>
      </c>
      <c r="P1028" s="256"/>
      <c r="Q1028" s="513"/>
      <c r="R1028" s="516">
        <f t="shared" si="47"/>
        <v>0</v>
      </c>
    </row>
    <row r="1029" spans="2:18" ht="15" customHeight="1" x14ac:dyDescent="0.2">
      <c r="B1029" s="256"/>
      <c r="C1029" s="513"/>
      <c r="D1029" s="516">
        <f t="shared" si="45"/>
        <v>0</v>
      </c>
      <c r="I1029" s="256"/>
      <c r="J1029" s="513"/>
      <c r="K1029" s="516">
        <f t="shared" si="46"/>
        <v>0</v>
      </c>
      <c r="P1029" s="256"/>
      <c r="Q1029" s="513"/>
      <c r="R1029" s="516">
        <f t="shared" si="47"/>
        <v>0</v>
      </c>
    </row>
    <row r="1030" spans="2:18" ht="15" customHeight="1" x14ac:dyDescent="0.2">
      <c r="B1030" s="256"/>
      <c r="C1030" s="513"/>
      <c r="D1030" s="516">
        <f t="shared" si="45"/>
        <v>0</v>
      </c>
      <c r="I1030" s="256"/>
      <c r="J1030" s="513"/>
      <c r="K1030" s="516">
        <f t="shared" si="46"/>
        <v>0</v>
      </c>
      <c r="P1030" s="256"/>
      <c r="Q1030" s="513"/>
      <c r="R1030" s="516">
        <f t="shared" si="47"/>
        <v>0</v>
      </c>
    </row>
    <row r="1031" spans="2:18" ht="15" customHeight="1" x14ac:dyDescent="0.2">
      <c r="B1031" s="256"/>
      <c r="C1031" s="513"/>
      <c r="D1031" s="516">
        <f t="shared" si="45"/>
        <v>0</v>
      </c>
      <c r="I1031" s="256"/>
      <c r="J1031" s="513"/>
      <c r="K1031" s="516">
        <f t="shared" si="46"/>
        <v>0</v>
      </c>
      <c r="P1031" s="256"/>
      <c r="Q1031" s="513"/>
      <c r="R1031" s="516">
        <f t="shared" si="47"/>
        <v>0</v>
      </c>
    </row>
    <row r="1032" spans="2:18" ht="15" customHeight="1" x14ac:dyDescent="0.2">
      <c r="B1032" s="256"/>
      <c r="C1032" s="513"/>
      <c r="D1032" s="516">
        <f t="shared" si="45"/>
        <v>0</v>
      </c>
      <c r="I1032" s="256"/>
      <c r="J1032" s="513"/>
      <c r="K1032" s="516">
        <f t="shared" si="46"/>
        <v>0</v>
      </c>
      <c r="P1032" s="256"/>
      <c r="Q1032" s="513"/>
      <c r="R1032" s="516">
        <f t="shared" si="47"/>
        <v>0</v>
      </c>
    </row>
    <row r="1033" spans="2:18" ht="15" customHeight="1" x14ac:dyDescent="0.2">
      <c r="B1033" s="256"/>
      <c r="C1033" s="513"/>
      <c r="D1033" s="516">
        <f t="shared" si="45"/>
        <v>0</v>
      </c>
      <c r="I1033" s="256"/>
      <c r="J1033" s="513"/>
      <c r="K1033" s="516">
        <f t="shared" si="46"/>
        <v>0</v>
      </c>
      <c r="P1033" s="256"/>
      <c r="Q1033" s="513"/>
      <c r="R1033" s="516">
        <f t="shared" si="47"/>
        <v>0</v>
      </c>
    </row>
    <row r="1034" spans="2:18" ht="15" customHeight="1" x14ac:dyDescent="0.2">
      <c r="B1034" s="256"/>
      <c r="C1034" s="513"/>
      <c r="D1034" s="516">
        <f t="shared" si="45"/>
        <v>0</v>
      </c>
      <c r="I1034" s="256"/>
      <c r="J1034" s="513"/>
      <c r="K1034" s="516">
        <f t="shared" si="46"/>
        <v>0</v>
      </c>
      <c r="P1034" s="256"/>
      <c r="Q1034" s="513"/>
      <c r="R1034" s="516">
        <f t="shared" si="47"/>
        <v>0</v>
      </c>
    </row>
    <row r="1035" spans="2:18" ht="15" customHeight="1" x14ac:dyDescent="0.2">
      <c r="B1035" s="256"/>
      <c r="C1035" s="513"/>
      <c r="D1035" s="516">
        <f t="shared" si="45"/>
        <v>0</v>
      </c>
      <c r="I1035" s="256"/>
      <c r="J1035" s="513"/>
      <c r="K1035" s="516">
        <f t="shared" si="46"/>
        <v>0</v>
      </c>
      <c r="P1035" s="256"/>
      <c r="Q1035" s="513"/>
      <c r="R1035" s="516">
        <f t="shared" si="47"/>
        <v>0</v>
      </c>
    </row>
    <row r="1036" spans="2:18" ht="15" customHeight="1" x14ac:dyDescent="0.2">
      <c r="B1036" s="256"/>
      <c r="C1036" s="513"/>
      <c r="D1036" s="516">
        <f t="shared" si="45"/>
        <v>0</v>
      </c>
      <c r="I1036" s="256"/>
      <c r="J1036" s="513"/>
      <c r="K1036" s="516">
        <f t="shared" si="46"/>
        <v>0</v>
      </c>
      <c r="P1036" s="256"/>
      <c r="Q1036" s="513"/>
      <c r="R1036" s="516">
        <f t="shared" si="47"/>
        <v>0</v>
      </c>
    </row>
    <row r="1037" spans="2:18" ht="15" customHeight="1" x14ac:dyDescent="0.2">
      <c r="B1037" s="256"/>
      <c r="C1037" s="513"/>
      <c r="D1037" s="516">
        <f t="shared" si="45"/>
        <v>0</v>
      </c>
      <c r="I1037" s="256"/>
      <c r="J1037" s="513"/>
      <c r="K1037" s="516">
        <f t="shared" si="46"/>
        <v>0</v>
      </c>
      <c r="P1037" s="256"/>
      <c r="Q1037" s="513"/>
      <c r="R1037" s="516">
        <f t="shared" si="47"/>
        <v>0</v>
      </c>
    </row>
    <row r="1038" spans="2:18" ht="15" customHeight="1" x14ac:dyDescent="0.2">
      <c r="B1038" s="256"/>
      <c r="C1038" s="513"/>
      <c r="D1038" s="516">
        <f t="shared" si="45"/>
        <v>0</v>
      </c>
      <c r="I1038" s="256"/>
      <c r="J1038" s="513"/>
      <c r="K1038" s="516">
        <f t="shared" si="46"/>
        <v>0</v>
      </c>
      <c r="P1038" s="256"/>
      <c r="Q1038" s="513"/>
      <c r="R1038" s="516">
        <f t="shared" si="47"/>
        <v>0</v>
      </c>
    </row>
    <row r="1039" spans="2:18" ht="15" customHeight="1" x14ac:dyDescent="0.2">
      <c r="B1039" s="256"/>
      <c r="C1039" s="513"/>
      <c r="D1039" s="516">
        <f t="shared" si="45"/>
        <v>0</v>
      </c>
      <c r="I1039" s="256"/>
      <c r="J1039" s="513"/>
      <c r="K1039" s="516">
        <f t="shared" si="46"/>
        <v>0</v>
      </c>
      <c r="P1039" s="256"/>
      <c r="Q1039" s="513"/>
      <c r="R1039" s="516">
        <f t="shared" si="47"/>
        <v>0</v>
      </c>
    </row>
    <row r="1040" spans="2:18" ht="15" customHeight="1" x14ac:dyDescent="0.2">
      <c r="B1040" s="256"/>
      <c r="C1040" s="513"/>
      <c r="D1040" s="516">
        <f t="shared" si="45"/>
        <v>0</v>
      </c>
      <c r="I1040" s="256"/>
      <c r="J1040" s="513"/>
      <c r="K1040" s="516">
        <f t="shared" si="46"/>
        <v>0</v>
      </c>
      <c r="P1040" s="256"/>
      <c r="Q1040" s="513"/>
      <c r="R1040" s="516">
        <f t="shared" si="47"/>
        <v>0</v>
      </c>
    </row>
    <row r="1041" spans="2:18" ht="15" customHeight="1" x14ac:dyDescent="0.2">
      <c r="B1041" s="256"/>
      <c r="C1041" s="513"/>
      <c r="D1041" s="516">
        <f t="shared" si="45"/>
        <v>0</v>
      </c>
      <c r="I1041" s="256"/>
      <c r="J1041" s="513"/>
      <c r="K1041" s="516">
        <f t="shared" si="46"/>
        <v>0</v>
      </c>
      <c r="P1041" s="256"/>
      <c r="Q1041" s="513"/>
      <c r="R1041" s="516">
        <f t="shared" si="47"/>
        <v>0</v>
      </c>
    </row>
    <row r="1042" spans="2:18" ht="15" customHeight="1" x14ac:dyDescent="0.2">
      <c r="B1042" s="256"/>
      <c r="C1042" s="513"/>
      <c r="D1042" s="516">
        <f t="shared" ref="D1042:D1105" si="48">C1042/1000</f>
        <v>0</v>
      </c>
      <c r="I1042" s="256"/>
      <c r="J1042" s="513"/>
      <c r="K1042" s="516">
        <f t="shared" ref="K1042:K1105" si="49">J1042/1000</f>
        <v>0</v>
      </c>
      <c r="P1042" s="256"/>
      <c r="Q1042" s="513"/>
      <c r="R1042" s="516">
        <f t="shared" ref="R1042:R1105" si="50">Q1042/1000</f>
        <v>0</v>
      </c>
    </row>
    <row r="1043" spans="2:18" ht="15" customHeight="1" x14ac:dyDescent="0.2">
      <c r="B1043" s="256"/>
      <c r="C1043" s="513"/>
      <c r="D1043" s="516">
        <f t="shared" si="48"/>
        <v>0</v>
      </c>
      <c r="I1043" s="256"/>
      <c r="J1043" s="513"/>
      <c r="K1043" s="516">
        <f t="shared" si="49"/>
        <v>0</v>
      </c>
      <c r="P1043" s="256"/>
      <c r="Q1043" s="513"/>
      <c r="R1043" s="516">
        <f t="shared" si="50"/>
        <v>0</v>
      </c>
    </row>
    <row r="1044" spans="2:18" ht="15" customHeight="1" x14ac:dyDescent="0.2">
      <c r="B1044" s="256"/>
      <c r="C1044" s="513"/>
      <c r="D1044" s="516">
        <f t="shared" si="48"/>
        <v>0</v>
      </c>
      <c r="I1044" s="256"/>
      <c r="J1044" s="513"/>
      <c r="K1044" s="516">
        <f t="shared" si="49"/>
        <v>0</v>
      </c>
      <c r="P1044" s="256"/>
      <c r="Q1044" s="513"/>
      <c r="R1044" s="516">
        <f t="shared" si="50"/>
        <v>0</v>
      </c>
    </row>
    <row r="1045" spans="2:18" ht="15" customHeight="1" x14ac:dyDescent="0.2">
      <c r="B1045" s="256"/>
      <c r="C1045" s="513"/>
      <c r="D1045" s="516">
        <f t="shared" si="48"/>
        <v>0</v>
      </c>
      <c r="I1045" s="256"/>
      <c r="J1045" s="513"/>
      <c r="K1045" s="516">
        <f t="shared" si="49"/>
        <v>0</v>
      </c>
      <c r="P1045" s="256"/>
      <c r="Q1045" s="513"/>
      <c r="R1045" s="516">
        <f t="shared" si="50"/>
        <v>0</v>
      </c>
    </row>
    <row r="1046" spans="2:18" ht="15" customHeight="1" x14ac:dyDescent="0.2">
      <c r="B1046" s="256"/>
      <c r="C1046" s="513"/>
      <c r="D1046" s="516">
        <f t="shared" si="48"/>
        <v>0</v>
      </c>
      <c r="I1046" s="256"/>
      <c r="J1046" s="513"/>
      <c r="K1046" s="516">
        <f t="shared" si="49"/>
        <v>0</v>
      </c>
      <c r="P1046" s="256"/>
      <c r="Q1046" s="513"/>
      <c r="R1046" s="516">
        <f t="shared" si="50"/>
        <v>0</v>
      </c>
    </row>
    <row r="1047" spans="2:18" ht="15" customHeight="1" x14ac:dyDescent="0.2">
      <c r="B1047" s="256"/>
      <c r="C1047" s="513"/>
      <c r="D1047" s="516">
        <f t="shared" si="48"/>
        <v>0</v>
      </c>
      <c r="I1047" s="256"/>
      <c r="J1047" s="513"/>
      <c r="K1047" s="516">
        <f t="shared" si="49"/>
        <v>0</v>
      </c>
      <c r="P1047" s="256"/>
      <c r="Q1047" s="513"/>
      <c r="R1047" s="516">
        <f t="shared" si="50"/>
        <v>0</v>
      </c>
    </row>
    <row r="1048" spans="2:18" ht="15" customHeight="1" x14ac:dyDescent="0.2">
      <c r="B1048" s="256"/>
      <c r="C1048" s="513"/>
      <c r="D1048" s="516">
        <f t="shared" si="48"/>
        <v>0</v>
      </c>
      <c r="I1048" s="256"/>
      <c r="J1048" s="513"/>
      <c r="K1048" s="516">
        <f t="shared" si="49"/>
        <v>0</v>
      </c>
      <c r="P1048" s="256"/>
      <c r="Q1048" s="513"/>
      <c r="R1048" s="516">
        <f t="shared" si="50"/>
        <v>0</v>
      </c>
    </row>
    <row r="1049" spans="2:18" ht="15" customHeight="1" x14ac:dyDescent="0.2">
      <c r="B1049" s="256"/>
      <c r="C1049" s="513"/>
      <c r="D1049" s="516">
        <f t="shared" si="48"/>
        <v>0</v>
      </c>
      <c r="I1049" s="256"/>
      <c r="J1049" s="513"/>
      <c r="K1049" s="516">
        <f t="shared" si="49"/>
        <v>0</v>
      </c>
      <c r="P1049" s="256"/>
      <c r="Q1049" s="513"/>
      <c r="R1049" s="516">
        <f t="shared" si="50"/>
        <v>0</v>
      </c>
    </row>
    <row r="1050" spans="2:18" ht="15" customHeight="1" x14ac:dyDescent="0.2">
      <c r="B1050" s="256"/>
      <c r="C1050" s="513"/>
      <c r="D1050" s="516">
        <f t="shared" si="48"/>
        <v>0</v>
      </c>
      <c r="I1050" s="256"/>
      <c r="J1050" s="513"/>
      <c r="K1050" s="516">
        <f t="shared" si="49"/>
        <v>0</v>
      </c>
      <c r="P1050" s="256"/>
      <c r="Q1050" s="513"/>
      <c r="R1050" s="516">
        <f t="shared" si="50"/>
        <v>0</v>
      </c>
    </row>
    <row r="1051" spans="2:18" ht="15" customHeight="1" x14ac:dyDescent="0.2">
      <c r="B1051" s="256"/>
      <c r="C1051" s="513"/>
      <c r="D1051" s="516">
        <f t="shared" si="48"/>
        <v>0</v>
      </c>
      <c r="I1051" s="256"/>
      <c r="J1051" s="513"/>
      <c r="K1051" s="516">
        <f t="shared" si="49"/>
        <v>0</v>
      </c>
      <c r="P1051" s="256"/>
      <c r="Q1051" s="513"/>
      <c r="R1051" s="516">
        <f t="shared" si="50"/>
        <v>0</v>
      </c>
    </row>
    <row r="1052" spans="2:18" ht="15" customHeight="1" x14ac:dyDescent="0.2">
      <c r="B1052" s="256"/>
      <c r="C1052" s="513"/>
      <c r="D1052" s="516">
        <f t="shared" si="48"/>
        <v>0</v>
      </c>
      <c r="I1052" s="256"/>
      <c r="J1052" s="513"/>
      <c r="K1052" s="516">
        <f t="shared" si="49"/>
        <v>0</v>
      </c>
      <c r="P1052" s="256"/>
      <c r="Q1052" s="513"/>
      <c r="R1052" s="516">
        <f t="shared" si="50"/>
        <v>0</v>
      </c>
    </row>
    <row r="1053" spans="2:18" ht="15" customHeight="1" x14ac:dyDescent="0.2">
      <c r="B1053" s="256"/>
      <c r="C1053" s="513"/>
      <c r="D1053" s="516">
        <f t="shared" si="48"/>
        <v>0</v>
      </c>
      <c r="I1053" s="256"/>
      <c r="J1053" s="513"/>
      <c r="K1053" s="516">
        <f t="shared" si="49"/>
        <v>0</v>
      </c>
      <c r="P1053" s="256"/>
      <c r="Q1053" s="513"/>
      <c r="R1053" s="516">
        <f t="shared" si="50"/>
        <v>0</v>
      </c>
    </row>
    <row r="1054" spans="2:18" ht="15" customHeight="1" x14ac:dyDescent="0.2">
      <c r="B1054" s="256"/>
      <c r="C1054" s="513"/>
      <c r="D1054" s="516">
        <f t="shared" si="48"/>
        <v>0</v>
      </c>
      <c r="I1054" s="256"/>
      <c r="J1054" s="513"/>
      <c r="K1054" s="516">
        <f t="shared" si="49"/>
        <v>0</v>
      </c>
      <c r="P1054" s="256"/>
      <c r="Q1054" s="513"/>
      <c r="R1054" s="516">
        <f t="shared" si="50"/>
        <v>0</v>
      </c>
    </row>
    <row r="1055" spans="2:18" ht="15" customHeight="1" x14ac:dyDescent="0.2">
      <c r="B1055" s="256"/>
      <c r="C1055" s="513"/>
      <c r="D1055" s="516">
        <f t="shared" si="48"/>
        <v>0</v>
      </c>
      <c r="I1055" s="256"/>
      <c r="J1055" s="513"/>
      <c r="K1055" s="516">
        <f t="shared" si="49"/>
        <v>0</v>
      </c>
      <c r="P1055" s="256"/>
      <c r="Q1055" s="513"/>
      <c r="R1055" s="516">
        <f t="shared" si="50"/>
        <v>0</v>
      </c>
    </row>
    <row r="1056" spans="2:18" ht="15" customHeight="1" x14ac:dyDescent="0.2">
      <c r="B1056" s="256"/>
      <c r="C1056" s="513"/>
      <c r="D1056" s="516">
        <f t="shared" si="48"/>
        <v>0</v>
      </c>
      <c r="I1056" s="256"/>
      <c r="J1056" s="513"/>
      <c r="K1056" s="516">
        <f t="shared" si="49"/>
        <v>0</v>
      </c>
      <c r="P1056" s="256"/>
      <c r="Q1056" s="513"/>
      <c r="R1056" s="516">
        <f t="shared" si="50"/>
        <v>0</v>
      </c>
    </row>
    <row r="1057" spans="2:18" ht="15" customHeight="1" x14ac:dyDescent="0.2">
      <c r="B1057" s="256"/>
      <c r="C1057" s="513"/>
      <c r="D1057" s="516">
        <f t="shared" si="48"/>
        <v>0</v>
      </c>
      <c r="I1057" s="256"/>
      <c r="J1057" s="513"/>
      <c r="K1057" s="516">
        <f t="shared" si="49"/>
        <v>0</v>
      </c>
      <c r="P1057" s="256"/>
      <c r="Q1057" s="513"/>
      <c r="R1057" s="516">
        <f t="shared" si="50"/>
        <v>0</v>
      </c>
    </row>
    <row r="1058" spans="2:18" ht="15" customHeight="1" x14ac:dyDescent="0.2">
      <c r="B1058" s="256"/>
      <c r="C1058" s="513"/>
      <c r="D1058" s="516">
        <f t="shared" si="48"/>
        <v>0</v>
      </c>
      <c r="I1058" s="256"/>
      <c r="J1058" s="513"/>
      <c r="K1058" s="516">
        <f t="shared" si="49"/>
        <v>0</v>
      </c>
      <c r="P1058" s="256"/>
      <c r="Q1058" s="513"/>
      <c r="R1058" s="516">
        <f t="shared" si="50"/>
        <v>0</v>
      </c>
    </row>
    <row r="1059" spans="2:18" ht="15" customHeight="1" x14ac:dyDescent="0.2">
      <c r="B1059" s="256"/>
      <c r="C1059" s="513"/>
      <c r="D1059" s="516">
        <f t="shared" si="48"/>
        <v>0</v>
      </c>
      <c r="I1059" s="256"/>
      <c r="J1059" s="513"/>
      <c r="K1059" s="516">
        <f t="shared" si="49"/>
        <v>0</v>
      </c>
      <c r="P1059" s="256"/>
      <c r="Q1059" s="513"/>
      <c r="R1059" s="516">
        <f t="shared" si="50"/>
        <v>0</v>
      </c>
    </row>
    <row r="1060" spans="2:18" ht="15" customHeight="1" x14ac:dyDescent="0.2">
      <c r="B1060" s="256"/>
      <c r="C1060" s="513"/>
      <c r="D1060" s="516">
        <f t="shared" si="48"/>
        <v>0</v>
      </c>
      <c r="I1060" s="256"/>
      <c r="J1060" s="513"/>
      <c r="K1060" s="516">
        <f t="shared" si="49"/>
        <v>0</v>
      </c>
      <c r="P1060" s="256"/>
      <c r="Q1060" s="513"/>
      <c r="R1060" s="516">
        <f t="shared" si="50"/>
        <v>0</v>
      </c>
    </row>
    <row r="1061" spans="2:18" ht="15" customHeight="1" x14ac:dyDescent="0.2">
      <c r="B1061" s="256"/>
      <c r="C1061" s="513"/>
      <c r="D1061" s="516">
        <f t="shared" si="48"/>
        <v>0</v>
      </c>
      <c r="I1061" s="256"/>
      <c r="J1061" s="513"/>
      <c r="K1061" s="516">
        <f t="shared" si="49"/>
        <v>0</v>
      </c>
      <c r="P1061" s="256"/>
      <c r="Q1061" s="513"/>
      <c r="R1061" s="516">
        <f t="shared" si="50"/>
        <v>0</v>
      </c>
    </row>
    <row r="1062" spans="2:18" ht="15" customHeight="1" x14ac:dyDescent="0.2">
      <c r="B1062" s="256"/>
      <c r="C1062" s="513"/>
      <c r="D1062" s="516">
        <f t="shared" si="48"/>
        <v>0</v>
      </c>
      <c r="I1062" s="256"/>
      <c r="J1062" s="513"/>
      <c r="K1062" s="516">
        <f t="shared" si="49"/>
        <v>0</v>
      </c>
      <c r="P1062" s="256"/>
      <c r="Q1062" s="513"/>
      <c r="R1062" s="516">
        <f t="shared" si="50"/>
        <v>0</v>
      </c>
    </row>
    <row r="1063" spans="2:18" ht="15" customHeight="1" x14ac:dyDescent="0.2">
      <c r="B1063" s="256"/>
      <c r="C1063" s="513"/>
      <c r="D1063" s="516">
        <f t="shared" si="48"/>
        <v>0</v>
      </c>
      <c r="I1063" s="256"/>
      <c r="J1063" s="513"/>
      <c r="K1063" s="516">
        <f t="shared" si="49"/>
        <v>0</v>
      </c>
      <c r="P1063" s="256"/>
      <c r="Q1063" s="513"/>
      <c r="R1063" s="516">
        <f t="shared" si="50"/>
        <v>0</v>
      </c>
    </row>
    <row r="1064" spans="2:18" ht="15" customHeight="1" x14ac:dyDescent="0.2">
      <c r="B1064" s="256"/>
      <c r="C1064" s="513"/>
      <c r="D1064" s="516">
        <f t="shared" si="48"/>
        <v>0</v>
      </c>
      <c r="I1064" s="256"/>
      <c r="J1064" s="513"/>
      <c r="K1064" s="516">
        <f t="shared" si="49"/>
        <v>0</v>
      </c>
      <c r="P1064" s="256"/>
      <c r="Q1064" s="513"/>
      <c r="R1064" s="516">
        <f t="shared" si="50"/>
        <v>0</v>
      </c>
    </row>
    <row r="1065" spans="2:18" ht="15" customHeight="1" x14ac:dyDescent="0.2">
      <c r="B1065" s="256"/>
      <c r="C1065" s="513"/>
      <c r="D1065" s="516">
        <f t="shared" si="48"/>
        <v>0</v>
      </c>
      <c r="I1065" s="256"/>
      <c r="J1065" s="513"/>
      <c r="K1065" s="516">
        <f t="shared" si="49"/>
        <v>0</v>
      </c>
      <c r="P1065" s="256"/>
      <c r="Q1065" s="513"/>
      <c r="R1065" s="516">
        <f t="shared" si="50"/>
        <v>0</v>
      </c>
    </row>
    <row r="1066" spans="2:18" ht="15" customHeight="1" x14ac:dyDescent="0.2">
      <c r="B1066" s="256"/>
      <c r="C1066" s="513"/>
      <c r="D1066" s="516">
        <f t="shared" si="48"/>
        <v>0</v>
      </c>
      <c r="I1066" s="256"/>
      <c r="J1066" s="513"/>
      <c r="K1066" s="516">
        <f t="shared" si="49"/>
        <v>0</v>
      </c>
      <c r="P1066" s="256"/>
      <c r="Q1066" s="513"/>
      <c r="R1066" s="516">
        <f t="shared" si="50"/>
        <v>0</v>
      </c>
    </row>
    <row r="1067" spans="2:18" ht="15" customHeight="1" x14ac:dyDescent="0.2">
      <c r="B1067" s="256"/>
      <c r="C1067" s="513"/>
      <c r="D1067" s="516">
        <f t="shared" si="48"/>
        <v>0</v>
      </c>
      <c r="I1067" s="256"/>
      <c r="J1067" s="513"/>
      <c r="K1067" s="516">
        <f t="shared" si="49"/>
        <v>0</v>
      </c>
      <c r="P1067" s="256"/>
      <c r="Q1067" s="513"/>
      <c r="R1067" s="516">
        <f t="shared" si="50"/>
        <v>0</v>
      </c>
    </row>
    <row r="1068" spans="2:18" ht="15" customHeight="1" x14ac:dyDescent="0.2">
      <c r="B1068" s="256"/>
      <c r="C1068" s="513"/>
      <c r="D1068" s="516">
        <f t="shared" si="48"/>
        <v>0</v>
      </c>
      <c r="I1068" s="256"/>
      <c r="J1068" s="513"/>
      <c r="K1068" s="516">
        <f t="shared" si="49"/>
        <v>0</v>
      </c>
      <c r="P1068" s="256"/>
      <c r="Q1068" s="513"/>
      <c r="R1068" s="516">
        <f t="shared" si="50"/>
        <v>0</v>
      </c>
    </row>
    <row r="1069" spans="2:18" ht="15" customHeight="1" x14ac:dyDescent="0.2">
      <c r="B1069" s="256"/>
      <c r="C1069" s="513"/>
      <c r="D1069" s="516">
        <f t="shared" si="48"/>
        <v>0</v>
      </c>
      <c r="I1069" s="256"/>
      <c r="J1069" s="513"/>
      <c r="K1069" s="516">
        <f t="shared" si="49"/>
        <v>0</v>
      </c>
      <c r="P1069" s="256"/>
      <c r="Q1069" s="513"/>
      <c r="R1069" s="516">
        <f t="shared" si="50"/>
        <v>0</v>
      </c>
    </row>
    <row r="1070" spans="2:18" ht="15" customHeight="1" x14ac:dyDescent="0.2">
      <c r="B1070" s="256"/>
      <c r="C1070" s="513"/>
      <c r="D1070" s="516">
        <f t="shared" si="48"/>
        <v>0</v>
      </c>
      <c r="I1070" s="256"/>
      <c r="J1070" s="513"/>
      <c r="K1070" s="516">
        <f t="shared" si="49"/>
        <v>0</v>
      </c>
      <c r="P1070" s="256"/>
      <c r="Q1070" s="513"/>
      <c r="R1070" s="516">
        <f t="shared" si="50"/>
        <v>0</v>
      </c>
    </row>
    <row r="1071" spans="2:18" ht="15" customHeight="1" x14ac:dyDescent="0.2">
      <c r="B1071" s="256"/>
      <c r="C1071" s="513"/>
      <c r="D1071" s="516">
        <f t="shared" si="48"/>
        <v>0</v>
      </c>
      <c r="I1071" s="256"/>
      <c r="J1071" s="513"/>
      <c r="K1071" s="516">
        <f t="shared" si="49"/>
        <v>0</v>
      </c>
      <c r="P1071" s="256"/>
      <c r="Q1071" s="513"/>
      <c r="R1071" s="516">
        <f t="shared" si="50"/>
        <v>0</v>
      </c>
    </row>
    <row r="1072" spans="2:18" ht="15" customHeight="1" x14ac:dyDescent="0.2">
      <c r="B1072" s="256"/>
      <c r="C1072" s="513"/>
      <c r="D1072" s="516">
        <f t="shared" si="48"/>
        <v>0</v>
      </c>
      <c r="I1072" s="256"/>
      <c r="J1072" s="513"/>
      <c r="K1072" s="516">
        <f t="shared" si="49"/>
        <v>0</v>
      </c>
      <c r="P1072" s="256"/>
      <c r="Q1072" s="513"/>
      <c r="R1072" s="516">
        <f t="shared" si="50"/>
        <v>0</v>
      </c>
    </row>
    <row r="1073" spans="2:18" ht="15" customHeight="1" x14ac:dyDescent="0.2">
      <c r="B1073" s="256"/>
      <c r="C1073" s="513"/>
      <c r="D1073" s="516">
        <f t="shared" si="48"/>
        <v>0</v>
      </c>
      <c r="I1073" s="256"/>
      <c r="J1073" s="513"/>
      <c r="K1073" s="516">
        <f t="shared" si="49"/>
        <v>0</v>
      </c>
      <c r="P1073" s="256"/>
      <c r="Q1073" s="513"/>
      <c r="R1073" s="516">
        <f t="shared" si="50"/>
        <v>0</v>
      </c>
    </row>
    <row r="1074" spans="2:18" ht="15" customHeight="1" x14ac:dyDescent="0.2">
      <c r="B1074" s="256"/>
      <c r="C1074" s="513"/>
      <c r="D1074" s="516">
        <f t="shared" si="48"/>
        <v>0</v>
      </c>
      <c r="I1074" s="256"/>
      <c r="J1074" s="513"/>
      <c r="K1074" s="516">
        <f t="shared" si="49"/>
        <v>0</v>
      </c>
      <c r="P1074" s="256"/>
      <c r="Q1074" s="513"/>
      <c r="R1074" s="516">
        <f t="shared" si="50"/>
        <v>0</v>
      </c>
    </row>
    <row r="1075" spans="2:18" ht="15" customHeight="1" x14ac:dyDescent="0.2">
      <c r="B1075" s="256"/>
      <c r="C1075" s="513"/>
      <c r="D1075" s="516">
        <f t="shared" si="48"/>
        <v>0</v>
      </c>
      <c r="I1075" s="256"/>
      <c r="J1075" s="513"/>
      <c r="K1075" s="516">
        <f t="shared" si="49"/>
        <v>0</v>
      </c>
      <c r="P1075" s="256"/>
      <c r="Q1075" s="513"/>
      <c r="R1075" s="516">
        <f t="shared" si="50"/>
        <v>0</v>
      </c>
    </row>
    <row r="1076" spans="2:18" ht="15" customHeight="1" x14ac:dyDescent="0.2">
      <c r="B1076" s="256"/>
      <c r="C1076" s="513"/>
      <c r="D1076" s="516">
        <f t="shared" si="48"/>
        <v>0</v>
      </c>
      <c r="I1076" s="256"/>
      <c r="J1076" s="513"/>
      <c r="K1076" s="516">
        <f t="shared" si="49"/>
        <v>0</v>
      </c>
      <c r="P1076" s="256"/>
      <c r="Q1076" s="513"/>
      <c r="R1076" s="516">
        <f t="shared" si="50"/>
        <v>0</v>
      </c>
    </row>
    <row r="1077" spans="2:18" ht="15" customHeight="1" x14ac:dyDescent="0.2">
      <c r="B1077" s="256"/>
      <c r="C1077" s="513"/>
      <c r="D1077" s="516">
        <f t="shared" si="48"/>
        <v>0</v>
      </c>
      <c r="I1077" s="256"/>
      <c r="J1077" s="513"/>
      <c r="K1077" s="516">
        <f t="shared" si="49"/>
        <v>0</v>
      </c>
      <c r="P1077" s="256"/>
      <c r="Q1077" s="513"/>
      <c r="R1077" s="516">
        <f t="shared" si="50"/>
        <v>0</v>
      </c>
    </row>
    <row r="1078" spans="2:18" ht="15" customHeight="1" x14ac:dyDescent="0.2">
      <c r="B1078" s="256"/>
      <c r="C1078" s="513"/>
      <c r="D1078" s="516">
        <f t="shared" si="48"/>
        <v>0</v>
      </c>
      <c r="I1078" s="256"/>
      <c r="J1078" s="513"/>
      <c r="K1078" s="516">
        <f t="shared" si="49"/>
        <v>0</v>
      </c>
      <c r="P1078" s="256"/>
      <c r="Q1078" s="513"/>
      <c r="R1078" s="516">
        <f t="shared" si="50"/>
        <v>0</v>
      </c>
    </row>
    <row r="1079" spans="2:18" ht="15" customHeight="1" x14ac:dyDescent="0.2">
      <c r="B1079" s="256"/>
      <c r="C1079" s="513"/>
      <c r="D1079" s="516">
        <f t="shared" si="48"/>
        <v>0</v>
      </c>
      <c r="I1079" s="256"/>
      <c r="J1079" s="513"/>
      <c r="K1079" s="516">
        <f t="shared" si="49"/>
        <v>0</v>
      </c>
      <c r="P1079" s="256"/>
      <c r="Q1079" s="513"/>
      <c r="R1079" s="516">
        <f t="shared" si="50"/>
        <v>0</v>
      </c>
    </row>
    <row r="1080" spans="2:18" ht="15" customHeight="1" x14ac:dyDescent="0.2">
      <c r="B1080" s="256"/>
      <c r="C1080" s="513"/>
      <c r="D1080" s="516">
        <f t="shared" si="48"/>
        <v>0</v>
      </c>
      <c r="I1080" s="256"/>
      <c r="J1080" s="513"/>
      <c r="K1080" s="516">
        <f t="shared" si="49"/>
        <v>0</v>
      </c>
      <c r="P1080" s="256"/>
      <c r="Q1080" s="513"/>
      <c r="R1080" s="516">
        <f t="shared" si="50"/>
        <v>0</v>
      </c>
    </row>
    <row r="1081" spans="2:18" ht="15" customHeight="1" x14ac:dyDescent="0.2">
      <c r="B1081" s="256"/>
      <c r="C1081" s="513"/>
      <c r="D1081" s="516">
        <f t="shared" si="48"/>
        <v>0</v>
      </c>
      <c r="I1081" s="256"/>
      <c r="J1081" s="513"/>
      <c r="K1081" s="516">
        <f t="shared" si="49"/>
        <v>0</v>
      </c>
      <c r="P1081" s="256"/>
      <c r="Q1081" s="513"/>
      <c r="R1081" s="516">
        <f t="shared" si="50"/>
        <v>0</v>
      </c>
    </row>
    <row r="1082" spans="2:18" ht="15" customHeight="1" x14ac:dyDescent="0.2">
      <c r="B1082" s="256"/>
      <c r="C1082" s="513"/>
      <c r="D1082" s="516">
        <f t="shared" si="48"/>
        <v>0</v>
      </c>
      <c r="I1082" s="256"/>
      <c r="J1082" s="513"/>
      <c r="K1082" s="516">
        <f t="shared" si="49"/>
        <v>0</v>
      </c>
      <c r="P1082" s="256"/>
      <c r="Q1082" s="513"/>
      <c r="R1082" s="516">
        <f t="shared" si="50"/>
        <v>0</v>
      </c>
    </row>
    <row r="1083" spans="2:18" ht="15" customHeight="1" x14ac:dyDescent="0.2">
      <c r="B1083" s="256"/>
      <c r="C1083" s="513"/>
      <c r="D1083" s="516">
        <f t="shared" si="48"/>
        <v>0</v>
      </c>
      <c r="I1083" s="256"/>
      <c r="J1083" s="513"/>
      <c r="K1083" s="516">
        <f t="shared" si="49"/>
        <v>0</v>
      </c>
      <c r="P1083" s="256"/>
      <c r="Q1083" s="513"/>
      <c r="R1083" s="516">
        <f t="shared" si="50"/>
        <v>0</v>
      </c>
    </row>
    <row r="1084" spans="2:18" ht="15" customHeight="1" x14ac:dyDescent="0.2">
      <c r="B1084" s="256"/>
      <c r="C1084" s="513"/>
      <c r="D1084" s="516">
        <f t="shared" si="48"/>
        <v>0</v>
      </c>
      <c r="I1084" s="256"/>
      <c r="J1084" s="513"/>
      <c r="K1084" s="516">
        <f t="shared" si="49"/>
        <v>0</v>
      </c>
      <c r="P1084" s="256"/>
      <c r="Q1084" s="513"/>
      <c r="R1084" s="516">
        <f t="shared" si="50"/>
        <v>0</v>
      </c>
    </row>
    <row r="1085" spans="2:18" ht="15" customHeight="1" x14ac:dyDescent="0.2">
      <c r="B1085" s="256"/>
      <c r="C1085" s="513"/>
      <c r="D1085" s="516">
        <f t="shared" si="48"/>
        <v>0</v>
      </c>
      <c r="I1085" s="256"/>
      <c r="J1085" s="513"/>
      <c r="K1085" s="516">
        <f t="shared" si="49"/>
        <v>0</v>
      </c>
      <c r="P1085" s="256"/>
      <c r="Q1085" s="513"/>
      <c r="R1085" s="516">
        <f t="shared" si="50"/>
        <v>0</v>
      </c>
    </row>
    <row r="1086" spans="2:18" ht="15" customHeight="1" x14ac:dyDescent="0.2">
      <c r="B1086" s="256"/>
      <c r="C1086" s="513"/>
      <c r="D1086" s="516">
        <f t="shared" si="48"/>
        <v>0</v>
      </c>
      <c r="I1086" s="256"/>
      <c r="J1086" s="513"/>
      <c r="K1086" s="516">
        <f t="shared" si="49"/>
        <v>0</v>
      </c>
      <c r="P1086" s="256"/>
      <c r="Q1086" s="513"/>
      <c r="R1086" s="516">
        <f t="shared" si="50"/>
        <v>0</v>
      </c>
    </row>
    <row r="1087" spans="2:18" ht="15" customHeight="1" x14ac:dyDescent="0.2">
      <c r="B1087" s="256"/>
      <c r="C1087" s="513"/>
      <c r="D1087" s="516">
        <f t="shared" si="48"/>
        <v>0</v>
      </c>
      <c r="I1087" s="256"/>
      <c r="J1087" s="513"/>
      <c r="K1087" s="516">
        <f t="shared" si="49"/>
        <v>0</v>
      </c>
      <c r="P1087" s="256"/>
      <c r="Q1087" s="513"/>
      <c r="R1087" s="516">
        <f t="shared" si="50"/>
        <v>0</v>
      </c>
    </row>
    <row r="1088" spans="2:18" ht="15" customHeight="1" x14ac:dyDescent="0.2">
      <c r="B1088" s="256"/>
      <c r="C1088" s="513"/>
      <c r="D1088" s="516">
        <f t="shared" si="48"/>
        <v>0</v>
      </c>
      <c r="I1088" s="256"/>
      <c r="J1088" s="513"/>
      <c r="K1088" s="516">
        <f t="shared" si="49"/>
        <v>0</v>
      </c>
      <c r="P1088" s="256"/>
      <c r="Q1088" s="513"/>
      <c r="R1088" s="516">
        <f t="shared" si="50"/>
        <v>0</v>
      </c>
    </row>
    <row r="1089" spans="2:18" ht="15" customHeight="1" x14ac:dyDescent="0.2">
      <c r="B1089" s="256"/>
      <c r="C1089" s="513"/>
      <c r="D1089" s="516">
        <f t="shared" si="48"/>
        <v>0</v>
      </c>
      <c r="I1089" s="256"/>
      <c r="J1089" s="513"/>
      <c r="K1089" s="516">
        <f t="shared" si="49"/>
        <v>0</v>
      </c>
      <c r="P1089" s="256"/>
      <c r="Q1089" s="513"/>
      <c r="R1089" s="516">
        <f t="shared" si="50"/>
        <v>0</v>
      </c>
    </row>
    <row r="1090" spans="2:18" ht="15" customHeight="1" x14ac:dyDescent="0.2">
      <c r="B1090" s="256"/>
      <c r="C1090" s="513"/>
      <c r="D1090" s="516">
        <f t="shared" si="48"/>
        <v>0</v>
      </c>
      <c r="I1090" s="256"/>
      <c r="J1090" s="513"/>
      <c r="K1090" s="516">
        <f t="shared" si="49"/>
        <v>0</v>
      </c>
      <c r="P1090" s="256"/>
      <c r="Q1090" s="513"/>
      <c r="R1090" s="516">
        <f t="shared" si="50"/>
        <v>0</v>
      </c>
    </row>
    <row r="1091" spans="2:18" ht="15" customHeight="1" x14ac:dyDescent="0.2">
      <c r="B1091" s="256"/>
      <c r="C1091" s="513"/>
      <c r="D1091" s="516">
        <f t="shared" si="48"/>
        <v>0</v>
      </c>
      <c r="I1091" s="256"/>
      <c r="J1091" s="513"/>
      <c r="K1091" s="516">
        <f t="shared" si="49"/>
        <v>0</v>
      </c>
      <c r="P1091" s="256"/>
      <c r="Q1091" s="513"/>
      <c r="R1091" s="516">
        <f t="shared" si="50"/>
        <v>0</v>
      </c>
    </row>
    <row r="1092" spans="2:18" ht="15" customHeight="1" x14ac:dyDescent="0.2">
      <c r="B1092" s="256"/>
      <c r="C1092" s="513"/>
      <c r="D1092" s="516">
        <f t="shared" si="48"/>
        <v>0</v>
      </c>
      <c r="I1092" s="256"/>
      <c r="J1092" s="513"/>
      <c r="K1092" s="516">
        <f t="shared" si="49"/>
        <v>0</v>
      </c>
      <c r="P1092" s="256"/>
      <c r="Q1092" s="513"/>
      <c r="R1092" s="516">
        <f t="shared" si="50"/>
        <v>0</v>
      </c>
    </row>
    <row r="1093" spans="2:18" ht="15" customHeight="1" x14ac:dyDescent="0.2">
      <c r="B1093" s="256"/>
      <c r="C1093" s="513"/>
      <c r="D1093" s="516">
        <f t="shared" si="48"/>
        <v>0</v>
      </c>
      <c r="I1093" s="256"/>
      <c r="J1093" s="513"/>
      <c r="K1093" s="516">
        <f t="shared" si="49"/>
        <v>0</v>
      </c>
      <c r="P1093" s="256"/>
      <c r="Q1093" s="513"/>
      <c r="R1093" s="516">
        <f t="shared" si="50"/>
        <v>0</v>
      </c>
    </row>
    <row r="1094" spans="2:18" ht="15" customHeight="1" x14ac:dyDescent="0.2">
      <c r="B1094" s="256"/>
      <c r="C1094" s="513"/>
      <c r="D1094" s="516">
        <f t="shared" si="48"/>
        <v>0</v>
      </c>
      <c r="I1094" s="256"/>
      <c r="J1094" s="513"/>
      <c r="K1094" s="516">
        <f t="shared" si="49"/>
        <v>0</v>
      </c>
      <c r="P1094" s="256"/>
      <c r="Q1094" s="513"/>
      <c r="R1094" s="516">
        <f t="shared" si="50"/>
        <v>0</v>
      </c>
    </row>
    <row r="1095" spans="2:18" ht="15" customHeight="1" x14ac:dyDescent="0.2">
      <c r="B1095" s="256"/>
      <c r="C1095" s="513"/>
      <c r="D1095" s="516">
        <f t="shared" si="48"/>
        <v>0</v>
      </c>
      <c r="I1095" s="256"/>
      <c r="J1095" s="513"/>
      <c r="K1095" s="516">
        <f t="shared" si="49"/>
        <v>0</v>
      </c>
      <c r="P1095" s="256"/>
      <c r="Q1095" s="513"/>
      <c r="R1095" s="516">
        <f t="shared" si="50"/>
        <v>0</v>
      </c>
    </row>
    <row r="1096" spans="2:18" ht="15" customHeight="1" x14ac:dyDescent="0.2">
      <c r="B1096" s="256"/>
      <c r="C1096" s="513"/>
      <c r="D1096" s="516">
        <f t="shared" si="48"/>
        <v>0</v>
      </c>
      <c r="I1096" s="256"/>
      <c r="J1096" s="513"/>
      <c r="K1096" s="516">
        <f t="shared" si="49"/>
        <v>0</v>
      </c>
      <c r="P1096" s="256"/>
      <c r="Q1096" s="513"/>
      <c r="R1096" s="516">
        <f t="shared" si="50"/>
        <v>0</v>
      </c>
    </row>
    <row r="1097" spans="2:18" ht="15" customHeight="1" x14ac:dyDescent="0.2">
      <c r="B1097" s="256"/>
      <c r="C1097" s="513"/>
      <c r="D1097" s="516">
        <f t="shared" si="48"/>
        <v>0</v>
      </c>
      <c r="I1097" s="256"/>
      <c r="J1097" s="513"/>
      <c r="K1097" s="516">
        <f t="shared" si="49"/>
        <v>0</v>
      </c>
      <c r="P1097" s="256"/>
      <c r="Q1097" s="513"/>
      <c r="R1097" s="516">
        <f t="shared" si="50"/>
        <v>0</v>
      </c>
    </row>
    <row r="1098" spans="2:18" ht="15" customHeight="1" x14ac:dyDescent="0.2">
      <c r="B1098" s="256"/>
      <c r="C1098" s="513"/>
      <c r="D1098" s="516">
        <f t="shared" si="48"/>
        <v>0</v>
      </c>
      <c r="I1098" s="256"/>
      <c r="J1098" s="513"/>
      <c r="K1098" s="516">
        <f t="shared" si="49"/>
        <v>0</v>
      </c>
      <c r="P1098" s="256"/>
      <c r="Q1098" s="513"/>
      <c r="R1098" s="516">
        <f t="shared" si="50"/>
        <v>0</v>
      </c>
    </row>
    <row r="1099" spans="2:18" ht="15" customHeight="1" x14ac:dyDescent="0.2">
      <c r="B1099" s="256"/>
      <c r="C1099" s="513"/>
      <c r="D1099" s="516">
        <f t="shared" si="48"/>
        <v>0</v>
      </c>
      <c r="I1099" s="256"/>
      <c r="J1099" s="513"/>
      <c r="K1099" s="516">
        <f t="shared" si="49"/>
        <v>0</v>
      </c>
      <c r="P1099" s="256"/>
      <c r="Q1099" s="513"/>
      <c r="R1099" s="516">
        <f t="shared" si="50"/>
        <v>0</v>
      </c>
    </row>
    <row r="1100" spans="2:18" ht="15" customHeight="1" x14ac:dyDescent="0.2">
      <c r="B1100" s="256"/>
      <c r="C1100" s="513"/>
      <c r="D1100" s="516">
        <f t="shared" si="48"/>
        <v>0</v>
      </c>
      <c r="I1100" s="256"/>
      <c r="J1100" s="513"/>
      <c r="K1100" s="516">
        <f t="shared" si="49"/>
        <v>0</v>
      </c>
      <c r="P1100" s="256"/>
      <c r="Q1100" s="513"/>
      <c r="R1100" s="516">
        <f t="shared" si="50"/>
        <v>0</v>
      </c>
    </row>
    <row r="1101" spans="2:18" ht="15" customHeight="1" x14ac:dyDescent="0.2">
      <c r="B1101" s="256"/>
      <c r="C1101" s="513"/>
      <c r="D1101" s="516">
        <f t="shared" si="48"/>
        <v>0</v>
      </c>
      <c r="I1101" s="256"/>
      <c r="J1101" s="513"/>
      <c r="K1101" s="516">
        <f t="shared" si="49"/>
        <v>0</v>
      </c>
      <c r="P1101" s="256"/>
      <c r="Q1101" s="513"/>
      <c r="R1101" s="516">
        <f t="shared" si="50"/>
        <v>0</v>
      </c>
    </row>
    <row r="1102" spans="2:18" ht="15" customHeight="1" x14ac:dyDescent="0.2">
      <c r="B1102" s="256"/>
      <c r="C1102" s="513"/>
      <c r="D1102" s="516">
        <f t="shared" si="48"/>
        <v>0</v>
      </c>
      <c r="I1102" s="256"/>
      <c r="J1102" s="513"/>
      <c r="K1102" s="516">
        <f t="shared" si="49"/>
        <v>0</v>
      </c>
      <c r="P1102" s="256"/>
      <c r="Q1102" s="513"/>
      <c r="R1102" s="516">
        <f t="shared" si="50"/>
        <v>0</v>
      </c>
    </row>
    <row r="1103" spans="2:18" ht="15" customHeight="1" x14ac:dyDescent="0.2">
      <c r="B1103" s="256"/>
      <c r="C1103" s="513"/>
      <c r="D1103" s="516">
        <f t="shared" si="48"/>
        <v>0</v>
      </c>
      <c r="I1103" s="256"/>
      <c r="J1103" s="513"/>
      <c r="K1103" s="516">
        <f t="shared" si="49"/>
        <v>0</v>
      </c>
      <c r="P1103" s="256"/>
      <c r="Q1103" s="513"/>
      <c r="R1103" s="516">
        <f t="shared" si="50"/>
        <v>0</v>
      </c>
    </row>
    <row r="1104" spans="2:18" ht="15" customHeight="1" x14ac:dyDescent="0.2">
      <c r="B1104" s="256"/>
      <c r="C1104" s="513"/>
      <c r="D1104" s="516">
        <f t="shared" si="48"/>
        <v>0</v>
      </c>
      <c r="I1104" s="256"/>
      <c r="J1104" s="513"/>
      <c r="K1104" s="516">
        <f t="shared" si="49"/>
        <v>0</v>
      </c>
      <c r="P1104" s="256"/>
      <c r="Q1104" s="513"/>
      <c r="R1104" s="516">
        <f t="shared" si="50"/>
        <v>0</v>
      </c>
    </row>
    <row r="1105" spans="2:18" ht="15" customHeight="1" x14ac:dyDescent="0.2">
      <c r="B1105" s="256"/>
      <c r="C1105" s="513"/>
      <c r="D1105" s="516">
        <f t="shared" si="48"/>
        <v>0</v>
      </c>
      <c r="I1105" s="256"/>
      <c r="J1105" s="513"/>
      <c r="K1105" s="516">
        <f t="shared" si="49"/>
        <v>0</v>
      </c>
      <c r="P1105" s="256"/>
      <c r="Q1105" s="513"/>
      <c r="R1105" s="516">
        <f t="shared" si="50"/>
        <v>0</v>
      </c>
    </row>
    <row r="1106" spans="2:18" ht="15" customHeight="1" x14ac:dyDescent="0.2">
      <c r="B1106" s="256"/>
      <c r="C1106" s="513"/>
      <c r="D1106" s="516">
        <f t="shared" ref="D1106:D1169" si="51">C1106/1000</f>
        <v>0</v>
      </c>
      <c r="I1106" s="256"/>
      <c r="J1106" s="513"/>
      <c r="K1106" s="516">
        <f t="shared" ref="K1106:K1169" si="52">J1106/1000</f>
        <v>0</v>
      </c>
      <c r="P1106" s="256"/>
      <c r="Q1106" s="513"/>
      <c r="R1106" s="516">
        <f t="shared" ref="R1106:R1169" si="53">Q1106/1000</f>
        <v>0</v>
      </c>
    </row>
    <row r="1107" spans="2:18" ht="15" customHeight="1" x14ac:dyDescent="0.2">
      <c r="B1107" s="256"/>
      <c r="C1107" s="513"/>
      <c r="D1107" s="516">
        <f t="shared" si="51"/>
        <v>0</v>
      </c>
      <c r="I1107" s="256"/>
      <c r="J1107" s="513"/>
      <c r="K1107" s="516">
        <f t="shared" si="52"/>
        <v>0</v>
      </c>
      <c r="P1107" s="256"/>
      <c r="Q1107" s="513"/>
      <c r="R1107" s="516">
        <f t="shared" si="53"/>
        <v>0</v>
      </c>
    </row>
    <row r="1108" spans="2:18" ht="15" customHeight="1" x14ac:dyDescent="0.2">
      <c r="B1108" s="256"/>
      <c r="C1108" s="513"/>
      <c r="D1108" s="516">
        <f t="shared" si="51"/>
        <v>0</v>
      </c>
      <c r="I1108" s="256"/>
      <c r="J1108" s="513"/>
      <c r="K1108" s="516">
        <f t="shared" si="52"/>
        <v>0</v>
      </c>
      <c r="P1108" s="256"/>
      <c r="Q1108" s="513"/>
      <c r="R1108" s="516">
        <f t="shared" si="53"/>
        <v>0</v>
      </c>
    </row>
    <row r="1109" spans="2:18" ht="15" customHeight="1" x14ac:dyDescent="0.2">
      <c r="B1109" s="256"/>
      <c r="C1109" s="513"/>
      <c r="D1109" s="516">
        <f t="shared" si="51"/>
        <v>0</v>
      </c>
      <c r="I1109" s="256"/>
      <c r="J1109" s="513"/>
      <c r="K1109" s="516">
        <f t="shared" si="52"/>
        <v>0</v>
      </c>
      <c r="P1109" s="256"/>
      <c r="Q1109" s="513"/>
      <c r="R1109" s="516">
        <f t="shared" si="53"/>
        <v>0</v>
      </c>
    </row>
    <row r="1110" spans="2:18" ht="15" customHeight="1" x14ac:dyDescent="0.2">
      <c r="B1110" s="256"/>
      <c r="C1110" s="513"/>
      <c r="D1110" s="516">
        <f t="shared" si="51"/>
        <v>0</v>
      </c>
      <c r="I1110" s="256"/>
      <c r="J1110" s="513"/>
      <c r="K1110" s="516">
        <f t="shared" si="52"/>
        <v>0</v>
      </c>
      <c r="P1110" s="256"/>
      <c r="Q1110" s="513"/>
      <c r="R1110" s="516">
        <f t="shared" si="53"/>
        <v>0</v>
      </c>
    </row>
    <row r="1111" spans="2:18" ht="15" customHeight="1" x14ac:dyDescent="0.2">
      <c r="B1111" s="256"/>
      <c r="C1111" s="513"/>
      <c r="D1111" s="516">
        <f t="shared" si="51"/>
        <v>0</v>
      </c>
      <c r="I1111" s="256"/>
      <c r="J1111" s="513"/>
      <c r="K1111" s="516">
        <f t="shared" si="52"/>
        <v>0</v>
      </c>
      <c r="P1111" s="256"/>
      <c r="Q1111" s="513"/>
      <c r="R1111" s="516">
        <f t="shared" si="53"/>
        <v>0</v>
      </c>
    </row>
    <row r="1112" spans="2:18" ht="15" customHeight="1" x14ac:dyDescent="0.2">
      <c r="B1112" s="256"/>
      <c r="C1112" s="513"/>
      <c r="D1112" s="516">
        <f t="shared" si="51"/>
        <v>0</v>
      </c>
      <c r="I1112" s="256"/>
      <c r="J1112" s="513"/>
      <c r="K1112" s="516">
        <f t="shared" si="52"/>
        <v>0</v>
      </c>
      <c r="P1112" s="256"/>
      <c r="Q1112" s="513"/>
      <c r="R1112" s="516">
        <f t="shared" si="53"/>
        <v>0</v>
      </c>
    </row>
    <row r="1113" spans="2:18" ht="15" customHeight="1" x14ac:dyDescent="0.2">
      <c r="B1113" s="256"/>
      <c r="C1113" s="513"/>
      <c r="D1113" s="516">
        <f t="shared" si="51"/>
        <v>0</v>
      </c>
      <c r="I1113" s="256"/>
      <c r="J1113" s="513"/>
      <c r="K1113" s="516">
        <f t="shared" si="52"/>
        <v>0</v>
      </c>
      <c r="P1113" s="256"/>
      <c r="Q1113" s="513"/>
      <c r="R1113" s="516">
        <f t="shared" si="53"/>
        <v>0</v>
      </c>
    </row>
    <row r="1114" spans="2:18" ht="15" customHeight="1" x14ac:dyDescent="0.2">
      <c r="B1114" s="256"/>
      <c r="C1114" s="513"/>
      <c r="D1114" s="516">
        <f t="shared" si="51"/>
        <v>0</v>
      </c>
      <c r="I1114" s="256"/>
      <c r="J1114" s="513"/>
      <c r="K1114" s="516">
        <f t="shared" si="52"/>
        <v>0</v>
      </c>
      <c r="P1114" s="256"/>
      <c r="Q1114" s="513"/>
      <c r="R1114" s="516">
        <f t="shared" si="53"/>
        <v>0</v>
      </c>
    </row>
    <row r="1115" spans="2:18" ht="15" customHeight="1" x14ac:dyDescent="0.2">
      <c r="B1115" s="256"/>
      <c r="C1115" s="513"/>
      <c r="D1115" s="516">
        <f t="shared" si="51"/>
        <v>0</v>
      </c>
      <c r="I1115" s="256"/>
      <c r="J1115" s="513"/>
      <c r="K1115" s="516">
        <f t="shared" si="52"/>
        <v>0</v>
      </c>
      <c r="P1115" s="256"/>
      <c r="Q1115" s="513"/>
      <c r="R1115" s="516">
        <f t="shared" si="53"/>
        <v>0</v>
      </c>
    </row>
    <row r="1116" spans="2:18" ht="15" customHeight="1" x14ac:dyDescent="0.2">
      <c r="B1116" s="256"/>
      <c r="C1116" s="513"/>
      <c r="D1116" s="516">
        <f t="shared" si="51"/>
        <v>0</v>
      </c>
      <c r="I1116" s="256"/>
      <c r="J1116" s="513"/>
      <c r="K1116" s="516">
        <f t="shared" si="52"/>
        <v>0</v>
      </c>
      <c r="P1116" s="256"/>
      <c r="Q1116" s="513"/>
      <c r="R1116" s="516">
        <f t="shared" si="53"/>
        <v>0</v>
      </c>
    </row>
    <row r="1117" spans="2:18" ht="15" customHeight="1" x14ac:dyDescent="0.2">
      <c r="B1117" s="256"/>
      <c r="C1117" s="513"/>
      <c r="D1117" s="516">
        <f t="shared" si="51"/>
        <v>0</v>
      </c>
      <c r="I1117" s="256"/>
      <c r="J1117" s="513"/>
      <c r="K1117" s="516">
        <f t="shared" si="52"/>
        <v>0</v>
      </c>
      <c r="P1117" s="256"/>
      <c r="Q1117" s="513"/>
      <c r="R1117" s="516">
        <f t="shared" si="53"/>
        <v>0</v>
      </c>
    </row>
    <row r="1118" spans="2:18" ht="15" customHeight="1" x14ac:dyDescent="0.2">
      <c r="B1118" s="256"/>
      <c r="C1118" s="513"/>
      <c r="D1118" s="516">
        <f t="shared" si="51"/>
        <v>0</v>
      </c>
      <c r="I1118" s="256"/>
      <c r="J1118" s="513"/>
      <c r="K1118" s="516">
        <f t="shared" si="52"/>
        <v>0</v>
      </c>
      <c r="P1118" s="256"/>
      <c r="Q1118" s="513"/>
      <c r="R1118" s="516">
        <f t="shared" si="53"/>
        <v>0</v>
      </c>
    </row>
    <row r="1119" spans="2:18" ht="15" customHeight="1" x14ac:dyDescent="0.2">
      <c r="B1119" s="256"/>
      <c r="C1119" s="513"/>
      <c r="D1119" s="516">
        <f t="shared" si="51"/>
        <v>0</v>
      </c>
      <c r="I1119" s="256"/>
      <c r="J1119" s="513"/>
      <c r="K1119" s="516">
        <f t="shared" si="52"/>
        <v>0</v>
      </c>
      <c r="P1119" s="256"/>
      <c r="Q1119" s="513"/>
      <c r="R1119" s="516">
        <f t="shared" si="53"/>
        <v>0</v>
      </c>
    </row>
    <row r="1120" spans="2:18" ht="15" customHeight="1" x14ac:dyDescent="0.2">
      <c r="B1120" s="256"/>
      <c r="C1120" s="513"/>
      <c r="D1120" s="516">
        <f t="shared" si="51"/>
        <v>0</v>
      </c>
      <c r="I1120" s="256"/>
      <c r="J1120" s="513"/>
      <c r="K1120" s="516">
        <f t="shared" si="52"/>
        <v>0</v>
      </c>
      <c r="P1120" s="256"/>
      <c r="Q1120" s="513"/>
      <c r="R1120" s="516">
        <f t="shared" si="53"/>
        <v>0</v>
      </c>
    </row>
    <row r="1121" spans="2:18" ht="15" customHeight="1" x14ac:dyDescent="0.2">
      <c r="B1121" s="256"/>
      <c r="C1121" s="513"/>
      <c r="D1121" s="516">
        <f t="shared" si="51"/>
        <v>0</v>
      </c>
      <c r="I1121" s="256"/>
      <c r="J1121" s="513"/>
      <c r="K1121" s="516">
        <f t="shared" si="52"/>
        <v>0</v>
      </c>
      <c r="P1121" s="256"/>
      <c r="Q1121" s="513"/>
      <c r="R1121" s="516">
        <f t="shared" si="53"/>
        <v>0</v>
      </c>
    </row>
    <row r="1122" spans="2:18" ht="15" customHeight="1" x14ac:dyDescent="0.2">
      <c r="B1122" s="256"/>
      <c r="C1122" s="513"/>
      <c r="D1122" s="516">
        <f t="shared" si="51"/>
        <v>0</v>
      </c>
      <c r="I1122" s="256"/>
      <c r="J1122" s="513"/>
      <c r="K1122" s="516">
        <f t="shared" si="52"/>
        <v>0</v>
      </c>
      <c r="P1122" s="256"/>
      <c r="Q1122" s="513"/>
      <c r="R1122" s="516">
        <f t="shared" si="53"/>
        <v>0</v>
      </c>
    </row>
    <row r="1123" spans="2:18" ht="15" customHeight="1" x14ac:dyDescent="0.2">
      <c r="B1123" s="256"/>
      <c r="C1123" s="513"/>
      <c r="D1123" s="516">
        <f t="shared" si="51"/>
        <v>0</v>
      </c>
      <c r="I1123" s="256"/>
      <c r="J1123" s="513"/>
      <c r="K1123" s="516">
        <f t="shared" si="52"/>
        <v>0</v>
      </c>
      <c r="P1123" s="256"/>
      <c r="Q1123" s="513"/>
      <c r="R1123" s="516">
        <f t="shared" si="53"/>
        <v>0</v>
      </c>
    </row>
    <row r="1124" spans="2:18" ht="15" customHeight="1" x14ac:dyDescent="0.2">
      <c r="B1124" s="256"/>
      <c r="C1124" s="513"/>
      <c r="D1124" s="516">
        <f t="shared" si="51"/>
        <v>0</v>
      </c>
      <c r="I1124" s="256"/>
      <c r="J1124" s="513"/>
      <c r="K1124" s="516">
        <f t="shared" si="52"/>
        <v>0</v>
      </c>
      <c r="P1124" s="256"/>
      <c r="Q1124" s="513"/>
      <c r="R1124" s="516">
        <f t="shared" si="53"/>
        <v>0</v>
      </c>
    </row>
    <row r="1125" spans="2:18" ht="15" customHeight="1" x14ac:dyDescent="0.2">
      <c r="B1125" s="256"/>
      <c r="C1125" s="513"/>
      <c r="D1125" s="516">
        <f t="shared" si="51"/>
        <v>0</v>
      </c>
      <c r="I1125" s="256"/>
      <c r="J1125" s="513"/>
      <c r="K1125" s="516">
        <f t="shared" si="52"/>
        <v>0</v>
      </c>
      <c r="P1125" s="256"/>
      <c r="Q1125" s="513"/>
      <c r="R1125" s="516">
        <f t="shared" si="53"/>
        <v>0</v>
      </c>
    </row>
    <row r="1126" spans="2:18" ht="15" customHeight="1" x14ac:dyDescent="0.2">
      <c r="B1126" s="256"/>
      <c r="C1126" s="513"/>
      <c r="D1126" s="516">
        <f t="shared" si="51"/>
        <v>0</v>
      </c>
      <c r="I1126" s="256"/>
      <c r="J1126" s="513"/>
      <c r="K1126" s="516">
        <f t="shared" si="52"/>
        <v>0</v>
      </c>
      <c r="P1126" s="256"/>
      <c r="Q1126" s="513"/>
      <c r="R1126" s="516">
        <f t="shared" si="53"/>
        <v>0</v>
      </c>
    </row>
    <row r="1127" spans="2:18" ht="15" customHeight="1" x14ac:dyDescent="0.2">
      <c r="B1127" s="256"/>
      <c r="C1127" s="513"/>
      <c r="D1127" s="516">
        <f t="shared" si="51"/>
        <v>0</v>
      </c>
      <c r="I1127" s="256"/>
      <c r="J1127" s="513"/>
      <c r="K1127" s="516">
        <f t="shared" si="52"/>
        <v>0</v>
      </c>
      <c r="P1127" s="256"/>
      <c r="Q1127" s="513"/>
      <c r="R1127" s="516">
        <f t="shared" si="53"/>
        <v>0</v>
      </c>
    </row>
    <row r="1128" spans="2:18" ht="15" customHeight="1" x14ac:dyDescent="0.2">
      <c r="B1128" s="256"/>
      <c r="C1128" s="513"/>
      <c r="D1128" s="516">
        <f t="shared" si="51"/>
        <v>0</v>
      </c>
      <c r="I1128" s="256"/>
      <c r="J1128" s="513"/>
      <c r="K1128" s="516">
        <f t="shared" si="52"/>
        <v>0</v>
      </c>
      <c r="P1128" s="256"/>
      <c r="Q1128" s="513"/>
      <c r="R1128" s="516">
        <f t="shared" si="53"/>
        <v>0</v>
      </c>
    </row>
    <row r="1129" spans="2:18" ht="15" customHeight="1" x14ac:dyDescent="0.2">
      <c r="B1129" s="256"/>
      <c r="C1129" s="513"/>
      <c r="D1129" s="516">
        <f t="shared" si="51"/>
        <v>0</v>
      </c>
      <c r="I1129" s="256"/>
      <c r="J1129" s="513"/>
      <c r="K1129" s="516">
        <f t="shared" si="52"/>
        <v>0</v>
      </c>
      <c r="P1129" s="256"/>
      <c r="Q1129" s="513"/>
      <c r="R1129" s="516">
        <f t="shared" si="53"/>
        <v>0</v>
      </c>
    </row>
    <row r="1130" spans="2:18" ht="15" customHeight="1" x14ac:dyDescent="0.2">
      <c r="B1130" s="256"/>
      <c r="C1130" s="513"/>
      <c r="D1130" s="516">
        <f t="shared" si="51"/>
        <v>0</v>
      </c>
      <c r="I1130" s="256"/>
      <c r="J1130" s="513"/>
      <c r="K1130" s="516">
        <f t="shared" si="52"/>
        <v>0</v>
      </c>
      <c r="P1130" s="256"/>
      <c r="Q1130" s="513"/>
      <c r="R1130" s="516">
        <f t="shared" si="53"/>
        <v>0</v>
      </c>
    </row>
    <row r="1131" spans="2:18" ht="15" customHeight="1" x14ac:dyDescent="0.2">
      <c r="B1131" s="256"/>
      <c r="C1131" s="513"/>
      <c r="D1131" s="516">
        <f t="shared" si="51"/>
        <v>0</v>
      </c>
      <c r="I1131" s="256"/>
      <c r="J1131" s="513"/>
      <c r="K1131" s="516">
        <f t="shared" si="52"/>
        <v>0</v>
      </c>
      <c r="P1131" s="256"/>
      <c r="Q1131" s="513"/>
      <c r="R1131" s="516">
        <f t="shared" si="53"/>
        <v>0</v>
      </c>
    </row>
    <row r="1132" spans="2:18" ht="15" customHeight="1" x14ac:dyDescent="0.2">
      <c r="B1132" s="256"/>
      <c r="C1132" s="513"/>
      <c r="D1132" s="516">
        <f t="shared" si="51"/>
        <v>0</v>
      </c>
      <c r="I1132" s="256"/>
      <c r="J1132" s="513"/>
      <c r="K1132" s="516">
        <f t="shared" si="52"/>
        <v>0</v>
      </c>
      <c r="P1132" s="256"/>
      <c r="Q1132" s="513"/>
      <c r="R1132" s="516">
        <f t="shared" si="53"/>
        <v>0</v>
      </c>
    </row>
    <row r="1133" spans="2:18" ht="15" customHeight="1" x14ac:dyDescent="0.2">
      <c r="B1133" s="256"/>
      <c r="C1133" s="513"/>
      <c r="D1133" s="516">
        <f t="shared" si="51"/>
        <v>0</v>
      </c>
      <c r="I1133" s="256"/>
      <c r="J1133" s="513"/>
      <c r="K1133" s="516">
        <f t="shared" si="52"/>
        <v>0</v>
      </c>
      <c r="P1133" s="256"/>
      <c r="Q1133" s="513"/>
      <c r="R1133" s="516">
        <f t="shared" si="53"/>
        <v>0</v>
      </c>
    </row>
    <row r="1134" spans="2:18" ht="15" customHeight="1" x14ac:dyDescent="0.2">
      <c r="B1134" s="256"/>
      <c r="C1134" s="513"/>
      <c r="D1134" s="516">
        <f t="shared" si="51"/>
        <v>0</v>
      </c>
      <c r="I1134" s="256"/>
      <c r="J1134" s="513"/>
      <c r="K1134" s="516">
        <f t="shared" si="52"/>
        <v>0</v>
      </c>
      <c r="P1134" s="256"/>
      <c r="Q1134" s="513"/>
      <c r="R1134" s="516">
        <f t="shared" si="53"/>
        <v>0</v>
      </c>
    </row>
    <row r="1135" spans="2:18" ht="15" customHeight="1" x14ac:dyDescent="0.2">
      <c r="B1135" s="256"/>
      <c r="C1135" s="513"/>
      <c r="D1135" s="516">
        <f t="shared" si="51"/>
        <v>0</v>
      </c>
      <c r="I1135" s="256"/>
      <c r="J1135" s="513"/>
      <c r="K1135" s="516">
        <f t="shared" si="52"/>
        <v>0</v>
      </c>
      <c r="P1135" s="256"/>
      <c r="Q1135" s="513"/>
      <c r="R1135" s="516">
        <f t="shared" si="53"/>
        <v>0</v>
      </c>
    </row>
    <row r="1136" spans="2:18" ht="15" customHeight="1" x14ac:dyDescent="0.2">
      <c r="B1136" s="256"/>
      <c r="C1136" s="513"/>
      <c r="D1136" s="516">
        <f t="shared" si="51"/>
        <v>0</v>
      </c>
      <c r="I1136" s="256"/>
      <c r="J1136" s="513"/>
      <c r="K1136" s="516">
        <f t="shared" si="52"/>
        <v>0</v>
      </c>
      <c r="P1136" s="256"/>
      <c r="Q1136" s="513"/>
      <c r="R1136" s="516">
        <f t="shared" si="53"/>
        <v>0</v>
      </c>
    </row>
    <row r="1137" spans="2:18" ht="15" customHeight="1" x14ac:dyDescent="0.2">
      <c r="B1137" s="256"/>
      <c r="C1137" s="513"/>
      <c r="D1137" s="516">
        <f t="shared" si="51"/>
        <v>0</v>
      </c>
      <c r="I1137" s="256"/>
      <c r="J1137" s="513"/>
      <c r="K1137" s="516">
        <f t="shared" si="52"/>
        <v>0</v>
      </c>
      <c r="P1137" s="256"/>
      <c r="Q1137" s="513"/>
      <c r="R1137" s="516">
        <f t="shared" si="53"/>
        <v>0</v>
      </c>
    </row>
    <row r="1138" spans="2:18" ht="15" customHeight="1" x14ac:dyDescent="0.2">
      <c r="B1138" s="256"/>
      <c r="C1138" s="513"/>
      <c r="D1138" s="516">
        <f t="shared" si="51"/>
        <v>0</v>
      </c>
      <c r="I1138" s="256"/>
      <c r="J1138" s="513"/>
      <c r="K1138" s="516">
        <f t="shared" si="52"/>
        <v>0</v>
      </c>
      <c r="P1138" s="256"/>
      <c r="Q1138" s="513"/>
      <c r="R1138" s="516">
        <f t="shared" si="53"/>
        <v>0</v>
      </c>
    </row>
    <row r="1139" spans="2:18" ht="15" customHeight="1" x14ac:dyDescent="0.2">
      <c r="B1139" s="256"/>
      <c r="C1139" s="513"/>
      <c r="D1139" s="516">
        <f t="shared" si="51"/>
        <v>0</v>
      </c>
      <c r="I1139" s="256"/>
      <c r="J1139" s="513"/>
      <c r="K1139" s="516">
        <f t="shared" si="52"/>
        <v>0</v>
      </c>
      <c r="P1139" s="256"/>
      <c r="Q1139" s="513"/>
      <c r="R1139" s="516">
        <f t="shared" si="53"/>
        <v>0</v>
      </c>
    </row>
    <row r="1140" spans="2:18" ht="15" customHeight="1" x14ac:dyDescent="0.2">
      <c r="B1140" s="256"/>
      <c r="C1140" s="513"/>
      <c r="D1140" s="516">
        <f t="shared" si="51"/>
        <v>0</v>
      </c>
      <c r="I1140" s="256"/>
      <c r="J1140" s="513"/>
      <c r="K1140" s="516">
        <f t="shared" si="52"/>
        <v>0</v>
      </c>
      <c r="P1140" s="256"/>
      <c r="Q1140" s="513"/>
      <c r="R1140" s="516">
        <f t="shared" si="53"/>
        <v>0</v>
      </c>
    </row>
    <row r="1141" spans="2:18" ht="15" customHeight="1" x14ac:dyDescent="0.2">
      <c r="B1141" s="256"/>
      <c r="C1141" s="513"/>
      <c r="D1141" s="516">
        <f t="shared" si="51"/>
        <v>0</v>
      </c>
      <c r="I1141" s="256"/>
      <c r="J1141" s="513"/>
      <c r="K1141" s="516">
        <f t="shared" si="52"/>
        <v>0</v>
      </c>
      <c r="P1141" s="256"/>
      <c r="Q1141" s="513"/>
      <c r="R1141" s="516">
        <f t="shared" si="53"/>
        <v>0</v>
      </c>
    </row>
    <row r="1142" spans="2:18" ht="15" customHeight="1" x14ac:dyDescent="0.2">
      <c r="B1142" s="256"/>
      <c r="C1142" s="513"/>
      <c r="D1142" s="516">
        <f t="shared" si="51"/>
        <v>0</v>
      </c>
      <c r="I1142" s="256"/>
      <c r="J1142" s="513"/>
      <c r="K1142" s="516">
        <f t="shared" si="52"/>
        <v>0</v>
      </c>
      <c r="P1142" s="256"/>
      <c r="Q1142" s="513"/>
      <c r="R1142" s="516">
        <f t="shared" si="53"/>
        <v>0</v>
      </c>
    </row>
    <row r="1143" spans="2:18" ht="15" customHeight="1" x14ac:dyDescent="0.2">
      <c r="B1143" s="256"/>
      <c r="C1143" s="513"/>
      <c r="D1143" s="516">
        <f t="shared" si="51"/>
        <v>0</v>
      </c>
      <c r="I1143" s="256"/>
      <c r="J1143" s="513"/>
      <c r="K1143" s="516">
        <f t="shared" si="52"/>
        <v>0</v>
      </c>
      <c r="P1143" s="256"/>
      <c r="Q1143" s="513"/>
      <c r="R1143" s="516">
        <f t="shared" si="53"/>
        <v>0</v>
      </c>
    </row>
    <row r="1144" spans="2:18" ht="15" customHeight="1" x14ac:dyDescent="0.2">
      <c r="B1144" s="256"/>
      <c r="C1144" s="513"/>
      <c r="D1144" s="516">
        <f t="shared" si="51"/>
        <v>0</v>
      </c>
      <c r="I1144" s="256"/>
      <c r="J1144" s="513"/>
      <c r="K1144" s="516">
        <f t="shared" si="52"/>
        <v>0</v>
      </c>
      <c r="P1144" s="256"/>
      <c r="Q1144" s="513"/>
      <c r="R1144" s="516">
        <f t="shared" si="53"/>
        <v>0</v>
      </c>
    </row>
    <row r="1145" spans="2:18" ht="15" customHeight="1" x14ac:dyDescent="0.2">
      <c r="B1145" s="256"/>
      <c r="C1145" s="513"/>
      <c r="D1145" s="516">
        <f t="shared" si="51"/>
        <v>0</v>
      </c>
      <c r="I1145" s="256"/>
      <c r="J1145" s="513"/>
      <c r="K1145" s="516">
        <f t="shared" si="52"/>
        <v>0</v>
      </c>
      <c r="P1145" s="256"/>
      <c r="Q1145" s="513"/>
      <c r="R1145" s="516">
        <f t="shared" si="53"/>
        <v>0</v>
      </c>
    </row>
    <row r="1146" spans="2:18" ht="15" customHeight="1" x14ac:dyDescent="0.2">
      <c r="B1146" s="256"/>
      <c r="C1146" s="513"/>
      <c r="D1146" s="516">
        <f t="shared" si="51"/>
        <v>0</v>
      </c>
      <c r="I1146" s="256"/>
      <c r="J1146" s="513"/>
      <c r="K1146" s="516">
        <f t="shared" si="52"/>
        <v>0</v>
      </c>
      <c r="P1146" s="256"/>
      <c r="Q1146" s="513"/>
      <c r="R1146" s="516">
        <f t="shared" si="53"/>
        <v>0</v>
      </c>
    </row>
    <row r="1147" spans="2:18" ht="15" customHeight="1" x14ac:dyDescent="0.2">
      <c r="B1147" s="256"/>
      <c r="C1147" s="513"/>
      <c r="D1147" s="516">
        <f t="shared" si="51"/>
        <v>0</v>
      </c>
      <c r="I1147" s="256"/>
      <c r="J1147" s="513"/>
      <c r="K1147" s="516">
        <f t="shared" si="52"/>
        <v>0</v>
      </c>
      <c r="P1147" s="256"/>
      <c r="Q1147" s="513"/>
      <c r="R1147" s="516">
        <f t="shared" si="53"/>
        <v>0</v>
      </c>
    </row>
    <row r="1148" spans="2:18" ht="15" customHeight="1" x14ac:dyDescent="0.2">
      <c r="B1148" s="256"/>
      <c r="C1148" s="513"/>
      <c r="D1148" s="516">
        <f t="shared" si="51"/>
        <v>0</v>
      </c>
      <c r="I1148" s="256"/>
      <c r="J1148" s="513"/>
      <c r="K1148" s="516">
        <f t="shared" si="52"/>
        <v>0</v>
      </c>
      <c r="P1148" s="256"/>
      <c r="Q1148" s="513"/>
      <c r="R1148" s="516">
        <f t="shared" si="53"/>
        <v>0</v>
      </c>
    </row>
    <row r="1149" spans="2:18" ht="15" customHeight="1" x14ac:dyDescent="0.2">
      <c r="B1149" s="256"/>
      <c r="C1149" s="513"/>
      <c r="D1149" s="516">
        <f t="shared" si="51"/>
        <v>0</v>
      </c>
      <c r="I1149" s="256"/>
      <c r="J1149" s="513"/>
      <c r="K1149" s="516">
        <f t="shared" si="52"/>
        <v>0</v>
      </c>
      <c r="P1149" s="256"/>
      <c r="Q1149" s="513"/>
      <c r="R1149" s="516">
        <f t="shared" si="53"/>
        <v>0</v>
      </c>
    </row>
    <row r="1150" spans="2:18" ht="15" customHeight="1" x14ac:dyDescent="0.2">
      <c r="B1150" s="256"/>
      <c r="C1150" s="513"/>
      <c r="D1150" s="516">
        <f t="shared" si="51"/>
        <v>0</v>
      </c>
      <c r="I1150" s="256"/>
      <c r="J1150" s="513"/>
      <c r="K1150" s="516">
        <f t="shared" si="52"/>
        <v>0</v>
      </c>
      <c r="P1150" s="256"/>
      <c r="Q1150" s="513"/>
      <c r="R1150" s="516">
        <f t="shared" si="53"/>
        <v>0</v>
      </c>
    </row>
    <row r="1151" spans="2:18" ht="15" customHeight="1" x14ac:dyDescent="0.2">
      <c r="B1151" s="256"/>
      <c r="C1151" s="513"/>
      <c r="D1151" s="516">
        <f t="shared" si="51"/>
        <v>0</v>
      </c>
      <c r="I1151" s="256"/>
      <c r="J1151" s="513"/>
      <c r="K1151" s="516">
        <f t="shared" si="52"/>
        <v>0</v>
      </c>
      <c r="P1151" s="256"/>
      <c r="Q1151" s="513"/>
      <c r="R1151" s="516">
        <f t="shared" si="53"/>
        <v>0</v>
      </c>
    </row>
    <row r="1152" spans="2:18" ht="15" customHeight="1" x14ac:dyDescent="0.2">
      <c r="B1152" s="256"/>
      <c r="C1152" s="513"/>
      <c r="D1152" s="516">
        <f t="shared" si="51"/>
        <v>0</v>
      </c>
      <c r="I1152" s="256"/>
      <c r="J1152" s="513"/>
      <c r="K1152" s="516">
        <f t="shared" si="52"/>
        <v>0</v>
      </c>
      <c r="P1152" s="256"/>
      <c r="Q1152" s="513"/>
      <c r="R1152" s="516">
        <f t="shared" si="53"/>
        <v>0</v>
      </c>
    </row>
    <row r="1153" spans="2:18" ht="15" customHeight="1" x14ac:dyDescent="0.2">
      <c r="B1153" s="256"/>
      <c r="C1153" s="513"/>
      <c r="D1153" s="516">
        <f t="shared" si="51"/>
        <v>0</v>
      </c>
      <c r="I1153" s="256"/>
      <c r="J1153" s="513"/>
      <c r="K1153" s="516">
        <f t="shared" si="52"/>
        <v>0</v>
      </c>
      <c r="P1153" s="256"/>
      <c r="Q1153" s="513"/>
      <c r="R1153" s="516">
        <f t="shared" si="53"/>
        <v>0</v>
      </c>
    </row>
    <row r="1154" spans="2:18" ht="15" customHeight="1" x14ac:dyDescent="0.2">
      <c r="B1154" s="256"/>
      <c r="C1154" s="513"/>
      <c r="D1154" s="516">
        <f t="shared" si="51"/>
        <v>0</v>
      </c>
      <c r="I1154" s="256"/>
      <c r="J1154" s="513"/>
      <c r="K1154" s="516">
        <f t="shared" si="52"/>
        <v>0</v>
      </c>
      <c r="P1154" s="256"/>
      <c r="Q1154" s="513"/>
      <c r="R1154" s="516">
        <f t="shared" si="53"/>
        <v>0</v>
      </c>
    </row>
    <row r="1155" spans="2:18" ht="15" customHeight="1" x14ac:dyDescent="0.2">
      <c r="B1155" s="256"/>
      <c r="C1155" s="513"/>
      <c r="D1155" s="516">
        <f t="shared" si="51"/>
        <v>0</v>
      </c>
      <c r="I1155" s="256"/>
      <c r="J1155" s="513"/>
      <c r="K1155" s="516">
        <f t="shared" si="52"/>
        <v>0</v>
      </c>
      <c r="P1155" s="256"/>
      <c r="Q1155" s="513"/>
      <c r="R1155" s="516">
        <f t="shared" si="53"/>
        <v>0</v>
      </c>
    </row>
    <row r="1156" spans="2:18" ht="15" customHeight="1" x14ac:dyDescent="0.2">
      <c r="B1156" s="256"/>
      <c r="C1156" s="513"/>
      <c r="D1156" s="516">
        <f t="shared" si="51"/>
        <v>0</v>
      </c>
      <c r="I1156" s="256"/>
      <c r="J1156" s="513"/>
      <c r="K1156" s="516">
        <f t="shared" si="52"/>
        <v>0</v>
      </c>
      <c r="P1156" s="256"/>
      <c r="Q1156" s="513"/>
      <c r="R1156" s="516">
        <f t="shared" si="53"/>
        <v>0</v>
      </c>
    </row>
    <row r="1157" spans="2:18" ht="15" customHeight="1" x14ac:dyDescent="0.2">
      <c r="B1157" s="256"/>
      <c r="C1157" s="513"/>
      <c r="D1157" s="516">
        <f t="shared" si="51"/>
        <v>0</v>
      </c>
      <c r="I1157" s="256"/>
      <c r="J1157" s="513"/>
      <c r="K1157" s="516">
        <f t="shared" si="52"/>
        <v>0</v>
      </c>
      <c r="P1157" s="256"/>
      <c r="Q1157" s="513"/>
      <c r="R1157" s="516">
        <f t="shared" si="53"/>
        <v>0</v>
      </c>
    </row>
    <row r="1158" spans="2:18" ht="15" customHeight="1" x14ac:dyDescent="0.2">
      <c r="B1158" s="256"/>
      <c r="C1158" s="513"/>
      <c r="D1158" s="516">
        <f t="shared" si="51"/>
        <v>0</v>
      </c>
      <c r="I1158" s="256"/>
      <c r="J1158" s="513"/>
      <c r="K1158" s="516">
        <f t="shared" si="52"/>
        <v>0</v>
      </c>
      <c r="P1158" s="256"/>
      <c r="Q1158" s="513"/>
      <c r="R1158" s="516">
        <f t="shared" si="53"/>
        <v>0</v>
      </c>
    </row>
    <row r="1159" spans="2:18" ht="15" customHeight="1" x14ac:dyDescent="0.2">
      <c r="B1159" s="256"/>
      <c r="C1159" s="513"/>
      <c r="D1159" s="516">
        <f t="shared" si="51"/>
        <v>0</v>
      </c>
      <c r="I1159" s="256"/>
      <c r="J1159" s="513"/>
      <c r="K1159" s="516">
        <f t="shared" si="52"/>
        <v>0</v>
      </c>
      <c r="P1159" s="256"/>
      <c r="Q1159" s="513"/>
      <c r="R1159" s="516">
        <f t="shared" si="53"/>
        <v>0</v>
      </c>
    </row>
    <row r="1160" spans="2:18" ht="15" customHeight="1" x14ac:dyDescent="0.2">
      <c r="B1160" s="256"/>
      <c r="C1160" s="513"/>
      <c r="D1160" s="516">
        <f t="shared" si="51"/>
        <v>0</v>
      </c>
      <c r="I1160" s="256"/>
      <c r="J1160" s="513"/>
      <c r="K1160" s="516">
        <f t="shared" si="52"/>
        <v>0</v>
      </c>
      <c r="P1160" s="256"/>
      <c r="Q1160" s="513"/>
      <c r="R1160" s="516">
        <f t="shared" si="53"/>
        <v>0</v>
      </c>
    </row>
    <row r="1161" spans="2:18" ht="15" customHeight="1" x14ac:dyDescent="0.2">
      <c r="B1161" s="256"/>
      <c r="C1161" s="513"/>
      <c r="D1161" s="516">
        <f t="shared" si="51"/>
        <v>0</v>
      </c>
      <c r="I1161" s="256"/>
      <c r="J1161" s="513"/>
      <c r="K1161" s="516">
        <f t="shared" si="52"/>
        <v>0</v>
      </c>
      <c r="P1161" s="256"/>
      <c r="Q1161" s="513"/>
      <c r="R1161" s="516">
        <f t="shared" si="53"/>
        <v>0</v>
      </c>
    </row>
    <row r="1162" spans="2:18" ht="15" customHeight="1" x14ac:dyDescent="0.2">
      <c r="B1162" s="256"/>
      <c r="C1162" s="513"/>
      <c r="D1162" s="516">
        <f t="shared" si="51"/>
        <v>0</v>
      </c>
      <c r="I1162" s="256"/>
      <c r="J1162" s="513"/>
      <c r="K1162" s="516">
        <f t="shared" si="52"/>
        <v>0</v>
      </c>
      <c r="P1162" s="256"/>
      <c r="Q1162" s="513"/>
      <c r="R1162" s="516">
        <f t="shared" si="53"/>
        <v>0</v>
      </c>
    </row>
    <row r="1163" spans="2:18" ht="15" customHeight="1" x14ac:dyDescent="0.2">
      <c r="B1163" s="256"/>
      <c r="C1163" s="513"/>
      <c r="D1163" s="516">
        <f t="shared" si="51"/>
        <v>0</v>
      </c>
      <c r="I1163" s="256"/>
      <c r="J1163" s="513"/>
      <c r="K1163" s="516">
        <f t="shared" si="52"/>
        <v>0</v>
      </c>
      <c r="P1163" s="256"/>
      <c r="Q1163" s="513"/>
      <c r="R1163" s="516">
        <f t="shared" si="53"/>
        <v>0</v>
      </c>
    </row>
    <row r="1164" spans="2:18" ht="15" customHeight="1" x14ac:dyDescent="0.2">
      <c r="B1164" s="256"/>
      <c r="C1164" s="513"/>
      <c r="D1164" s="516">
        <f t="shared" si="51"/>
        <v>0</v>
      </c>
      <c r="I1164" s="256"/>
      <c r="J1164" s="513"/>
      <c r="K1164" s="516">
        <f t="shared" si="52"/>
        <v>0</v>
      </c>
      <c r="P1164" s="256"/>
      <c r="Q1164" s="513"/>
      <c r="R1164" s="516">
        <f t="shared" si="53"/>
        <v>0</v>
      </c>
    </row>
    <row r="1165" spans="2:18" ht="15" customHeight="1" x14ac:dyDescent="0.2">
      <c r="B1165" s="256"/>
      <c r="C1165" s="513"/>
      <c r="D1165" s="516">
        <f t="shared" si="51"/>
        <v>0</v>
      </c>
      <c r="I1165" s="256"/>
      <c r="J1165" s="513"/>
      <c r="K1165" s="516">
        <f t="shared" si="52"/>
        <v>0</v>
      </c>
      <c r="P1165" s="256"/>
      <c r="Q1165" s="513"/>
      <c r="R1165" s="516">
        <f t="shared" si="53"/>
        <v>0</v>
      </c>
    </row>
    <row r="1166" spans="2:18" ht="15" customHeight="1" x14ac:dyDescent="0.2">
      <c r="B1166" s="256"/>
      <c r="C1166" s="513"/>
      <c r="D1166" s="516">
        <f t="shared" si="51"/>
        <v>0</v>
      </c>
      <c r="I1166" s="256"/>
      <c r="J1166" s="513"/>
      <c r="K1166" s="516">
        <f t="shared" si="52"/>
        <v>0</v>
      </c>
      <c r="P1166" s="256"/>
      <c r="Q1166" s="513"/>
      <c r="R1166" s="516">
        <f t="shared" si="53"/>
        <v>0</v>
      </c>
    </row>
    <row r="1167" spans="2:18" ht="15" customHeight="1" x14ac:dyDescent="0.2">
      <c r="B1167" s="256"/>
      <c r="C1167" s="513"/>
      <c r="D1167" s="516">
        <f t="shared" si="51"/>
        <v>0</v>
      </c>
      <c r="I1167" s="256"/>
      <c r="J1167" s="513"/>
      <c r="K1167" s="516">
        <f t="shared" si="52"/>
        <v>0</v>
      </c>
      <c r="P1167" s="256"/>
      <c r="Q1167" s="513"/>
      <c r="R1167" s="516">
        <f t="shared" si="53"/>
        <v>0</v>
      </c>
    </row>
    <row r="1168" spans="2:18" ht="15" customHeight="1" x14ac:dyDescent="0.2">
      <c r="B1168" s="256"/>
      <c r="C1168" s="513"/>
      <c r="D1168" s="516">
        <f t="shared" si="51"/>
        <v>0</v>
      </c>
      <c r="I1168" s="256"/>
      <c r="J1168" s="513"/>
      <c r="K1168" s="516">
        <f t="shared" si="52"/>
        <v>0</v>
      </c>
      <c r="P1168" s="256"/>
      <c r="Q1168" s="513"/>
      <c r="R1168" s="516">
        <f t="shared" si="53"/>
        <v>0</v>
      </c>
    </row>
    <row r="1169" spans="2:18" ht="15" customHeight="1" x14ac:dyDescent="0.2">
      <c r="B1169" s="256"/>
      <c r="C1169" s="513"/>
      <c r="D1169" s="516">
        <f t="shared" si="51"/>
        <v>0</v>
      </c>
      <c r="I1169" s="256"/>
      <c r="J1169" s="513"/>
      <c r="K1169" s="516">
        <f t="shared" si="52"/>
        <v>0</v>
      </c>
      <c r="P1169" s="256"/>
      <c r="Q1169" s="513"/>
      <c r="R1169" s="516">
        <f t="shared" si="53"/>
        <v>0</v>
      </c>
    </row>
    <row r="1170" spans="2:18" ht="15" customHeight="1" x14ac:dyDescent="0.2">
      <c r="B1170" s="256"/>
      <c r="C1170" s="513"/>
      <c r="D1170" s="516">
        <f t="shared" ref="D1170:D1233" si="54">C1170/1000</f>
        <v>0</v>
      </c>
      <c r="I1170" s="256"/>
      <c r="J1170" s="513"/>
      <c r="K1170" s="516">
        <f t="shared" ref="K1170:K1233" si="55">J1170/1000</f>
        <v>0</v>
      </c>
      <c r="P1170" s="256"/>
      <c r="Q1170" s="513"/>
      <c r="R1170" s="516">
        <f t="shared" ref="R1170:R1233" si="56">Q1170/1000</f>
        <v>0</v>
      </c>
    </row>
    <row r="1171" spans="2:18" ht="15" customHeight="1" x14ac:dyDescent="0.2">
      <c r="B1171" s="256"/>
      <c r="C1171" s="513"/>
      <c r="D1171" s="516">
        <f t="shared" si="54"/>
        <v>0</v>
      </c>
      <c r="I1171" s="256"/>
      <c r="J1171" s="513"/>
      <c r="K1171" s="516">
        <f t="shared" si="55"/>
        <v>0</v>
      </c>
      <c r="P1171" s="256"/>
      <c r="Q1171" s="513"/>
      <c r="R1171" s="516">
        <f t="shared" si="56"/>
        <v>0</v>
      </c>
    </row>
    <row r="1172" spans="2:18" ht="15" customHeight="1" x14ac:dyDescent="0.2">
      <c r="B1172" s="256"/>
      <c r="C1172" s="513"/>
      <c r="D1172" s="516">
        <f t="shared" si="54"/>
        <v>0</v>
      </c>
      <c r="I1172" s="256"/>
      <c r="J1172" s="513"/>
      <c r="K1172" s="516">
        <f t="shared" si="55"/>
        <v>0</v>
      </c>
      <c r="P1172" s="256"/>
      <c r="Q1172" s="513"/>
      <c r="R1172" s="516">
        <f t="shared" si="56"/>
        <v>0</v>
      </c>
    </row>
    <row r="1173" spans="2:18" ht="15" customHeight="1" x14ac:dyDescent="0.2">
      <c r="B1173" s="256"/>
      <c r="C1173" s="513"/>
      <c r="D1173" s="516">
        <f t="shared" si="54"/>
        <v>0</v>
      </c>
      <c r="I1173" s="256"/>
      <c r="J1173" s="513"/>
      <c r="K1173" s="516">
        <f t="shared" si="55"/>
        <v>0</v>
      </c>
      <c r="P1173" s="256"/>
      <c r="Q1173" s="513"/>
      <c r="R1173" s="516">
        <f t="shared" si="56"/>
        <v>0</v>
      </c>
    </row>
    <row r="1174" spans="2:18" ht="15" customHeight="1" x14ac:dyDescent="0.2">
      <c r="B1174" s="256"/>
      <c r="C1174" s="513"/>
      <c r="D1174" s="516">
        <f t="shared" si="54"/>
        <v>0</v>
      </c>
      <c r="I1174" s="256"/>
      <c r="J1174" s="513"/>
      <c r="K1174" s="516">
        <f t="shared" si="55"/>
        <v>0</v>
      </c>
      <c r="P1174" s="256"/>
      <c r="Q1174" s="513"/>
      <c r="R1174" s="516">
        <f t="shared" si="56"/>
        <v>0</v>
      </c>
    </row>
    <row r="1175" spans="2:18" ht="15" customHeight="1" x14ac:dyDescent="0.2">
      <c r="B1175" s="256"/>
      <c r="C1175" s="513"/>
      <c r="D1175" s="516">
        <f t="shared" si="54"/>
        <v>0</v>
      </c>
      <c r="I1175" s="256"/>
      <c r="J1175" s="513"/>
      <c r="K1175" s="516">
        <f t="shared" si="55"/>
        <v>0</v>
      </c>
      <c r="P1175" s="256"/>
      <c r="Q1175" s="513"/>
      <c r="R1175" s="516">
        <f t="shared" si="56"/>
        <v>0</v>
      </c>
    </row>
    <row r="1176" spans="2:18" ht="15" customHeight="1" x14ac:dyDescent="0.2">
      <c r="B1176" s="256"/>
      <c r="C1176" s="513"/>
      <c r="D1176" s="516">
        <f t="shared" si="54"/>
        <v>0</v>
      </c>
      <c r="I1176" s="256"/>
      <c r="J1176" s="513"/>
      <c r="K1176" s="516">
        <f t="shared" si="55"/>
        <v>0</v>
      </c>
      <c r="P1176" s="256"/>
      <c r="Q1176" s="513"/>
      <c r="R1176" s="516">
        <f t="shared" si="56"/>
        <v>0</v>
      </c>
    </row>
    <row r="1177" spans="2:18" ht="15" customHeight="1" x14ac:dyDescent="0.2">
      <c r="B1177" s="256"/>
      <c r="C1177" s="513"/>
      <c r="D1177" s="516">
        <f t="shared" si="54"/>
        <v>0</v>
      </c>
      <c r="I1177" s="256"/>
      <c r="J1177" s="513"/>
      <c r="K1177" s="516">
        <f t="shared" si="55"/>
        <v>0</v>
      </c>
      <c r="P1177" s="256"/>
      <c r="Q1177" s="513"/>
      <c r="R1177" s="516">
        <f t="shared" si="56"/>
        <v>0</v>
      </c>
    </row>
    <row r="1178" spans="2:18" ht="15" customHeight="1" x14ac:dyDescent="0.2">
      <c r="B1178" s="256"/>
      <c r="C1178" s="513"/>
      <c r="D1178" s="516">
        <f t="shared" si="54"/>
        <v>0</v>
      </c>
      <c r="I1178" s="256"/>
      <c r="J1178" s="513"/>
      <c r="K1178" s="516">
        <f t="shared" si="55"/>
        <v>0</v>
      </c>
      <c r="P1178" s="256"/>
      <c r="Q1178" s="513"/>
      <c r="R1178" s="516">
        <f t="shared" si="56"/>
        <v>0</v>
      </c>
    </row>
    <row r="1179" spans="2:18" ht="15" customHeight="1" x14ac:dyDescent="0.2">
      <c r="B1179" s="256"/>
      <c r="C1179" s="513"/>
      <c r="D1179" s="516">
        <f t="shared" si="54"/>
        <v>0</v>
      </c>
      <c r="I1179" s="256"/>
      <c r="J1179" s="513"/>
      <c r="K1179" s="516">
        <f t="shared" si="55"/>
        <v>0</v>
      </c>
      <c r="P1179" s="256"/>
      <c r="Q1179" s="513"/>
      <c r="R1179" s="516">
        <f t="shared" si="56"/>
        <v>0</v>
      </c>
    </row>
    <row r="1180" spans="2:18" ht="15" customHeight="1" x14ac:dyDescent="0.2">
      <c r="B1180" s="256"/>
      <c r="C1180" s="513"/>
      <c r="D1180" s="516">
        <f t="shared" si="54"/>
        <v>0</v>
      </c>
      <c r="I1180" s="256"/>
      <c r="J1180" s="513"/>
      <c r="K1180" s="516">
        <f t="shared" si="55"/>
        <v>0</v>
      </c>
      <c r="P1180" s="256"/>
      <c r="Q1180" s="513"/>
      <c r="R1180" s="516">
        <f t="shared" si="56"/>
        <v>0</v>
      </c>
    </row>
    <row r="1181" spans="2:18" ht="15" customHeight="1" x14ac:dyDescent="0.2">
      <c r="B1181" s="256"/>
      <c r="C1181" s="513"/>
      <c r="D1181" s="516">
        <f t="shared" si="54"/>
        <v>0</v>
      </c>
      <c r="I1181" s="256"/>
      <c r="J1181" s="513"/>
      <c r="K1181" s="516">
        <f t="shared" si="55"/>
        <v>0</v>
      </c>
      <c r="P1181" s="256"/>
      <c r="Q1181" s="513"/>
      <c r="R1181" s="516">
        <f t="shared" si="56"/>
        <v>0</v>
      </c>
    </row>
    <row r="1182" spans="2:18" ht="15" customHeight="1" x14ac:dyDescent="0.2">
      <c r="B1182" s="256"/>
      <c r="C1182" s="513"/>
      <c r="D1182" s="516">
        <f t="shared" si="54"/>
        <v>0</v>
      </c>
      <c r="I1182" s="256"/>
      <c r="J1182" s="513"/>
      <c r="K1182" s="516">
        <f t="shared" si="55"/>
        <v>0</v>
      </c>
      <c r="P1182" s="256"/>
      <c r="Q1182" s="513"/>
      <c r="R1182" s="516">
        <f t="shared" si="56"/>
        <v>0</v>
      </c>
    </row>
    <row r="1183" spans="2:18" ht="15" customHeight="1" x14ac:dyDescent="0.2">
      <c r="B1183" s="256"/>
      <c r="C1183" s="513"/>
      <c r="D1183" s="516">
        <f t="shared" si="54"/>
        <v>0</v>
      </c>
      <c r="I1183" s="256"/>
      <c r="J1183" s="513"/>
      <c r="K1183" s="516">
        <f t="shared" si="55"/>
        <v>0</v>
      </c>
      <c r="P1183" s="256"/>
      <c r="Q1183" s="513"/>
      <c r="R1183" s="516">
        <f t="shared" si="56"/>
        <v>0</v>
      </c>
    </row>
    <row r="1184" spans="2:18" ht="15" customHeight="1" x14ac:dyDescent="0.2">
      <c r="B1184" s="256"/>
      <c r="C1184" s="513"/>
      <c r="D1184" s="516">
        <f t="shared" si="54"/>
        <v>0</v>
      </c>
      <c r="I1184" s="256"/>
      <c r="J1184" s="513"/>
      <c r="K1184" s="516">
        <f t="shared" si="55"/>
        <v>0</v>
      </c>
      <c r="P1184" s="256"/>
      <c r="Q1184" s="513"/>
      <c r="R1184" s="516">
        <f t="shared" si="56"/>
        <v>0</v>
      </c>
    </row>
    <row r="1185" spans="2:18" ht="15" customHeight="1" x14ac:dyDescent="0.2">
      <c r="B1185" s="256"/>
      <c r="C1185" s="513"/>
      <c r="D1185" s="516">
        <f t="shared" si="54"/>
        <v>0</v>
      </c>
      <c r="I1185" s="256"/>
      <c r="J1185" s="513"/>
      <c r="K1185" s="516">
        <f t="shared" si="55"/>
        <v>0</v>
      </c>
      <c r="P1185" s="256"/>
      <c r="Q1185" s="513"/>
      <c r="R1185" s="516">
        <f t="shared" si="56"/>
        <v>0</v>
      </c>
    </row>
    <row r="1186" spans="2:18" ht="15" customHeight="1" x14ac:dyDescent="0.2">
      <c r="B1186" s="256"/>
      <c r="C1186" s="513"/>
      <c r="D1186" s="516">
        <f t="shared" si="54"/>
        <v>0</v>
      </c>
      <c r="I1186" s="256"/>
      <c r="J1186" s="513"/>
      <c r="K1186" s="516">
        <f t="shared" si="55"/>
        <v>0</v>
      </c>
      <c r="P1186" s="256"/>
      <c r="Q1186" s="513"/>
      <c r="R1186" s="516">
        <f t="shared" si="56"/>
        <v>0</v>
      </c>
    </row>
    <row r="1187" spans="2:18" ht="15" customHeight="1" x14ac:dyDescent="0.2">
      <c r="B1187" s="256"/>
      <c r="C1187" s="513"/>
      <c r="D1187" s="516">
        <f t="shared" si="54"/>
        <v>0</v>
      </c>
      <c r="I1187" s="256"/>
      <c r="J1187" s="513"/>
      <c r="K1187" s="516">
        <f t="shared" si="55"/>
        <v>0</v>
      </c>
      <c r="P1187" s="256"/>
      <c r="Q1187" s="513"/>
      <c r="R1187" s="516">
        <f t="shared" si="56"/>
        <v>0</v>
      </c>
    </row>
    <row r="1188" spans="2:18" ht="15" customHeight="1" x14ac:dyDescent="0.2">
      <c r="B1188" s="256"/>
      <c r="C1188" s="513"/>
      <c r="D1188" s="516">
        <f t="shared" si="54"/>
        <v>0</v>
      </c>
      <c r="I1188" s="256"/>
      <c r="J1188" s="513"/>
      <c r="K1188" s="516">
        <f t="shared" si="55"/>
        <v>0</v>
      </c>
      <c r="P1188" s="256"/>
      <c r="Q1188" s="513"/>
      <c r="R1188" s="516">
        <f t="shared" si="56"/>
        <v>0</v>
      </c>
    </row>
    <row r="1189" spans="2:18" ht="15" customHeight="1" x14ac:dyDescent="0.2">
      <c r="B1189" s="256"/>
      <c r="C1189" s="513"/>
      <c r="D1189" s="516">
        <f t="shared" si="54"/>
        <v>0</v>
      </c>
      <c r="I1189" s="256"/>
      <c r="J1189" s="513"/>
      <c r="K1189" s="516">
        <f t="shared" si="55"/>
        <v>0</v>
      </c>
      <c r="P1189" s="256"/>
      <c r="Q1189" s="513"/>
      <c r="R1189" s="516">
        <f t="shared" si="56"/>
        <v>0</v>
      </c>
    </row>
    <row r="1190" spans="2:18" ht="15" customHeight="1" x14ac:dyDescent="0.2">
      <c r="B1190" s="256"/>
      <c r="C1190" s="513"/>
      <c r="D1190" s="516">
        <f t="shared" si="54"/>
        <v>0</v>
      </c>
      <c r="I1190" s="256"/>
      <c r="J1190" s="513"/>
      <c r="K1190" s="516">
        <f t="shared" si="55"/>
        <v>0</v>
      </c>
      <c r="P1190" s="256"/>
      <c r="Q1190" s="513"/>
      <c r="R1190" s="516">
        <f t="shared" si="56"/>
        <v>0</v>
      </c>
    </row>
    <row r="1191" spans="2:18" ht="15" customHeight="1" x14ac:dyDescent="0.2">
      <c r="B1191" s="256"/>
      <c r="C1191" s="513"/>
      <c r="D1191" s="516">
        <f t="shared" si="54"/>
        <v>0</v>
      </c>
      <c r="I1191" s="256"/>
      <c r="J1191" s="513"/>
      <c r="K1191" s="516">
        <f t="shared" si="55"/>
        <v>0</v>
      </c>
      <c r="P1191" s="256"/>
      <c r="Q1191" s="513"/>
      <c r="R1191" s="516">
        <f t="shared" si="56"/>
        <v>0</v>
      </c>
    </row>
    <row r="1192" spans="2:18" ht="15" customHeight="1" x14ac:dyDescent="0.2">
      <c r="B1192" s="256"/>
      <c r="C1192" s="513"/>
      <c r="D1192" s="516">
        <f t="shared" si="54"/>
        <v>0</v>
      </c>
      <c r="I1192" s="256"/>
      <c r="J1192" s="513"/>
      <c r="K1192" s="516">
        <f t="shared" si="55"/>
        <v>0</v>
      </c>
      <c r="P1192" s="256"/>
      <c r="Q1192" s="513"/>
      <c r="R1192" s="516">
        <f t="shared" si="56"/>
        <v>0</v>
      </c>
    </row>
    <row r="1193" spans="2:18" ht="15" customHeight="1" x14ac:dyDescent="0.2">
      <c r="B1193" s="256"/>
      <c r="C1193" s="513"/>
      <c r="D1193" s="516">
        <f t="shared" si="54"/>
        <v>0</v>
      </c>
      <c r="I1193" s="256"/>
      <c r="J1193" s="513"/>
      <c r="K1193" s="516">
        <f t="shared" si="55"/>
        <v>0</v>
      </c>
      <c r="P1193" s="256"/>
      <c r="Q1193" s="513"/>
      <c r="R1193" s="516">
        <f t="shared" si="56"/>
        <v>0</v>
      </c>
    </row>
    <row r="1194" spans="2:18" ht="15" customHeight="1" x14ac:dyDescent="0.2">
      <c r="B1194" s="256"/>
      <c r="C1194" s="513"/>
      <c r="D1194" s="516">
        <f t="shared" si="54"/>
        <v>0</v>
      </c>
      <c r="I1194" s="256"/>
      <c r="J1194" s="513"/>
      <c r="K1194" s="516">
        <f t="shared" si="55"/>
        <v>0</v>
      </c>
      <c r="P1194" s="256"/>
      <c r="Q1194" s="513"/>
      <c r="R1194" s="516">
        <f t="shared" si="56"/>
        <v>0</v>
      </c>
    </row>
    <row r="1195" spans="2:18" ht="15" customHeight="1" x14ac:dyDescent="0.2">
      <c r="B1195" s="256"/>
      <c r="C1195" s="513"/>
      <c r="D1195" s="516">
        <f t="shared" si="54"/>
        <v>0</v>
      </c>
      <c r="I1195" s="256"/>
      <c r="J1195" s="513"/>
      <c r="K1195" s="516">
        <f t="shared" si="55"/>
        <v>0</v>
      </c>
      <c r="P1195" s="256"/>
      <c r="Q1195" s="513"/>
      <c r="R1195" s="516">
        <f t="shared" si="56"/>
        <v>0</v>
      </c>
    </row>
    <row r="1196" spans="2:18" ht="15" customHeight="1" x14ac:dyDescent="0.2">
      <c r="B1196" s="256"/>
      <c r="C1196" s="513"/>
      <c r="D1196" s="516">
        <f t="shared" si="54"/>
        <v>0</v>
      </c>
      <c r="I1196" s="256"/>
      <c r="J1196" s="513"/>
      <c r="K1196" s="516">
        <f t="shared" si="55"/>
        <v>0</v>
      </c>
      <c r="P1196" s="256"/>
      <c r="Q1196" s="513"/>
      <c r="R1196" s="516">
        <f t="shared" si="56"/>
        <v>0</v>
      </c>
    </row>
    <row r="1197" spans="2:18" ht="15" customHeight="1" x14ac:dyDescent="0.2">
      <c r="B1197" s="256"/>
      <c r="C1197" s="513"/>
      <c r="D1197" s="516">
        <f t="shared" si="54"/>
        <v>0</v>
      </c>
      <c r="I1197" s="256"/>
      <c r="J1197" s="513"/>
      <c r="K1197" s="516">
        <f t="shared" si="55"/>
        <v>0</v>
      </c>
      <c r="P1197" s="256"/>
      <c r="Q1197" s="513"/>
      <c r="R1197" s="516">
        <f t="shared" si="56"/>
        <v>0</v>
      </c>
    </row>
    <row r="1198" spans="2:18" ht="15" customHeight="1" x14ac:dyDescent="0.2">
      <c r="B1198" s="256"/>
      <c r="C1198" s="513"/>
      <c r="D1198" s="516">
        <f t="shared" si="54"/>
        <v>0</v>
      </c>
      <c r="I1198" s="256"/>
      <c r="J1198" s="513"/>
      <c r="K1198" s="516">
        <f t="shared" si="55"/>
        <v>0</v>
      </c>
      <c r="P1198" s="256"/>
      <c r="Q1198" s="513"/>
      <c r="R1198" s="516">
        <f t="shared" si="56"/>
        <v>0</v>
      </c>
    </row>
    <row r="1199" spans="2:18" ht="15" customHeight="1" x14ac:dyDescent="0.2">
      <c r="B1199" s="256"/>
      <c r="C1199" s="513"/>
      <c r="D1199" s="516">
        <f t="shared" si="54"/>
        <v>0</v>
      </c>
      <c r="I1199" s="256"/>
      <c r="J1199" s="513"/>
      <c r="K1199" s="516">
        <f t="shared" si="55"/>
        <v>0</v>
      </c>
      <c r="P1199" s="256"/>
      <c r="Q1199" s="513"/>
      <c r="R1199" s="516">
        <f t="shared" si="56"/>
        <v>0</v>
      </c>
    </row>
    <row r="1200" spans="2:18" ht="15" customHeight="1" x14ac:dyDescent="0.2">
      <c r="B1200" s="256"/>
      <c r="C1200" s="513"/>
      <c r="D1200" s="516">
        <f t="shared" si="54"/>
        <v>0</v>
      </c>
      <c r="I1200" s="256"/>
      <c r="J1200" s="513"/>
      <c r="K1200" s="516">
        <f t="shared" si="55"/>
        <v>0</v>
      </c>
      <c r="P1200" s="256"/>
      <c r="Q1200" s="513"/>
      <c r="R1200" s="516">
        <f t="shared" si="56"/>
        <v>0</v>
      </c>
    </row>
    <row r="1201" spans="2:18" ht="15" customHeight="1" x14ac:dyDescent="0.2">
      <c r="B1201" s="256"/>
      <c r="C1201" s="513"/>
      <c r="D1201" s="516">
        <f t="shared" si="54"/>
        <v>0</v>
      </c>
      <c r="I1201" s="256"/>
      <c r="J1201" s="513"/>
      <c r="K1201" s="516">
        <f t="shared" si="55"/>
        <v>0</v>
      </c>
      <c r="P1201" s="256"/>
      <c r="Q1201" s="513"/>
      <c r="R1201" s="516">
        <f t="shared" si="56"/>
        <v>0</v>
      </c>
    </row>
    <row r="1202" spans="2:18" ht="15" customHeight="1" x14ac:dyDescent="0.2">
      <c r="B1202" s="256"/>
      <c r="C1202" s="513"/>
      <c r="D1202" s="516">
        <f t="shared" si="54"/>
        <v>0</v>
      </c>
      <c r="I1202" s="256"/>
      <c r="J1202" s="513"/>
      <c r="K1202" s="516">
        <f t="shared" si="55"/>
        <v>0</v>
      </c>
      <c r="P1202" s="256"/>
      <c r="Q1202" s="513"/>
      <c r="R1202" s="516">
        <f t="shared" si="56"/>
        <v>0</v>
      </c>
    </row>
    <row r="1203" spans="2:18" ht="15" customHeight="1" x14ac:dyDescent="0.2">
      <c r="B1203" s="256"/>
      <c r="C1203" s="513"/>
      <c r="D1203" s="516">
        <f t="shared" si="54"/>
        <v>0</v>
      </c>
      <c r="I1203" s="256"/>
      <c r="J1203" s="513"/>
      <c r="K1203" s="516">
        <f t="shared" si="55"/>
        <v>0</v>
      </c>
      <c r="P1203" s="256"/>
      <c r="Q1203" s="513"/>
      <c r="R1203" s="516">
        <f t="shared" si="56"/>
        <v>0</v>
      </c>
    </row>
    <row r="1204" spans="2:18" ht="15" customHeight="1" x14ac:dyDescent="0.2">
      <c r="B1204" s="256"/>
      <c r="C1204" s="513"/>
      <c r="D1204" s="516">
        <f t="shared" si="54"/>
        <v>0</v>
      </c>
      <c r="I1204" s="256"/>
      <c r="J1204" s="513"/>
      <c r="K1204" s="516">
        <f t="shared" si="55"/>
        <v>0</v>
      </c>
      <c r="P1204" s="256"/>
      <c r="Q1204" s="513"/>
      <c r="R1204" s="516">
        <f t="shared" si="56"/>
        <v>0</v>
      </c>
    </row>
    <row r="1205" spans="2:18" ht="15" customHeight="1" x14ac:dyDescent="0.2">
      <c r="B1205" s="256"/>
      <c r="C1205" s="513"/>
      <c r="D1205" s="516">
        <f t="shared" si="54"/>
        <v>0</v>
      </c>
      <c r="I1205" s="256"/>
      <c r="J1205" s="513"/>
      <c r="K1205" s="516">
        <f t="shared" si="55"/>
        <v>0</v>
      </c>
      <c r="P1205" s="256"/>
      <c r="Q1205" s="513"/>
      <c r="R1205" s="516">
        <f t="shared" si="56"/>
        <v>0</v>
      </c>
    </row>
    <row r="1206" spans="2:18" ht="15" customHeight="1" x14ac:dyDescent="0.2">
      <c r="B1206" s="256"/>
      <c r="C1206" s="513"/>
      <c r="D1206" s="516">
        <f t="shared" si="54"/>
        <v>0</v>
      </c>
      <c r="I1206" s="256"/>
      <c r="J1206" s="513"/>
      <c r="K1206" s="516">
        <f t="shared" si="55"/>
        <v>0</v>
      </c>
      <c r="P1206" s="256"/>
      <c r="Q1206" s="513"/>
      <c r="R1206" s="516">
        <f t="shared" si="56"/>
        <v>0</v>
      </c>
    </row>
    <row r="1207" spans="2:18" ht="15" customHeight="1" x14ac:dyDescent="0.2">
      <c r="B1207" s="256"/>
      <c r="C1207" s="513"/>
      <c r="D1207" s="516">
        <f t="shared" si="54"/>
        <v>0</v>
      </c>
      <c r="I1207" s="256"/>
      <c r="J1207" s="513"/>
      <c r="K1207" s="516">
        <f t="shared" si="55"/>
        <v>0</v>
      </c>
      <c r="P1207" s="256"/>
      <c r="Q1207" s="513"/>
      <c r="R1207" s="516">
        <f t="shared" si="56"/>
        <v>0</v>
      </c>
    </row>
    <row r="1208" spans="2:18" ht="15" customHeight="1" x14ac:dyDescent="0.2">
      <c r="B1208" s="256"/>
      <c r="C1208" s="513"/>
      <c r="D1208" s="516">
        <f t="shared" si="54"/>
        <v>0</v>
      </c>
      <c r="I1208" s="256"/>
      <c r="J1208" s="513"/>
      <c r="K1208" s="516">
        <f t="shared" si="55"/>
        <v>0</v>
      </c>
      <c r="P1208" s="256"/>
      <c r="Q1208" s="513"/>
      <c r="R1208" s="516">
        <f t="shared" si="56"/>
        <v>0</v>
      </c>
    </row>
    <row r="1209" spans="2:18" ht="15" customHeight="1" x14ac:dyDescent="0.2">
      <c r="B1209" s="256"/>
      <c r="C1209" s="513"/>
      <c r="D1209" s="516">
        <f t="shared" si="54"/>
        <v>0</v>
      </c>
      <c r="I1209" s="256"/>
      <c r="J1209" s="513"/>
      <c r="K1209" s="516">
        <f t="shared" si="55"/>
        <v>0</v>
      </c>
      <c r="P1209" s="256"/>
      <c r="Q1209" s="513"/>
      <c r="R1209" s="516">
        <f t="shared" si="56"/>
        <v>0</v>
      </c>
    </row>
    <row r="1210" spans="2:18" ht="15" customHeight="1" x14ac:dyDescent="0.2">
      <c r="B1210" s="256"/>
      <c r="C1210" s="513"/>
      <c r="D1210" s="516">
        <f t="shared" si="54"/>
        <v>0</v>
      </c>
      <c r="I1210" s="256"/>
      <c r="J1210" s="513"/>
      <c r="K1210" s="516">
        <f t="shared" si="55"/>
        <v>0</v>
      </c>
      <c r="P1210" s="256"/>
      <c r="Q1210" s="513"/>
      <c r="R1210" s="516">
        <f t="shared" si="56"/>
        <v>0</v>
      </c>
    </row>
    <row r="1211" spans="2:18" ht="15" customHeight="1" x14ac:dyDescent="0.2">
      <c r="B1211" s="256"/>
      <c r="C1211" s="513"/>
      <c r="D1211" s="516">
        <f t="shared" si="54"/>
        <v>0</v>
      </c>
      <c r="I1211" s="256"/>
      <c r="J1211" s="513"/>
      <c r="K1211" s="516">
        <f t="shared" si="55"/>
        <v>0</v>
      </c>
      <c r="P1211" s="256"/>
      <c r="Q1211" s="513"/>
      <c r="R1211" s="516">
        <f t="shared" si="56"/>
        <v>0</v>
      </c>
    </row>
    <row r="1212" spans="2:18" ht="15" customHeight="1" x14ac:dyDescent="0.2">
      <c r="B1212" s="256"/>
      <c r="C1212" s="513"/>
      <c r="D1212" s="516">
        <f t="shared" si="54"/>
        <v>0</v>
      </c>
      <c r="I1212" s="256"/>
      <c r="J1212" s="513"/>
      <c r="K1212" s="516">
        <f t="shared" si="55"/>
        <v>0</v>
      </c>
      <c r="P1212" s="256"/>
      <c r="Q1212" s="513"/>
      <c r="R1212" s="516">
        <f t="shared" si="56"/>
        <v>0</v>
      </c>
    </row>
    <row r="1213" spans="2:18" ht="15" customHeight="1" x14ac:dyDescent="0.2">
      <c r="B1213" s="256"/>
      <c r="C1213" s="513"/>
      <c r="D1213" s="516">
        <f t="shared" si="54"/>
        <v>0</v>
      </c>
      <c r="I1213" s="256"/>
      <c r="J1213" s="513"/>
      <c r="K1213" s="516">
        <f t="shared" si="55"/>
        <v>0</v>
      </c>
      <c r="P1213" s="256"/>
      <c r="Q1213" s="513"/>
      <c r="R1213" s="516">
        <f t="shared" si="56"/>
        <v>0</v>
      </c>
    </row>
    <row r="1214" spans="2:18" ht="15" customHeight="1" x14ac:dyDescent="0.2">
      <c r="B1214" s="256"/>
      <c r="C1214" s="513"/>
      <c r="D1214" s="516">
        <f t="shared" si="54"/>
        <v>0</v>
      </c>
      <c r="I1214" s="256"/>
      <c r="J1214" s="513"/>
      <c r="K1214" s="516">
        <f t="shared" si="55"/>
        <v>0</v>
      </c>
      <c r="P1214" s="256"/>
      <c r="Q1214" s="513"/>
      <c r="R1214" s="516">
        <f t="shared" si="56"/>
        <v>0</v>
      </c>
    </row>
    <row r="1215" spans="2:18" ht="15" customHeight="1" x14ac:dyDescent="0.2">
      <c r="B1215" s="256"/>
      <c r="C1215" s="513"/>
      <c r="D1215" s="516">
        <f t="shared" si="54"/>
        <v>0</v>
      </c>
      <c r="I1215" s="256"/>
      <c r="J1215" s="513"/>
      <c r="K1215" s="516">
        <f t="shared" si="55"/>
        <v>0</v>
      </c>
      <c r="P1215" s="256"/>
      <c r="Q1215" s="513"/>
      <c r="R1215" s="516">
        <f t="shared" si="56"/>
        <v>0</v>
      </c>
    </row>
    <row r="1216" spans="2:18" ht="15" customHeight="1" x14ac:dyDescent="0.2">
      <c r="B1216" s="256"/>
      <c r="C1216" s="513"/>
      <c r="D1216" s="516">
        <f t="shared" si="54"/>
        <v>0</v>
      </c>
      <c r="I1216" s="256"/>
      <c r="J1216" s="513"/>
      <c r="K1216" s="516">
        <f t="shared" si="55"/>
        <v>0</v>
      </c>
      <c r="P1216" s="256"/>
      <c r="Q1216" s="513"/>
      <c r="R1216" s="516">
        <f t="shared" si="56"/>
        <v>0</v>
      </c>
    </row>
    <row r="1217" spans="2:18" ht="15" customHeight="1" x14ac:dyDescent="0.2">
      <c r="B1217" s="256"/>
      <c r="C1217" s="513"/>
      <c r="D1217" s="516">
        <f t="shared" si="54"/>
        <v>0</v>
      </c>
      <c r="I1217" s="256"/>
      <c r="J1217" s="513"/>
      <c r="K1217" s="516">
        <f t="shared" si="55"/>
        <v>0</v>
      </c>
      <c r="P1217" s="256"/>
      <c r="Q1217" s="513"/>
      <c r="R1217" s="516">
        <f t="shared" si="56"/>
        <v>0</v>
      </c>
    </row>
    <row r="1218" spans="2:18" ht="15" customHeight="1" x14ac:dyDescent="0.2">
      <c r="B1218" s="256"/>
      <c r="C1218" s="513"/>
      <c r="D1218" s="516">
        <f t="shared" si="54"/>
        <v>0</v>
      </c>
      <c r="I1218" s="256"/>
      <c r="J1218" s="513"/>
      <c r="K1218" s="516">
        <f t="shared" si="55"/>
        <v>0</v>
      </c>
      <c r="P1218" s="256"/>
      <c r="Q1218" s="513"/>
      <c r="R1218" s="516">
        <f t="shared" si="56"/>
        <v>0</v>
      </c>
    </row>
    <row r="1219" spans="2:18" ht="15" customHeight="1" x14ac:dyDescent="0.2">
      <c r="B1219" s="256"/>
      <c r="C1219" s="513"/>
      <c r="D1219" s="516">
        <f t="shared" si="54"/>
        <v>0</v>
      </c>
      <c r="I1219" s="256"/>
      <c r="J1219" s="513"/>
      <c r="K1219" s="516">
        <f t="shared" si="55"/>
        <v>0</v>
      </c>
      <c r="P1219" s="256"/>
      <c r="Q1219" s="513"/>
      <c r="R1219" s="516">
        <f t="shared" si="56"/>
        <v>0</v>
      </c>
    </row>
    <row r="1220" spans="2:18" ht="15" customHeight="1" x14ac:dyDescent="0.2">
      <c r="B1220" s="256"/>
      <c r="C1220" s="513"/>
      <c r="D1220" s="516">
        <f t="shared" si="54"/>
        <v>0</v>
      </c>
      <c r="I1220" s="256"/>
      <c r="J1220" s="513"/>
      <c r="K1220" s="516">
        <f t="shared" si="55"/>
        <v>0</v>
      </c>
      <c r="P1220" s="256"/>
      <c r="Q1220" s="513"/>
      <c r="R1220" s="516">
        <f t="shared" si="56"/>
        <v>0</v>
      </c>
    </row>
    <row r="1221" spans="2:18" ht="15" customHeight="1" x14ac:dyDescent="0.2">
      <c r="B1221" s="256"/>
      <c r="C1221" s="513"/>
      <c r="D1221" s="516">
        <f t="shared" si="54"/>
        <v>0</v>
      </c>
      <c r="I1221" s="256"/>
      <c r="J1221" s="513"/>
      <c r="K1221" s="516">
        <f t="shared" si="55"/>
        <v>0</v>
      </c>
      <c r="P1221" s="256"/>
      <c r="Q1221" s="513"/>
      <c r="R1221" s="516">
        <f t="shared" si="56"/>
        <v>0</v>
      </c>
    </row>
    <row r="1222" spans="2:18" ht="15" customHeight="1" x14ac:dyDescent="0.2">
      <c r="B1222" s="256"/>
      <c r="C1222" s="513"/>
      <c r="D1222" s="516">
        <f t="shared" si="54"/>
        <v>0</v>
      </c>
      <c r="I1222" s="256"/>
      <c r="J1222" s="513"/>
      <c r="K1222" s="516">
        <f t="shared" si="55"/>
        <v>0</v>
      </c>
      <c r="P1222" s="256"/>
      <c r="Q1222" s="513"/>
      <c r="R1222" s="516">
        <f t="shared" si="56"/>
        <v>0</v>
      </c>
    </row>
    <row r="1223" spans="2:18" ht="15" customHeight="1" x14ac:dyDescent="0.2">
      <c r="B1223" s="256"/>
      <c r="C1223" s="513"/>
      <c r="D1223" s="516">
        <f t="shared" si="54"/>
        <v>0</v>
      </c>
      <c r="I1223" s="256"/>
      <c r="J1223" s="513"/>
      <c r="K1223" s="516">
        <f t="shared" si="55"/>
        <v>0</v>
      </c>
      <c r="P1223" s="256"/>
      <c r="Q1223" s="513"/>
      <c r="R1223" s="516">
        <f t="shared" si="56"/>
        <v>0</v>
      </c>
    </row>
    <row r="1224" spans="2:18" ht="15" customHeight="1" x14ac:dyDescent="0.2">
      <c r="B1224" s="256"/>
      <c r="C1224" s="513"/>
      <c r="D1224" s="516">
        <f t="shared" si="54"/>
        <v>0</v>
      </c>
      <c r="I1224" s="256"/>
      <c r="J1224" s="513"/>
      <c r="K1224" s="516">
        <f t="shared" si="55"/>
        <v>0</v>
      </c>
      <c r="P1224" s="256"/>
      <c r="Q1224" s="513"/>
      <c r="R1224" s="516">
        <f t="shared" si="56"/>
        <v>0</v>
      </c>
    </row>
    <row r="1225" spans="2:18" ht="15" customHeight="1" x14ac:dyDescent="0.2">
      <c r="B1225" s="256"/>
      <c r="C1225" s="513"/>
      <c r="D1225" s="516">
        <f t="shared" si="54"/>
        <v>0</v>
      </c>
      <c r="I1225" s="256"/>
      <c r="J1225" s="513"/>
      <c r="K1225" s="516">
        <f t="shared" si="55"/>
        <v>0</v>
      </c>
      <c r="P1225" s="256"/>
      <c r="Q1225" s="513"/>
      <c r="R1225" s="516">
        <f t="shared" si="56"/>
        <v>0</v>
      </c>
    </row>
    <row r="1226" spans="2:18" ht="15" customHeight="1" x14ac:dyDescent="0.2">
      <c r="B1226" s="256"/>
      <c r="C1226" s="513"/>
      <c r="D1226" s="516">
        <f t="shared" si="54"/>
        <v>0</v>
      </c>
      <c r="I1226" s="256"/>
      <c r="J1226" s="513"/>
      <c r="K1226" s="516">
        <f t="shared" si="55"/>
        <v>0</v>
      </c>
      <c r="P1226" s="256"/>
      <c r="Q1226" s="513"/>
      <c r="R1226" s="516">
        <f t="shared" si="56"/>
        <v>0</v>
      </c>
    </row>
    <row r="1227" spans="2:18" ht="15" customHeight="1" x14ac:dyDescent="0.2">
      <c r="B1227" s="256"/>
      <c r="C1227" s="513"/>
      <c r="D1227" s="516">
        <f t="shared" si="54"/>
        <v>0</v>
      </c>
      <c r="I1227" s="256"/>
      <c r="J1227" s="513"/>
      <c r="K1227" s="516">
        <f t="shared" si="55"/>
        <v>0</v>
      </c>
      <c r="P1227" s="256"/>
      <c r="Q1227" s="513"/>
      <c r="R1227" s="516">
        <f t="shared" si="56"/>
        <v>0</v>
      </c>
    </row>
    <row r="1228" spans="2:18" ht="15" customHeight="1" x14ac:dyDescent="0.2">
      <c r="B1228" s="256"/>
      <c r="C1228" s="513"/>
      <c r="D1228" s="516">
        <f t="shared" si="54"/>
        <v>0</v>
      </c>
      <c r="I1228" s="256"/>
      <c r="J1228" s="513"/>
      <c r="K1228" s="516">
        <f t="shared" si="55"/>
        <v>0</v>
      </c>
      <c r="P1228" s="256"/>
      <c r="Q1228" s="513"/>
      <c r="R1228" s="516">
        <f t="shared" si="56"/>
        <v>0</v>
      </c>
    </row>
    <row r="1229" spans="2:18" ht="15" customHeight="1" x14ac:dyDescent="0.2">
      <c r="B1229" s="256"/>
      <c r="C1229" s="513"/>
      <c r="D1229" s="516">
        <f t="shared" si="54"/>
        <v>0</v>
      </c>
      <c r="I1229" s="256"/>
      <c r="J1229" s="513"/>
      <c r="K1229" s="516">
        <f t="shared" si="55"/>
        <v>0</v>
      </c>
      <c r="P1229" s="256"/>
      <c r="Q1229" s="513"/>
      <c r="R1229" s="516">
        <f t="shared" si="56"/>
        <v>0</v>
      </c>
    </row>
    <row r="1230" spans="2:18" ht="15" customHeight="1" x14ac:dyDescent="0.2">
      <c r="B1230" s="256"/>
      <c r="C1230" s="513"/>
      <c r="D1230" s="516">
        <f t="shared" si="54"/>
        <v>0</v>
      </c>
      <c r="I1230" s="256"/>
      <c r="J1230" s="513"/>
      <c r="K1230" s="516">
        <f t="shared" si="55"/>
        <v>0</v>
      </c>
      <c r="P1230" s="256"/>
      <c r="Q1230" s="513"/>
      <c r="R1230" s="516">
        <f t="shared" si="56"/>
        <v>0</v>
      </c>
    </row>
    <row r="1231" spans="2:18" ht="15" customHeight="1" x14ac:dyDescent="0.2">
      <c r="B1231" s="256"/>
      <c r="C1231" s="513"/>
      <c r="D1231" s="516">
        <f t="shared" si="54"/>
        <v>0</v>
      </c>
      <c r="I1231" s="256"/>
      <c r="J1231" s="513"/>
      <c r="K1231" s="516">
        <f t="shared" si="55"/>
        <v>0</v>
      </c>
      <c r="P1231" s="256"/>
      <c r="Q1231" s="513"/>
      <c r="R1231" s="516">
        <f t="shared" si="56"/>
        <v>0</v>
      </c>
    </row>
    <row r="1232" spans="2:18" ht="15" customHeight="1" x14ac:dyDescent="0.2">
      <c r="B1232" s="256"/>
      <c r="C1232" s="513"/>
      <c r="D1232" s="516">
        <f t="shared" si="54"/>
        <v>0</v>
      </c>
      <c r="I1232" s="256"/>
      <c r="J1232" s="513"/>
      <c r="K1232" s="516">
        <f t="shared" si="55"/>
        <v>0</v>
      </c>
      <c r="P1232" s="256"/>
      <c r="Q1232" s="513"/>
      <c r="R1232" s="516">
        <f t="shared" si="56"/>
        <v>0</v>
      </c>
    </row>
    <row r="1233" spans="2:18" ht="15" customHeight="1" x14ac:dyDescent="0.2">
      <c r="B1233" s="256"/>
      <c r="C1233" s="513"/>
      <c r="D1233" s="516">
        <f t="shared" si="54"/>
        <v>0</v>
      </c>
      <c r="I1233" s="256"/>
      <c r="J1233" s="513"/>
      <c r="K1233" s="516">
        <f t="shared" si="55"/>
        <v>0</v>
      </c>
      <c r="P1233" s="256"/>
      <c r="Q1233" s="513"/>
      <c r="R1233" s="516">
        <f t="shared" si="56"/>
        <v>0</v>
      </c>
    </row>
    <row r="1234" spans="2:18" ht="15" customHeight="1" x14ac:dyDescent="0.2">
      <c r="B1234" s="256"/>
      <c r="C1234" s="513"/>
      <c r="D1234" s="516">
        <f t="shared" ref="D1234:D1267" si="57">C1234/1000</f>
        <v>0</v>
      </c>
      <c r="I1234" s="256"/>
      <c r="J1234" s="513"/>
      <c r="K1234" s="516">
        <f t="shared" ref="K1234:K1267" si="58">J1234/1000</f>
        <v>0</v>
      </c>
      <c r="P1234" s="256"/>
      <c r="Q1234" s="513"/>
      <c r="R1234" s="516">
        <f t="shared" ref="R1234:R1267" si="59">Q1234/1000</f>
        <v>0</v>
      </c>
    </row>
    <row r="1235" spans="2:18" ht="15" customHeight="1" x14ac:dyDescent="0.2">
      <c r="B1235" s="256"/>
      <c r="C1235" s="513"/>
      <c r="D1235" s="516">
        <f t="shared" si="57"/>
        <v>0</v>
      </c>
      <c r="I1235" s="256"/>
      <c r="J1235" s="513"/>
      <c r="K1235" s="516">
        <f t="shared" si="58"/>
        <v>0</v>
      </c>
      <c r="P1235" s="256"/>
      <c r="Q1235" s="513"/>
      <c r="R1235" s="516">
        <f t="shared" si="59"/>
        <v>0</v>
      </c>
    </row>
    <row r="1236" spans="2:18" ht="15" customHeight="1" x14ac:dyDescent="0.2">
      <c r="B1236" s="256"/>
      <c r="C1236" s="513"/>
      <c r="D1236" s="516">
        <f t="shared" si="57"/>
        <v>0</v>
      </c>
      <c r="I1236" s="256"/>
      <c r="J1236" s="513"/>
      <c r="K1236" s="516">
        <f t="shared" si="58"/>
        <v>0</v>
      </c>
      <c r="P1236" s="256"/>
      <c r="Q1236" s="513"/>
      <c r="R1236" s="516">
        <f t="shared" si="59"/>
        <v>0</v>
      </c>
    </row>
    <row r="1237" spans="2:18" ht="15" customHeight="1" x14ac:dyDescent="0.2">
      <c r="B1237" s="256"/>
      <c r="C1237" s="513"/>
      <c r="D1237" s="516">
        <f t="shared" si="57"/>
        <v>0</v>
      </c>
      <c r="I1237" s="256"/>
      <c r="J1237" s="513"/>
      <c r="K1237" s="516">
        <f t="shared" si="58"/>
        <v>0</v>
      </c>
      <c r="P1237" s="256"/>
      <c r="Q1237" s="513"/>
      <c r="R1237" s="516">
        <f t="shared" si="59"/>
        <v>0</v>
      </c>
    </row>
    <row r="1238" spans="2:18" ht="15" customHeight="1" x14ac:dyDescent="0.2">
      <c r="B1238" s="256"/>
      <c r="C1238" s="513"/>
      <c r="D1238" s="516">
        <f t="shared" si="57"/>
        <v>0</v>
      </c>
      <c r="I1238" s="256"/>
      <c r="J1238" s="513"/>
      <c r="K1238" s="516">
        <f t="shared" si="58"/>
        <v>0</v>
      </c>
      <c r="P1238" s="256"/>
      <c r="Q1238" s="513"/>
      <c r="R1238" s="516">
        <f t="shared" si="59"/>
        <v>0</v>
      </c>
    </row>
    <row r="1239" spans="2:18" ht="15" customHeight="1" x14ac:dyDescent="0.2">
      <c r="B1239" s="256"/>
      <c r="C1239" s="513"/>
      <c r="D1239" s="516">
        <f t="shared" si="57"/>
        <v>0</v>
      </c>
      <c r="I1239" s="256"/>
      <c r="J1239" s="513"/>
      <c r="K1239" s="516">
        <f t="shared" si="58"/>
        <v>0</v>
      </c>
      <c r="P1239" s="256"/>
      <c r="Q1239" s="513"/>
      <c r="R1239" s="516">
        <f t="shared" si="59"/>
        <v>0</v>
      </c>
    </row>
    <row r="1240" spans="2:18" ht="15" customHeight="1" x14ac:dyDescent="0.2">
      <c r="B1240" s="256"/>
      <c r="C1240" s="513"/>
      <c r="D1240" s="516">
        <f t="shared" si="57"/>
        <v>0</v>
      </c>
      <c r="I1240" s="256"/>
      <c r="J1240" s="513"/>
      <c r="K1240" s="516">
        <f t="shared" si="58"/>
        <v>0</v>
      </c>
      <c r="P1240" s="256"/>
      <c r="Q1240" s="513"/>
      <c r="R1240" s="516">
        <f t="shared" si="59"/>
        <v>0</v>
      </c>
    </row>
    <row r="1241" spans="2:18" ht="15" customHeight="1" x14ac:dyDescent="0.2">
      <c r="B1241" s="256"/>
      <c r="C1241" s="513"/>
      <c r="D1241" s="516">
        <f t="shared" si="57"/>
        <v>0</v>
      </c>
      <c r="I1241" s="256"/>
      <c r="J1241" s="513"/>
      <c r="K1241" s="516">
        <f t="shared" si="58"/>
        <v>0</v>
      </c>
      <c r="P1241" s="256"/>
      <c r="Q1241" s="513"/>
      <c r="R1241" s="516">
        <f t="shared" si="59"/>
        <v>0</v>
      </c>
    </row>
    <row r="1242" spans="2:18" ht="15" customHeight="1" x14ac:dyDescent="0.2">
      <c r="B1242" s="256"/>
      <c r="C1242" s="513"/>
      <c r="D1242" s="516">
        <f t="shared" si="57"/>
        <v>0</v>
      </c>
      <c r="I1242" s="256"/>
      <c r="J1242" s="513"/>
      <c r="K1242" s="516">
        <f t="shared" si="58"/>
        <v>0</v>
      </c>
      <c r="P1242" s="256"/>
      <c r="Q1242" s="513"/>
      <c r="R1242" s="516">
        <f t="shared" si="59"/>
        <v>0</v>
      </c>
    </row>
    <row r="1243" spans="2:18" ht="15" customHeight="1" x14ac:dyDescent="0.2">
      <c r="B1243" s="256"/>
      <c r="C1243" s="513"/>
      <c r="D1243" s="516">
        <f t="shared" si="57"/>
        <v>0</v>
      </c>
      <c r="I1243" s="256"/>
      <c r="J1243" s="513"/>
      <c r="K1243" s="516">
        <f t="shared" si="58"/>
        <v>0</v>
      </c>
      <c r="P1243" s="256"/>
      <c r="Q1243" s="513"/>
      <c r="R1243" s="516">
        <f t="shared" si="59"/>
        <v>0</v>
      </c>
    </row>
    <row r="1244" spans="2:18" ht="15" customHeight="1" x14ac:dyDescent="0.2">
      <c r="B1244" s="256"/>
      <c r="C1244" s="513"/>
      <c r="D1244" s="516">
        <f t="shared" si="57"/>
        <v>0</v>
      </c>
      <c r="I1244" s="256"/>
      <c r="J1244" s="513"/>
      <c r="K1244" s="516">
        <f t="shared" si="58"/>
        <v>0</v>
      </c>
      <c r="P1244" s="256"/>
      <c r="Q1244" s="513"/>
      <c r="R1244" s="516">
        <f t="shared" si="59"/>
        <v>0</v>
      </c>
    </row>
    <row r="1245" spans="2:18" ht="15" customHeight="1" x14ac:dyDescent="0.2">
      <c r="B1245" s="256"/>
      <c r="C1245" s="513"/>
      <c r="D1245" s="516">
        <f t="shared" si="57"/>
        <v>0</v>
      </c>
      <c r="I1245" s="256"/>
      <c r="J1245" s="513"/>
      <c r="K1245" s="516">
        <f t="shared" si="58"/>
        <v>0</v>
      </c>
      <c r="P1245" s="256"/>
      <c r="Q1245" s="513"/>
      <c r="R1245" s="516">
        <f t="shared" si="59"/>
        <v>0</v>
      </c>
    </row>
    <row r="1246" spans="2:18" ht="15" customHeight="1" x14ac:dyDescent="0.2">
      <c r="B1246" s="256"/>
      <c r="C1246" s="513"/>
      <c r="D1246" s="516">
        <f t="shared" si="57"/>
        <v>0</v>
      </c>
      <c r="I1246" s="256"/>
      <c r="J1246" s="513"/>
      <c r="K1246" s="516">
        <f t="shared" si="58"/>
        <v>0</v>
      </c>
      <c r="P1246" s="256"/>
      <c r="Q1246" s="513"/>
      <c r="R1246" s="516">
        <f t="shared" si="59"/>
        <v>0</v>
      </c>
    </row>
    <row r="1247" spans="2:18" ht="15" customHeight="1" x14ac:dyDescent="0.2">
      <c r="B1247" s="256"/>
      <c r="C1247" s="513"/>
      <c r="D1247" s="516">
        <f t="shared" si="57"/>
        <v>0</v>
      </c>
      <c r="I1247" s="256"/>
      <c r="J1247" s="513"/>
      <c r="K1247" s="516">
        <f t="shared" si="58"/>
        <v>0</v>
      </c>
      <c r="P1247" s="256"/>
      <c r="Q1247" s="513"/>
      <c r="R1247" s="516">
        <f t="shared" si="59"/>
        <v>0</v>
      </c>
    </row>
    <row r="1248" spans="2:18" ht="15" customHeight="1" x14ac:dyDescent="0.2">
      <c r="B1248" s="256"/>
      <c r="C1248" s="513"/>
      <c r="D1248" s="516">
        <f t="shared" si="57"/>
        <v>0</v>
      </c>
      <c r="I1248" s="256"/>
      <c r="J1248" s="513"/>
      <c r="K1248" s="516">
        <f t="shared" si="58"/>
        <v>0</v>
      </c>
      <c r="P1248" s="256"/>
      <c r="Q1248" s="513"/>
      <c r="R1248" s="516">
        <f t="shared" si="59"/>
        <v>0</v>
      </c>
    </row>
    <row r="1249" spans="2:18" ht="15" customHeight="1" x14ac:dyDescent="0.2">
      <c r="B1249" s="256"/>
      <c r="C1249" s="513"/>
      <c r="D1249" s="516">
        <f t="shared" si="57"/>
        <v>0</v>
      </c>
      <c r="I1249" s="256"/>
      <c r="J1249" s="513"/>
      <c r="K1249" s="516">
        <f t="shared" si="58"/>
        <v>0</v>
      </c>
      <c r="P1249" s="256"/>
      <c r="Q1249" s="513"/>
      <c r="R1249" s="516">
        <f t="shared" si="59"/>
        <v>0</v>
      </c>
    </row>
    <row r="1250" spans="2:18" ht="15" customHeight="1" x14ac:dyDescent="0.2">
      <c r="B1250" s="256"/>
      <c r="C1250" s="513"/>
      <c r="D1250" s="516">
        <f t="shared" si="57"/>
        <v>0</v>
      </c>
      <c r="I1250" s="256"/>
      <c r="J1250" s="513"/>
      <c r="K1250" s="516">
        <f t="shared" si="58"/>
        <v>0</v>
      </c>
      <c r="P1250" s="256"/>
      <c r="Q1250" s="513"/>
      <c r="R1250" s="516">
        <f t="shared" si="59"/>
        <v>0</v>
      </c>
    </row>
    <row r="1251" spans="2:18" ht="15" customHeight="1" x14ac:dyDescent="0.2">
      <c r="B1251" s="256"/>
      <c r="C1251" s="513"/>
      <c r="D1251" s="516">
        <f t="shared" si="57"/>
        <v>0</v>
      </c>
      <c r="I1251" s="256"/>
      <c r="J1251" s="513"/>
      <c r="K1251" s="516">
        <f t="shared" si="58"/>
        <v>0</v>
      </c>
      <c r="P1251" s="256"/>
      <c r="Q1251" s="513"/>
      <c r="R1251" s="516">
        <f t="shared" si="59"/>
        <v>0</v>
      </c>
    </row>
    <row r="1252" spans="2:18" ht="15" customHeight="1" x14ac:dyDescent="0.2">
      <c r="B1252" s="256"/>
      <c r="C1252" s="513"/>
      <c r="D1252" s="516">
        <f t="shared" si="57"/>
        <v>0</v>
      </c>
      <c r="I1252" s="256"/>
      <c r="J1252" s="513"/>
      <c r="K1252" s="516">
        <f t="shared" si="58"/>
        <v>0</v>
      </c>
      <c r="P1252" s="256"/>
      <c r="Q1252" s="513"/>
      <c r="R1252" s="516">
        <f t="shared" si="59"/>
        <v>0</v>
      </c>
    </row>
    <row r="1253" spans="2:18" ht="15" customHeight="1" x14ac:dyDescent="0.2">
      <c r="B1253" s="256"/>
      <c r="C1253" s="513"/>
      <c r="D1253" s="516">
        <f t="shared" si="57"/>
        <v>0</v>
      </c>
      <c r="I1253" s="256"/>
      <c r="J1253" s="513"/>
      <c r="K1253" s="516">
        <f t="shared" si="58"/>
        <v>0</v>
      </c>
      <c r="P1253" s="256"/>
      <c r="Q1253" s="513"/>
      <c r="R1253" s="516">
        <f t="shared" si="59"/>
        <v>0</v>
      </c>
    </row>
    <row r="1254" spans="2:18" ht="15" customHeight="1" x14ac:dyDescent="0.2">
      <c r="B1254" s="256"/>
      <c r="C1254" s="513"/>
      <c r="D1254" s="516">
        <f t="shared" si="57"/>
        <v>0</v>
      </c>
      <c r="I1254" s="256"/>
      <c r="J1254" s="513"/>
      <c r="K1254" s="516">
        <f t="shared" si="58"/>
        <v>0</v>
      </c>
      <c r="P1254" s="256"/>
      <c r="Q1254" s="513"/>
      <c r="R1254" s="516">
        <f t="shared" si="59"/>
        <v>0</v>
      </c>
    </row>
    <row r="1255" spans="2:18" ht="15" customHeight="1" x14ac:dyDescent="0.2">
      <c r="B1255" s="256"/>
      <c r="C1255" s="513"/>
      <c r="D1255" s="516">
        <f t="shared" si="57"/>
        <v>0</v>
      </c>
      <c r="I1255" s="256"/>
      <c r="J1255" s="513"/>
      <c r="K1255" s="516">
        <f t="shared" si="58"/>
        <v>0</v>
      </c>
      <c r="P1255" s="256"/>
      <c r="Q1255" s="513"/>
      <c r="R1255" s="516">
        <f t="shared" si="59"/>
        <v>0</v>
      </c>
    </row>
    <row r="1256" spans="2:18" ht="15" customHeight="1" x14ac:dyDescent="0.2">
      <c r="B1256" s="256"/>
      <c r="C1256" s="513"/>
      <c r="D1256" s="516">
        <f t="shared" si="57"/>
        <v>0</v>
      </c>
      <c r="I1256" s="256"/>
      <c r="J1256" s="513"/>
      <c r="K1256" s="516">
        <f t="shared" si="58"/>
        <v>0</v>
      </c>
      <c r="P1256" s="256"/>
      <c r="Q1256" s="513"/>
      <c r="R1256" s="516">
        <f t="shared" si="59"/>
        <v>0</v>
      </c>
    </row>
    <row r="1257" spans="2:18" ht="15" customHeight="1" x14ac:dyDescent="0.2">
      <c r="B1257" s="256"/>
      <c r="C1257" s="513"/>
      <c r="D1257" s="516">
        <f t="shared" si="57"/>
        <v>0</v>
      </c>
      <c r="I1257" s="256"/>
      <c r="J1257" s="513"/>
      <c r="K1257" s="516">
        <f t="shared" si="58"/>
        <v>0</v>
      </c>
      <c r="P1257" s="256"/>
      <c r="Q1257" s="513"/>
      <c r="R1257" s="516">
        <f t="shared" si="59"/>
        <v>0</v>
      </c>
    </row>
    <row r="1258" spans="2:18" ht="15" customHeight="1" x14ac:dyDescent="0.2">
      <c r="B1258" s="256"/>
      <c r="C1258" s="513"/>
      <c r="D1258" s="516">
        <f t="shared" si="57"/>
        <v>0</v>
      </c>
      <c r="I1258" s="256"/>
      <c r="J1258" s="513"/>
      <c r="K1258" s="516">
        <f t="shared" si="58"/>
        <v>0</v>
      </c>
      <c r="P1258" s="256"/>
      <c r="Q1258" s="513"/>
      <c r="R1258" s="516">
        <f t="shared" si="59"/>
        <v>0</v>
      </c>
    </row>
    <row r="1259" spans="2:18" ht="15" customHeight="1" x14ac:dyDescent="0.2">
      <c r="B1259" s="256"/>
      <c r="C1259" s="513"/>
      <c r="D1259" s="516">
        <f t="shared" si="57"/>
        <v>0</v>
      </c>
      <c r="I1259" s="256"/>
      <c r="J1259" s="513"/>
      <c r="K1259" s="516">
        <f t="shared" si="58"/>
        <v>0</v>
      </c>
      <c r="P1259" s="256"/>
      <c r="Q1259" s="513"/>
      <c r="R1259" s="516">
        <f t="shared" si="59"/>
        <v>0</v>
      </c>
    </row>
    <row r="1260" spans="2:18" ht="15" customHeight="1" x14ac:dyDescent="0.2">
      <c r="B1260" s="256"/>
      <c r="C1260" s="513"/>
      <c r="D1260" s="516">
        <f t="shared" si="57"/>
        <v>0</v>
      </c>
      <c r="I1260" s="256"/>
      <c r="J1260" s="513"/>
      <c r="K1260" s="516">
        <f t="shared" si="58"/>
        <v>0</v>
      </c>
      <c r="P1260" s="256"/>
      <c r="Q1260" s="513"/>
      <c r="R1260" s="516">
        <f t="shared" si="59"/>
        <v>0</v>
      </c>
    </row>
    <row r="1261" spans="2:18" ht="15" customHeight="1" x14ac:dyDescent="0.2">
      <c r="B1261" s="256"/>
      <c r="C1261" s="513"/>
      <c r="D1261" s="516">
        <f t="shared" si="57"/>
        <v>0</v>
      </c>
      <c r="I1261" s="256"/>
      <c r="J1261" s="513"/>
      <c r="K1261" s="516">
        <f t="shared" si="58"/>
        <v>0</v>
      </c>
      <c r="P1261" s="256"/>
      <c r="Q1261" s="513"/>
      <c r="R1261" s="516">
        <f t="shared" si="59"/>
        <v>0</v>
      </c>
    </row>
    <row r="1262" spans="2:18" ht="15" customHeight="1" x14ac:dyDescent="0.2">
      <c r="B1262" s="256"/>
      <c r="C1262" s="513"/>
      <c r="D1262" s="516">
        <f t="shared" si="57"/>
        <v>0</v>
      </c>
      <c r="I1262" s="256"/>
      <c r="J1262" s="513"/>
      <c r="K1262" s="516">
        <f t="shared" si="58"/>
        <v>0</v>
      </c>
      <c r="P1262" s="256"/>
      <c r="Q1262" s="513"/>
      <c r="R1262" s="516">
        <f t="shared" si="59"/>
        <v>0</v>
      </c>
    </row>
    <row r="1263" spans="2:18" ht="15" customHeight="1" x14ac:dyDescent="0.2">
      <c r="B1263" s="256"/>
      <c r="C1263" s="513"/>
      <c r="D1263" s="516">
        <f t="shared" si="57"/>
        <v>0</v>
      </c>
      <c r="I1263" s="256"/>
      <c r="J1263" s="513"/>
      <c r="K1263" s="516">
        <f t="shared" si="58"/>
        <v>0</v>
      </c>
      <c r="P1263" s="256"/>
      <c r="Q1263" s="513"/>
      <c r="R1263" s="516">
        <f t="shared" si="59"/>
        <v>0</v>
      </c>
    </row>
    <row r="1264" spans="2:18" ht="15" customHeight="1" x14ac:dyDescent="0.2">
      <c r="B1264" s="256"/>
      <c r="C1264" s="513"/>
      <c r="D1264" s="516">
        <f t="shared" si="57"/>
        <v>0</v>
      </c>
      <c r="I1264" s="256"/>
      <c r="J1264" s="513"/>
      <c r="K1264" s="516">
        <f t="shared" si="58"/>
        <v>0</v>
      </c>
      <c r="P1264" s="256"/>
      <c r="Q1264" s="513"/>
      <c r="R1264" s="516">
        <f t="shared" si="59"/>
        <v>0</v>
      </c>
    </row>
    <row r="1265" spans="2:18" ht="15" customHeight="1" x14ac:dyDescent="0.2">
      <c r="B1265" s="256"/>
      <c r="C1265" s="513"/>
      <c r="D1265" s="516">
        <f t="shared" si="57"/>
        <v>0</v>
      </c>
      <c r="I1265" s="256"/>
      <c r="J1265" s="513"/>
      <c r="K1265" s="516">
        <f t="shared" si="58"/>
        <v>0</v>
      </c>
      <c r="P1265" s="256"/>
      <c r="Q1265" s="513"/>
      <c r="R1265" s="516">
        <f t="shared" si="59"/>
        <v>0</v>
      </c>
    </row>
    <row r="1266" spans="2:18" ht="15" customHeight="1" x14ac:dyDescent="0.2">
      <c r="B1266" s="256"/>
      <c r="C1266" s="513"/>
      <c r="D1266" s="516">
        <f t="shared" si="57"/>
        <v>0</v>
      </c>
      <c r="I1266" s="256"/>
      <c r="J1266" s="513"/>
      <c r="K1266" s="516">
        <f t="shared" si="58"/>
        <v>0</v>
      </c>
      <c r="P1266" s="256"/>
      <c r="Q1266" s="513"/>
      <c r="R1266" s="516">
        <f t="shared" si="59"/>
        <v>0</v>
      </c>
    </row>
    <row r="1267" spans="2:18" ht="15" customHeight="1" x14ac:dyDescent="0.2">
      <c r="B1267" s="256"/>
      <c r="C1267" s="513"/>
      <c r="D1267" s="516">
        <f t="shared" si="57"/>
        <v>0</v>
      </c>
      <c r="I1267" s="256"/>
      <c r="J1267" s="513"/>
      <c r="K1267" s="516">
        <f t="shared" si="58"/>
        <v>0</v>
      </c>
      <c r="P1267" s="256"/>
      <c r="Q1267" s="513"/>
      <c r="R1267" s="516">
        <f t="shared" si="59"/>
        <v>0</v>
      </c>
    </row>
  </sheetData>
  <mergeCells count="41"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</mergeCells>
  <conditionalFormatting sqref="I14 P14 W14 B14">
    <cfRule type="cellIs" dxfId="220" priority="3" operator="equal">
      <formula>"not ok"</formula>
    </cfRule>
    <cfRule type="cellIs" dxfId="219" priority="4" operator="equal">
      <formula>"ok"</formula>
    </cfRule>
  </conditionalFormatting>
  <conditionalFormatting sqref="B18:B1267 I18:I1267 P18:P1267">
    <cfRule type="containsText" dxfId="218" priority="2" operator="containsText" text=".">
      <formula>NOT(ISERROR(SEARCH(".",B18)))</formula>
    </cfRule>
  </conditionalFormatting>
  <conditionalFormatting sqref="B18:C1267 I18:J1267 P18:Q1267">
    <cfRule type="containsText" dxfId="217" priority="1" operator="containsText" text=".">
      <formula>NOT(ISERROR(SEARCH(".",B18)))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mc:AlternateContent xmlns:x12ac="http://schemas.microsoft.com/office/spreadsheetml/2011/1/ac" xmlns:mc="http://schemas.openxmlformats.org/markup-compatibility/2006">
        <mc:Choice Requires="x12ac">
          <x12ac:list>"ok, not ok"</x12ac:list>
        </mc:Choice>
        <mc:Fallback>
          <formula1>"ok, not ok"</formula1>
        </mc:Fallback>
      </mc:AlternateContent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254"/>
  <sheetViews>
    <sheetView workbookViewId="0"/>
  </sheetViews>
  <sheetFormatPr defaultColWidth="0" defaultRowHeight="15" customHeight="1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448" customWidth="1"/>
    <col min="9" max="9" width="5.7109375" style="448" customWidth="1"/>
    <col min="10" max="10" width="2.7109375" style="265" customWidth="1"/>
    <col min="11" max="15" width="9.140625" style="70" customWidth="1"/>
    <col min="16" max="16384" width="9.140625" style="70" hidden="1"/>
  </cols>
  <sheetData>
    <row r="1" spans="1:10" ht="15" customHeight="1" thickBot="1" x14ac:dyDescent="0.25">
      <c r="D1" s="455" t="s">
        <v>1787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H3" s="240"/>
      <c r="I3" s="240"/>
      <c r="J3" s="275"/>
    </row>
    <row r="4" spans="1:10" ht="15" customHeight="1" x14ac:dyDescent="0.2">
      <c r="A4" s="276" t="s">
        <v>367</v>
      </c>
      <c r="B4" s="449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  <c r="J6" s="313"/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1859</v>
      </c>
      <c r="F7" s="274"/>
      <c r="H7" s="312" t="s">
        <v>1821</v>
      </c>
      <c r="I7" s="264">
        <f>COUNTA(tab_new_bs_curve_lan[IndependentValue])</f>
        <v>27</v>
      </c>
      <c r="J7" s="240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95</v>
      </c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script_table_1st_lan_start_row + 2*I7 - 1</f>
        <v>148</v>
      </c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script_table_1st_hid_start_row + 2*I9 - 1</f>
        <v>147</v>
      </c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H14" s="240"/>
      <c r="I14" s="240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454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40"/>
    </row>
    <row r="17" spans="1:10" s="240" customFormat="1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J17" s="265"/>
    </row>
    <row r="18" spans="1:10" s="240" customFormat="1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451">
        <f>Values!C25/1000</f>
        <v>0.28000000000000003</v>
      </c>
      <c r="F18" s="292"/>
      <c r="J18" s="265"/>
    </row>
    <row r="19" spans="1:10" s="240" customFormat="1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454"/>
      <c r="J19" s="265"/>
    </row>
    <row r="20" spans="1:10" s="240" customFormat="1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450"/>
      <c r="J20" s="265"/>
    </row>
    <row r="21" spans="1:10" s="240" customFormat="1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H21" s="448"/>
      <c r="I21" s="448"/>
      <c r="J21" s="265"/>
    </row>
    <row r="22" spans="1:10" s="240" customFormat="1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I22" s="448"/>
      <c r="J22" s="265"/>
    </row>
    <row r="23" spans="1:10" s="240" customFormat="1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IF(ISBLANK((INDEX(D:D,SUM(103, I7),1))), "A curva de Lançamento NÃO foi inserida!", "A curva de Lançamento foi inserida!"))</f>
        <v>A curva de Lançamento NÃO foi inserida!</v>
      </c>
      <c r="I23" s="448"/>
      <c r="J23" s="265"/>
    </row>
    <row r="24" spans="1:10" s="240" customFormat="1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I24" s="448"/>
      <c r="J24" s="265"/>
    </row>
    <row r="25" spans="1:10" s="240" customFormat="1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I25" s="448"/>
      <c r="J25" s="265"/>
    </row>
    <row r="26" spans="1:10" s="240" customFormat="1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IF(ISBLANK((INDEX(D:D,SUM(103, I7, I9),1))), "A curva de Teste NÃO foi inserida!", "A curva de Teste foi inserida!"))</f>
        <v>A curva de Teste NÃO foi inserida!</v>
      </c>
      <c r="I26" s="448"/>
      <c r="J26" s="265"/>
    </row>
    <row r="27" spans="1:10" s="240" customFormat="1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I27" s="448"/>
      <c r="J27" s="265"/>
    </row>
    <row r="28" spans="1:10" s="240" customFormat="1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s="240" customFormat="1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IF(ISBLANK((INDEX(D:D,SUM(103, I7, I9, I11),1))), "A curva de Operação NÃO foi inserida!", "A curva de Operação foi inserida!"))</f>
        <v>A curva de Operação NÃO foi inserida!</v>
      </c>
      <c r="J29" s="265"/>
    </row>
    <row r="30" spans="1:10" s="240" customFormat="1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H30" s="448"/>
      <c r="I30" s="448"/>
      <c r="J30" s="265"/>
    </row>
    <row r="31" spans="1:10" s="240" customFormat="1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H31" s="448"/>
      <c r="I31" s="448"/>
      <c r="J31" s="265"/>
    </row>
    <row r="32" spans="1:10" s="240" customFormat="1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H32" s="448"/>
      <c r="I32" s="448"/>
      <c r="J32" s="265"/>
    </row>
    <row r="33" spans="1:10" s="240" customFormat="1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448"/>
      <c r="I33" s="448"/>
      <c r="J33" s="265"/>
    </row>
    <row r="34" spans="1:10" s="240" customFormat="1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448"/>
      <c r="I34" s="448"/>
      <c r="J34" s="265"/>
    </row>
    <row r="35" spans="1:10" s="240" customFormat="1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448"/>
      <c r="I35" s="448"/>
      <c r="J35" s="265"/>
    </row>
    <row r="36" spans="1:10" s="240" customFormat="1" ht="15" customHeight="1" x14ac:dyDescent="0.2">
      <c r="A36" s="172"/>
      <c r="B36" s="173" t="s">
        <v>373</v>
      </c>
      <c r="C36" s="288" t="str">
        <f>IF(Values!$A$66="","Select Line","Select ZR_Vértebraebra")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448"/>
      <c r="I36" s="448"/>
      <c r="J36" s="265"/>
    </row>
    <row r="37" spans="1:10" s="240" customFormat="1" ht="15" customHeight="1" x14ac:dyDescent="0.2">
      <c r="A37" s="172"/>
      <c r="B37" s="173" t="s">
        <v>373</v>
      </c>
      <c r="C37" s="288" t="str">
        <f>IF(Values!$A$66="","Select Line","Select ZR_Vértebraebra")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H37" s="448"/>
      <c r="I37" s="448"/>
      <c r="J37" s="265"/>
    </row>
    <row r="38" spans="1:10" s="240" customFormat="1" ht="15" customHeight="1" x14ac:dyDescent="0.2">
      <c r="A38" s="172"/>
      <c r="B38" s="173" t="s">
        <v>373</v>
      </c>
      <c r="C38" s="288" t="str">
        <f>IF(Values!$A$66="","Select Line","Select ZR_Vértebraebra")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H38" s="448"/>
      <c r="I38" s="448"/>
      <c r="J38" s="265"/>
    </row>
    <row r="39" spans="1:10" s="240" customFormat="1" ht="15" customHeight="1" x14ac:dyDescent="0.2">
      <c r="A39" s="172"/>
      <c r="B39" s="173" t="s">
        <v>373</v>
      </c>
      <c r="C39" s="288" t="str">
        <f>IF(Values!$A$66="","Select Line","Select ZR_Vértebraebra")</f>
        <v>Select Line</v>
      </c>
      <c r="D39" s="176" t="str">
        <f>IF(Values!$A$66="","NumberOfSections =","EIx =")</f>
        <v>NumberOfSections =</v>
      </c>
      <c r="E39" s="177" t="str">
        <f>IF(Values!$A$66="",H$20,Values!C74)</f>
        <v>7</v>
      </c>
      <c r="F39" s="292"/>
      <c r="H39" s="448"/>
      <c r="I39" s="448"/>
      <c r="J39" s="265"/>
    </row>
    <row r="40" spans="1:10" s="240" customFormat="1" ht="15" customHeight="1" x14ac:dyDescent="0.2">
      <c r="A40" s="172"/>
      <c r="B40" s="173" t="s">
        <v>373</v>
      </c>
      <c r="C40" s="288" t="str">
        <f>IF(Values!$A$66="","Select Line","Select ZR_Vértebraebra")</f>
        <v>Select Line</v>
      </c>
      <c r="D40" s="176" t="str">
        <f>IF(Values!$A$66="","NumberOfSections =","EA =")</f>
        <v>NumberOfSections =</v>
      </c>
      <c r="E40" s="177" t="str">
        <f>IF(Values!$A$66="",H$20,Values!C75)</f>
        <v>7</v>
      </c>
      <c r="F40" s="292"/>
      <c r="H40" s="448"/>
      <c r="I40" s="448"/>
      <c r="J40" s="265"/>
    </row>
    <row r="41" spans="1:10" s="240" customFormat="1" ht="15" customHeight="1" x14ac:dyDescent="0.2">
      <c r="A41" s="172"/>
      <c r="B41" s="173" t="s">
        <v>373</v>
      </c>
      <c r="C41" s="288" t="str">
        <f>IF(Values!$A$66="","Select Line","Select ZR_Vértebraebra")</f>
        <v>Select Line</v>
      </c>
      <c r="D41" s="176" t="str">
        <f>IF(Values!$A$66="","NumberOfSections =","xMinRadius =")</f>
        <v>NumberOfSections =</v>
      </c>
      <c r="E41" s="177" t="str">
        <f>IF(Values!$A$66="",H$20,Values!C27)</f>
        <v>7</v>
      </c>
      <c r="F41" s="292"/>
      <c r="H41" s="448"/>
      <c r="I41" s="448"/>
      <c r="J41" s="265"/>
    </row>
    <row r="42" spans="1:10" s="240" customFormat="1" ht="15" customHeight="1" x14ac:dyDescent="0.2">
      <c r="A42" s="172"/>
      <c r="B42" s="173" t="s">
        <v>373</v>
      </c>
      <c r="C42" s="288" t="str">
        <f>IF(Values!$A$66="","Select Line","Select ZR_Vértebraebra")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IF(Values!$A$66="",H$20,Values!C72/1000)</f>
        <v>7</v>
      </c>
      <c r="F42" s="292"/>
      <c r="H42" s="448"/>
      <c r="I42" s="448"/>
      <c r="J42" s="265"/>
    </row>
    <row r="43" spans="1:10" s="240" customFormat="1" ht="15" customHeight="1" x14ac:dyDescent="0.2">
      <c r="A43" s="172"/>
      <c r="B43" s="173" t="s">
        <v>373</v>
      </c>
      <c r="C43" s="288" t="str">
        <f>IF(Values!$A$66="","Select Line","Select ZR_Vértebraebra")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IF(Values!$A$66="",H$20,Values!C72/1000)</f>
        <v>7</v>
      </c>
      <c r="F43" s="292"/>
      <c r="H43" s="448"/>
      <c r="I43" s="448"/>
      <c r="J43" s="265"/>
    </row>
    <row r="44" spans="1:10" s="240" customFormat="1" ht="15" customHeight="1" x14ac:dyDescent="0.2">
      <c r="A44" s="172"/>
      <c r="B44" s="173" t="s">
        <v>373</v>
      </c>
      <c r="C44" s="288" t="str">
        <f>IF(Values!$A$66="","Select Line","Select ZR_Vértebraebra")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H44" s="448"/>
      <c r="I44" s="448"/>
      <c r="J44" s="265"/>
    </row>
    <row r="45" spans="1:10" s="240" customFormat="1" ht="15" customHeight="1" x14ac:dyDescent="0.2">
      <c r="A45" s="172"/>
      <c r="B45" s="173" t="s">
        <v>373</v>
      </c>
      <c r="C45" s="288" t="str">
        <f>IF(Values!$A$66="","Select Line","Select ZR_Vértebraebra")</f>
        <v>Select Line</v>
      </c>
      <c r="D45" s="176" t="str">
        <f>IF(Values!$A$66="","NumberOfSections =","GJ =")</f>
        <v>NumberOfSections =</v>
      </c>
      <c r="E45" s="177" t="str">
        <f>IF(Values!$A$66="",H$20,Values!C76)</f>
        <v>7</v>
      </c>
      <c r="F45" s="292"/>
      <c r="H45" s="448"/>
      <c r="I45" s="448"/>
      <c r="J45" s="265"/>
    </row>
    <row r="46" spans="1:10" s="240" customFormat="1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H46" s="448"/>
      <c r="I46" s="448"/>
      <c r="J46" s="265"/>
    </row>
    <row r="47" spans="1:10" s="240" customFormat="1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H47" s="448"/>
      <c r="I47" s="448"/>
      <c r="J47" s="265"/>
    </row>
    <row r="48" spans="1:10" s="240" customFormat="1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H48" s="448"/>
      <c r="I48" s="448"/>
      <c r="J48" s="265"/>
    </row>
    <row r="49" spans="1:10" s="240" customFormat="1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H49" s="448"/>
      <c r="I49" s="448"/>
      <c r="J49" s="265"/>
    </row>
    <row r="50" spans="1:10" s="240" customFormat="1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H50" s="448"/>
      <c r="I50" s="448"/>
      <c r="J50" s="265"/>
    </row>
    <row r="51" spans="1:10" s="240" customFormat="1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H51" s="448"/>
      <c r="I51" s="448"/>
      <c r="J51" s="265"/>
    </row>
    <row r="52" spans="1:10" s="240" customFormat="1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H52" s="448"/>
      <c r="I52" s="448"/>
      <c r="J52" s="265"/>
    </row>
    <row r="53" spans="1:10" s="240" customFormat="1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H53" s="448"/>
      <c r="I53" s="448"/>
      <c r="J53" s="265"/>
    </row>
    <row r="54" spans="1:10" s="240" customFormat="1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H54" s="448"/>
      <c r="I54" s="448"/>
      <c r="J54" s="265"/>
    </row>
    <row r="55" spans="1:10" s="240" customFormat="1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H55" s="448"/>
      <c r="I55" s="448"/>
      <c r="J55" s="265"/>
    </row>
    <row r="56" spans="1:10" s="240" customFormat="1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H56" s="448"/>
      <c r="I56" s="448"/>
      <c r="J56" s="265"/>
    </row>
    <row r="57" spans="1:10" s="240" customFormat="1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H57" s="448"/>
      <c r="I57" s="448"/>
      <c r="J57" s="265"/>
    </row>
    <row r="58" spans="1:10" s="240" customFormat="1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H58" s="448"/>
      <c r="I58" s="448"/>
      <c r="J58" s="265"/>
    </row>
    <row r="59" spans="1:10" s="240" customFormat="1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F59" s="299"/>
      <c r="H59" s="448"/>
      <c r="I59" s="448"/>
      <c r="J59" s="265"/>
    </row>
    <row r="60" spans="1:10" s="240" customFormat="1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F60" s="299"/>
      <c r="H60" s="448"/>
      <c r="I60" s="448"/>
      <c r="J60" s="265"/>
    </row>
    <row r="61" spans="1:10" s="240" customFormat="1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F61" s="299"/>
      <c r="H61" s="448"/>
      <c r="I61" s="448"/>
      <c r="J61" s="265"/>
    </row>
    <row r="62" spans="1:10" s="240" customFormat="1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F62" s="299"/>
      <c r="H62" s="448"/>
      <c r="I62" s="448"/>
      <c r="J62" s="265"/>
    </row>
    <row r="63" spans="1:10" s="240" customFormat="1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H63" s="448"/>
      <c r="I63" s="448"/>
      <c r="J63" s="265"/>
    </row>
    <row r="64" spans="1:10" s="240" customFormat="1" ht="15" customHeight="1" x14ac:dyDescent="0.2">
      <c r="A64" s="172"/>
      <c r="B64" s="173"/>
      <c r="C64" s="173" t="s">
        <v>373</v>
      </c>
      <c r="D64" s="174" t="s">
        <v>1786</v>
      </c>
      <c r="E64" s="452">
        <f>('MCV e Guindaste'!O17)-160-100-40-10-(Values!C18/1000)-(Values!C51/1000)-(Values!C38/1000)</f>
        <v>1984.999</v>
      </c>
      <c r="F64" s="292"/>
      <c r="H64" s="448"/>
      <c r="I64" s="448"/>
      <c r="J64" s="265"/>
    </row>
    <row r="65" spans="1:10" s="240" customFormat="1" ht="15" customHeight="1" x14ac:dyDescent="0.2">
      <c r="A65" s="172"/>
      <c r="B65" s="173"/>
      <c r="C65" s="173" t="s">
        <v>373</v>
      </c>
      <c r="D65" s="174" t="s">
        <v>398</v>
      </c>
      <c r="E65" s="175">
        <f>Values!C18/1000</f>
        <v>4.21</v>
      </c>
      <c r="F65" s="292"/>
      <c r="H65" s="448"/>
      <c r="I65" s="448"/>
      <c r="J65" s="265"/>
    </row>
    <row r="66" spans="1:10" s="240" customFormat="1" ht="15" customHeight="1" x14ac:dyDescent="0.2">
      <c r="A66" s="172"/>
      <c r="B66" s="173"/>
      <c r="C66" s="173" t="s">
        <v>373</v>
      </c>
      <c r="D66" s="176" t="str">
        <f>IF(Values!$A$66="", "LineType[7] =", "Attachmentz[1] =")</f>
        <v>LineType[7] =</v>
      </c>
      <c r="E66" s="177" t="str">
        <f>IF(Values!$A$66="", "Conector", 0)</f>
        <v>Conector</v>
      </c>
      <c r="F66" s="292"/>
      <c r="H66" s="448"/>
      <c r="I66" s="448"/>
      <c r="J66" s="265"/>
    </row>
    <row r="67" spans="1:10" s="240" customFormat="1" ht="15" customHeight="1" x14ac:dyDescent="0.2">
      <c r="A67" s="172"/>
      <c r="B67" s="173"/>
      <c r="C67" s="173" t="s">
        <v>373</v>
      </c>
      <c r="D67" s="176" t="str">
        <f>IF(AND(Values!$A$66="",NOT(Values!$A$53="")), "LineType[8] =", "Attachmentz[1] =")</f>
        <v>Attachmentz[1] =</v>
      </c>
      <c r="E67" s="177">
        <f>IF(AND(Values!$A$66="",NOT(Values!$A$53="")), "Adaptador", 0)</f>
        <v>0</v>
      </c>
      <c r="F67" s="292"/>
      <c r="H67" s="448"/>
      <c r="I67" s="448"/>
      <c r="J67" s="265"/>
    </row>
    <row r="68" spans="1:10" s="240" customFormat="1" ht="15" customHeight="1" x14ac:dyDescent="0.2">
      <c r="A68" s="172"/>
      <c r="B68" s="173"/>
      <c r="C68" s="173" t="s">
        <v>373</v>
      </c>
      <c r="D68" s="176" t="str">
        <f>IF(Values!$A$66="","Attachmentz[1] =","Length[7] =")</f>
        <v>Attachmentz[1] =</v>
      </c>
      <c r="E68" s="177">
        <f>IF(Values!$A$66="",0, Values!C64/1000)</f>
        <v>0</v>
      </c>
      <c r="F68" s="292"/>
      <c r="H68" s="448"/>
      <c r="I68" s="448"/>
      <c r="J68" s="265"/>
    </row>
    <row r="69" spans="1:10" s="240" customFormat="1" ht="15" customHeight="1" x14ac:dyDescent="0.2">
      <c r="A69" s="172"/>
      <c r="B69" s="173"/>
      <c r="C69" s="173" t="s">
        <v>373</v>
      </c>
      <c r="D69" s="176" t="str">
        <f>IF(Values!$A$66="", "Length[7] =", "Length[8] =")</f>
        <v>Length[7] =</v>
      </c>
      <c r="E69" s="177">
        <f xml:space="preserve"> Values!C38/1000</f>
        <v>1.7909999999999999</v>
      </c>
      <c r="F69" s="292"/>
      <c r="H69" s="448"/>
      <c r="I69" s="448"/>
      <c r="J69" s="265"/>
    </row>
    <row r="70" spans="1:10" s="240" customFormat="1" ht="15" customHeight="1" x14ac:dyDescent="0.2">
      <c r="A70" s="172"/>
      <c r="B70" s="173"/>
      <c r="C70" s="173" t="s">
        <v>373</v>
      </c>
      <c r="D70" s="176" t="str" cm="1">
        <f t="array" ref="D70">_xlfn.IFS(AND(Values!$A$66="",NOT(Values!$A$53="")), "Length[8] =", AND(NOT(Values!$A$66=""),NOT(Values!$A$53="")),"Length[9] =",TRUE, "Attachmentz[1] =")</f>
        <v>Attachmentz[1] =</v>
      </c>
      <c r="E70" s="177" cm="1">
        <f t="array" ref="E70">_xlfn.IFS(AND(Values!$A$66="",NOT(Values!$A$53="")), Values!C51/1000, AND(NOT(Values!$A$66=""),NOT(Values!$A$53="")),Values!C51/1000,TRUE,0)</f>
        <v>0</v>
      </c>
      <c r="F70" s="292"/>
      <c r="H70" s="448"/>
      <c r="I70" s="448"/>
      <c r="J70" s="265"/>
    </row>
    <row r="71" spans="1:10" s="240" customFormat="1" ht="15" customHeight="1" x14ac:dyDescent="0.2">
      <c r="A71" s="172"/>
      <c r="B71" s="178"/>
      <c r="C71" s="173" t="s">
        <v>373</v>
      </c>
      <c r="D71" s="174" t="s">
        <v>399</v>
      </c>
      <c r="E71" s="177">
        <f>E68+E69+E70</f>
        <v>1.7909999999999999</v>
      </c>
      <c r="F71" s="292"/>
      <c r="H71" s="448"/>
      <c r="I71" s="448"/>
      <c r="J71" s="265"/>
    </row>
    <row r="72" spans="1:10" s="240" customFormat="1" ht="15" customHeight="1" x14ac:dyDescent="0.2">
      <c r="A72" s="295"/>
      <c r="B72" s="178"/>
      <c r="C72" s="178" t="s">
        <v>373</v>
      </c>
      <c r="D72" s="176" t="s">
        <v>400</v>
      </c>
      <c r="E72" s="300">
        <f>'MCV e Guindaste'!C26</f>
        <v>0.83899999999999997</v>
      </c>
      <c r="F72" s="292"/>
      <c r="H72" s="448"/>
      <c r="I72" s="448"/>
      <c r="J72" s="265"/>
    </row>
    <row r="73" spans="1:10" s="240" customFormat="1" ht="15" customHeight="1" x14ac:dyDescent="0.2">
      <c r="A73" s="295"/>
      <c r="B73" s="178"/>
      <c r="C73" s="178" t="s">
        <v>373</v>
      </c>
      <c r="D73" s="176" t="s">
        <v>401</v>
      </c>
      <c r="E73" s="300">
        <f>'MCV e Guindaste'!C25</f>
        <v>2.0369999999999999</v>
      </c>
      <c r="F73" s="292"/>
      <c r="H73" s="448"/>
      <c r="I73" s="448"/>
      <c r="J73" s="265"/>
    </row>
    <row r="74" spans="1:10" s="240" customFormat="1" ht="15" customHeight="1" x14ac:dyDescent="0.2">
      <c r="A74" s="295"/>
      <c r="B74" s="178"/>
      <c r="C74" s="178" t="s">
        <v>373</v>
      </c>
      <c r="D74" s="176" t="s">
        <v>402</v>
      </c>
      <c r="E74" s="300">
        <f>'MCV e Guindaste'!C28</f>
        <v>60</v>
      </c>
      <c r="F74" s="292"/>
      <c r="H74" s="448"/>
      <c r="I74" s="448"/>
      <c r="J74" s="265"/>
    </row>
    <row r="75" spans="1:10" s="240" customFormat="1" ht="15" customHeight="1" x14ac:dyDescent="0.2">
      <c r="A75" s="295"/>
      <c r="B75" s="178"/>
      <c r="C75" s="178" t="s">
        <v>403</v>
      </c>
      <c r="D75" s="178" t="s">
        <v>404</v>
      </c>
      <c r="E75" s="300">
        <f>'MCV e Guindaste'!C24</f>
        <v>-6.800000000000006E-2</v>
      </c>
      <c r="F75" s="292"/>
      <c r="H75" s="448"/>
      <c r="I75" s="448"/>
      <c r="J75" s="265"/>
    </row>
    <row r="76" spans="1:10" s="240" customFormat="1" ht="15" customHeight="1" x14ac:dyDescent="0.2">
      <c r="A76" s="295"/>
      <c r="B76" s="178"/>
      <c r="C76" s="178" t="s">
        <v>403</v>
      </c>
      <c r="D76" s="178" t="s">
        <v>405</v>
      </c>
      <c r="E76" s="300">
        <f>'MCV e Guindaste'!C23</f>
        <v>2.5389999999999997</v>
      </c>
      <c r="F76" s="292"/>
      <c r="H76" s="448"/>
      <c r="I76" s="448"/>
      <c r="J76" s="265"/>
    </row>
    <row r="77" spans="1:10" s="240" customFormat="1" ht="15" customHeight="1" x14ac:dyDescent="0.2">
      <c r="A77" s="295"/>
      <c r="B77" s="178"/>
      <c r="C77" s="178" t="s">
        <v>403</v>
      </c>
      <c r="D77" s="178" t="s">
        <v>406</v>
      </c>
      <c r="E77" s="301">
        <f>'MCV e Guindaste'!O18</f>
        <v>2296.6880000000001</v>
      </c>
      <c r="F77" s="292"/>
      <c r="H77" s="448"/>
      <c r="I77" s="448"/>
      <c r="J77" s="265"/>
    </row>
    <row r="78" spans="1:10" s="240" customFormat="1" ht="15" customHeight="1" x14ac:dyDescent="0.2">
      <c r="A78" s="295"/>
      <c r="B78" s="178"/>
      <c r="C78" s="178" t="s">
        <v>388</v>
      </c>
      <c r="D78" s="176" t="s">
        <v>407</v>
      </c>
      <c r="E78" s="301" t="str">
        <f>IF(TRIM('MCV e Guindaste'!B6)="","MCV",SUBSTITUTE(TRIM('MCV e Guindaste'!B6)," ","_"))</f>
        <v>P7000048060_/_'DU700154300_Rev._C</v>
      </c>
      <c r="F78" s="292"/>
      <c r="H78" s="448"/>
      <c r="I78" s="448"/>
      <c r="J78" s="265"/>
    </row>
    <row r="79" spans="1:10" s="240" customFormat="1" ht="15" customHeight="1" x14ac:dyDescent="0.2">
      <c r="A79" s="172"/>
      <c r="B79" s="173"/>
      <c r="C79" s="288" t="str">
        <f>IF(Values!$A$53="","Select Line","Select Adaptador")</f>
        <v>Select Line</v>
      </c>
      <c r="D79" s="176" t="str">
        <f>IF(Values!$A$53="","NumberOfSections =","Name =")</f>
        <v>NumberOfSections =</v>
      </c>
      <c r="E79" s="177" t="str">
        <f>IF(TRIM(Values!$A$53)="",H$20,SUBSTITUTE(TRIM(Values!$A$53)," ","_"))</f>
        <v>7</v>
      </c>
      <c r="F79" s="292"/>
      <c r="H79" s="448"/>
      <c r="I79" s="448"/>
      <c r="J79" s="265"/>
    </row>
    <row r="80" spans="1:10" s="240" customFormat="1" ht="15" customHeight="1" x14ac:dyDescent="0.2">
      <c r="A80" s="295"/>
      <c r="B80" s="178"/>
      <c r="C80" s="178" t="s">
        <v>386</v>
      </c>
      <c r="D80" s="176" t="s">
        <v>407</v>
      </c>
      <c r="E80" s="301" t="str">
        <f>IF(TRIM(Values!$A$40)="","Conector",SUBSTITUTE(TRIM(Values!$A$40)," ","_"))</f>
        <v>CB-EF1522543-00-04</v>
      </c>
      <c r="F80" s="292"/>
      <c r="H80" s="448"/>
      <c r="I80" s="448"/>
      <c r="J80" s="265"/>
    </row>
    <row r="81" spans="1:13" s="240" customFormat="1" ht="15" customHeight="1" x14ac:dyDescent="0.2">
      <c r="A81" s="172"/>
      <c r="B81" s="173"/>
      <c r="C81" s="288" t="str">
        <f>IF(Values!$A$66="","Select Line","Select ZR_Vértebraebra")</f>
        <v>Select Line</v>
      </c>
      <c r="D81" s="176" t="str">
        <f>IF(Values!$A$66="","NumberOfSections =","Name =")</f>
        <v>NumberOfSections =</v>
      </c>
      <c r="E81" s="177" t="str">
        <f>IF(TRIM(Values!$A$66)="",H$20,SUBSTITUTE(TRIM(Values!$A$66)," ","_"))</f>
        <v>7</v>
      </c>
      <c r="F81" s="292"/>
      <c r="H81" s="448"/>
      <c r="I81" s="448"/>
      <c r="J81" s="265"/>
    </row>
    <row r="82" spans="1:13" s="240" customFormat="1" ht="15" customHeight="1" x14ac:dyDescent="0.2">
      <c r="A82" s="295"/>
      <c r="B82" s="178"/>
      <c r="C82" s="178" t="s">
        <v>385</v>
      </c>
      <c r="D82" s="176" t="s">
        <v>407</v>
      </c>
      <c r="E82" s="301" t="str">
        <f>IF(TRIM(Values!$A$20)="","Vértebra",SUBSTITUTE(TRIM(Values!$A$20)," ","_"))</f>
        <v>CB-BR1522543-00-01</v>
      </c>
      <c r="F82" s="292"/>
      <c r="H82" s="448"/>
      <c r="I82" s="448"/>
      <c r="J82" s="265"/>
    </row>
    <row r="83" spans="1:13" s="240" customFormat="1" ht="15" customHeight="1" x14ac:dyDescent="0.2">
      <c r="A83" s="295"/>
      <c r="B83" s="178"/>
      <c r="C83" s="178" t="s">
        <v>374</v>
      </c>
      <c r="D83" s="176" t="s">
        <v>407</v>
      </c>
      <c r="E83" s="301" t="str">
        <f>IF(TRIM(Values!$A$5)="","Linha",SUBSTITUTE(TRIM(Values!$A$5)," ","_"))</f>
        <v>WSI_152.2547-RD-4042-X</v>
      </c>
      <c r="F83" s="292"/>
      <c r="H83" s="448"/>
      <c r="I83" s="448"/>
      <c r="J83" s="265"/>
    </row>
    <row r="84" spans="1:13" s="240" customFormat="1" ht="15" customHeight="1" x14ac:dyDescent="0.2">
      <c r="A84" s="295"/>
      <c r="B84" s="178"/>
      <c r="C84" s="178" t="s">
        <v>408</v>
      </c>
      <c r="D84" s="176" t="s">
        <v>409</v>
      </c>
      <c r="E84" s="300" t="s">
        <v>410</v>
      </c>
      <c r="F84" s="292"/>
      <c r="H84" s="448"/>
      <c r="I84" s="448"/>
      <c r="J84" s="265"/>
    </row>
    <row r="85" spans="1:13" s="240" customFormat="1" ht="15" customHeight="1" x14ac:dyDescent="0.2">
      <c r="A85" s="295"/>
      <c r="B85" s="178"/>
      <c r="C85" s="178" t="s">
        <v>408</v>
      </c>
      <c r="D85" s="176" t="s">
        <v>411</v>
      </c>
      <c r="E85" s="302">
        <v>4</v>
      </c>
      <c r="F85" s="292"/>
      <c r="H85" s="448"/>
      <c r="I85" s="448"/>
      <c r="J85" s="265"/>
    </row>
    <row r="86" spans="1:13" s="84" customFormat="1" ht="15" customHeight="1" x14ac:dyDescent="0.2">
      <c r="A86" s="295"/>
      <c r="B86" s="178"/>
      <c r="C86" s="178" t="s">
        <v>408</v>
      </c>
      <c r="D86" s="176" t="s">
        <v>412</v>
      </c>
      <c r="E86" s="300">
        <v>0</v>
      </c>
      <c r="F86" s="292"/>
      <c r="G86" s="240"/>
      <c r="H86" s="240"/>
      <c r="I86" s="240"/>
      <c r="J86" s="265"/>
      <c r="K86" s="265"/>
      <c r="L86" s="265"/>
      <c r="M86" s="265"/>
    </row>
    <row r="87" spans="1:13" s="240" customFormat="1" ht="15" customHeight="1" x14ac:dyDescent="0.2">
      <c r="A87" s="295"/>
      <c r="B87" s="178"/>
      <c r="C87" s="178" t="s">
        <v>408</v>
      </c>
      <c r="D87" s="176" t="s">
        <v>413</v>
      </c>
      <c r="E87" s="300">
        <f>'MCV e Guindaste'!O17</f>
        <v>2301</v>
      </c>
      <c r="F87" s="292"/>
      <c r="H87" s="448"/>
      <c r="I87" s="448"/>
      <c r="J87" s="265"/>
    </row>
    <row r="88" spans="1:13" s="240" customFormat="1" ht="15" customHeight="1" x14ac:dyDescent="0.2">
      <c r="A88" s="295"/>
      <c r="B88" s="178"/>
      <c r="C88" s="178" t="s">
        <v>408</v>
      </c>
      <c r="D88" s="176" t="s">
        <v>414</v>
      </c>
      <c r="E88" s="296">
        <f>IF('MCV e Guindaste'!N22="",E87,'MCV e Guindaste'!N22)</f>
        <v>5</v>
      </c>
      <c r="F88" s="292"/>
      <c r="H88" s="448"/>
      <c r="I88" s="448"/>
      <c r="J88" s="265"/>
    </row>
    <row r="89" spans="1:13" s="240" customFormat="1" ht="15" customHeight="1" x14ac:dyDescent="0.2">
      <c r="A89" s="295"/>
      <c r="B89" s="178"/>
      <c r="C89" s="178" t="s">
        <v>408</v>
      </c>
      <c r="D89" s="176" t="s">
        <v>415</v>
      </c>
      <c r="E89" s="296">
        <f>'MCV e Guindaste'!P22</f>
        <v>2301</v>
      </c>
      <c r="F89" s="292"/>
      <c r="H89" s="448"/>
      <c r="I89" s="448"/>
      <c r="J89" s="265"/>
    </row>
    <row r="90" spans="1:13" s="240" customFormat="1" ht="15" customHeight="1" x14ac:dyDescent="0.2">
      <c r="A90" s="295"/>
      <c r="B90" s="178"/>
      <c r="C90" s="178" t="s">
        <v>408</v>
      </c>
      <c r="D90" s="176" t="s">
        <v>416</v>
      </c>
      <c r="E90" s="296">
        <f>IF('MCV e Guindaste'!N23="",E88,'MCV e Guindaste'!N23)</f>
        <v>10</v>
      </c>
      <c r="F90" s="292"/>
      <c r="H90" s="448"/>
      <c r="I90" s="448"/>
      <c r="J90" s="265"/>
    </row>
    <row r="91" spans="1:13" s="240" customFormat="1" ht="15" customHeight="1" x14ac:dyDescent="0.2">
      <c r="A91" s="295"/>
      <c r="B91" s="178"/>
      <c r="C91" s="178" t="s">
        <v>408</v>
      </c>
      <c r="D91" s="176" t="s">
        <v>417</v>
      </c>
      <c r="E91" s="296">
        <f>'MCV e Guindaste'!P23</f>
        <v>2301</v>
      </c>
      <c r="F91" s="292"/>
      <c r="H91" s="448"/>
      <c r="I91" s="448"/>
      <c r="J91" s="265"/>
    </row>
    <row r="92" spans="1:13" s="240" customFormat="1" ht="15" customHeight="1" x14ac:dyDescent="0.2">
      <c r="A92" s="295"/>
      <c r="B92" s="178"/>
      <c r="C92" s="178" t="s">
        <v>408</v>
      </c>
      <c r="D92" s="176" t="s">
        <v>418</v>
      </c>
      <c r="E92" s="296">
        <f>IF('MCV e Guindaste'!N24="",E90,'MCV e Guindaste'!N24)</f>
        <v>15</v>
      </c>
      <c r="F92" s="292"/>
      <c r="H92" s="448"/>
      <c r="I92" s="448"/>
      <c r="J92" s="265"/>
    </row>
    <row r="93" spans="1:13" s="240" customFormat="1" ht="15" customHeight="1" x14ac:dyDescent="0.2">
      <c r="A93" s="295"/>
      <c r="B93" s="178"/>
      <c r="C93" s="178" t="s">
        <v>408</v>
      </c>
      <c r="D93" s="176" t="s">
        <v>419</v>
      </c>
      <c r="E93" s="296">
        <f>'MCV e Guindaste'!P24</f>
        <v>2301</v>
      </c>
      <c r="F93" s="292"/>
      <c r="H93" s="448"/>
      <c r="I93" s="448"/>
      <c r="J93" s="265"/>
    </row>
    <row r="94" spans="1:13" s="240" customFormat="1" ht="15" customHeight="1" x14ac:dyDescent="0.2">
      <c r="A94" s="295"/>
      <c r="B94" s="178" t="str">
        <f>IF($B$4="Umbilical","Select Line","")</f>
        <v/>
      </c>
      <c r="C94" s="178" t="str">
        <f>IF($B$4="Umbilical",_xlfn.CONCAT("Select ",E83),"Select Stiffness_Lançamento")</f>
        <v>Select Stiffness_Lançamento</v>
      </c>
      <c r="D94" s="176" t="str">
        <f>IF($B$4="Umbilical","EIx=","NumberOfRows =")</f>
        <v>NumberOfRows =</v>
      </c>
      <c r="E94" s="302">
        <f>IF($B$4="Umbilical", Values!C14, I7)</f>
        <v>27</v>
      </c>
      <c r="F94" s="292"/>
      <c r="H94" s="448"/>
      <c r="I94" s="448"/>
      <c r="J94" s="265"/>
    </row>
    <row r="95" spans="1:13" s="240" customFormat="1" ht="15" customHeight="1" x14ac:dyDescent="0.2">
      <c r="A95" s="295"/>
      <c r="B95" s="178"/>
      <c r="C95" s="178" t="str">
        <f>IF($B$4="Umbilical",_xlfn.CONCAT("Select ",E84),"Select Stiffness_Teste")</f>
        <v>Select Stiffness_Teste</v>
      </c>
      <c r="D95" s="176" t="str">
        <f t="shared" ref="D95:D96" si="0">IF($B$4="Umbilical","EIx=","NumberOfRows =")</f>
        <v>NumberOfRows =</v>
      </c>
      <c r="E95" s="302">
        <f>IF($B$4="Umbilical", Values!C15, I9)</f>
        <v>0</v>
      </c>
      <c r="F95" s="292"/>
      <c r="H95" s="448"/>
      <c r="I95" s="448"/>
      <c r="J95" s="265"/>
    </row>
    <row r="96" spans="1:13" s="240" customFormat="1" ht="15" customHeight="1" x14ac:dyDescent="0.2">
      <c r="A96" s="295"/>
      <c r="B96" s="178"/>
      <c r="C96" s="178" t="str">
        <f>IF($B$4="Umbilical",_xlfn.CONCAT("Select ",E85),"Select Stiffness_Operação")</f>
        <v>Select Stiffness_Operação</v>
      </c>
      <c r="D96" s="176" t="str">
        <f t="shared" si="0"/>
        <v>NumberOfRows =</v>
      </c>
      <c r="E96" s="302">
        <f>IF($B$4="Umbilical", Values!C16, I11)</f>
        <v>0</v>
      </c>
      <c r="F96" s="292"/>
      <c r="H96" s="448"/>
      <c r="I96" s="448"/>
      <c r="J96" s="265"/>
    </row>
    <row r="97" spans="1:10" s="240" customFormat="1" ht="15" customHeight="1" x14ac:dyDescent="0.2">
      <c r="A97" s="295"/>
      <c r="B97" s="178"/>
      <c r="C97" s="178" t="s">
        <v>1803</v>
      </c>
      <c r="D97" s="176" t="s">
        <v>420</v>
      </c>
      <c r="E97" s="302">
        <v>3</v>
      </c>
      <c r="F97" s="292"/>
      <c r="H97" s="448"/>
      <c r="I97" s="448"/>
      <c r="J97" s="265"/>
    </row>
    <row r="98" spans="1:10" s="240" customFormat="1" ht="15" customHeight="1" x14ac:dyDescent="0.2">
      <c r="A98" s="295"/>
      <c r="B98" s="178"/>
      <c r="C98" s="178" t="s">
        <v>1803</v>
      </c>
      <c r="D98" s="176" t="s">
        <v>421</v>
      </c>
      <c r="E98" s="453">
        <f>'Bending Stiffness'!W19</f>
        <v>0.34965034965034969</v>
      </c>
      <c r="F98" s="292"/>
      <c r="H98" s="448"/>
      <c r="I98" s="448"/>
      <c r="J98" s="265"/>
    </row>
    <row r="99" spans="1:10" s="240" customFormat="1" ht="15" customHeight="1" x14ac:dyDescent="0.2">
      <c r="A99" s="295"/>
      <c r="B99" s="178"/>
      <c r="C99" s="178" t="s">
        <v>1803</v>
      </c>
      <c r="D99" s="176" t="s">
        <v>422</v>
      </c>
      <c r="E99" s="304">
        <f>'Bending Stiffness'!W20</f>
        <v>1.3496503496503496</v>
      </c>
      <c r="F99" s="292"/>
      <c r="H99" s="448"/>
      <c r="I99" s="448"/>
      <c r="J99" s="265"/>
    </row>
    <row r="100" spans="1:10" s="240" customFormat="1" ht="15" customHeight="1" x14ac:dyDescent="0.2">
      <c r="A100" s="295"/>
      <c r="B100" s="178"/>
      <c r="C100" s="178" t="s">
        <v>1803</v>
      </c>
      <c r="D100" s="176" t="s">
        <v>423</v>
      </c>
      <c r="E100" s="294">
        <f>'Bending Stiffness'!X19</f>
        <v>0.01</v>
      </c>
      <c r="F100" s="292"/>
      <c r="H100" s="448"/>
      <c r="I100" s="448"/>
      <c r="J100" s="265"/>
    </row>
    <row r="101" spans="1:10" s="240" customFormat="1" ht="15" customHeight="1" x14ac:dyDescent="0.2">
      <c r="A101" s="295"/>
      <c r="B101" s="178"/>
      <c r="C101" s="178" t="s">
        <v>1803</v>
      </c>
      <c r="D101" s="176" t="s">
        <v>424</v>
      </c>
      <c r="E101" s="300">
        <f>'Bending Stiffness'!X20</f>
        <v>25474.780317225832</v>
      </c>
      <c r="F101" s="292"/>
      <c r="H101" s="448"/>
      <c r="I101" s="448"/>
      <c r="J101" s="265"/>
    </row>
    <row r="102" spans="1:10" s="240" customFormat="1" ht="15" customHeight="1" thickBot="1" x14ac:dyDescent="0.25">
      <c r="A102" s="305"/>
      <c r="B102" s="306"/>
      <c r="C102" s="307"/>
      <c r="D102" s="308" t="s">
        <v>427</v>
      </c>
      <c r="E102" s="309" t="str">
        <f>_xlfn.CONCAT(Results!$C$31,".dat")</f>
        <v>Estatico.dat</v>
      </c>
      <c r="F102" s="292"/>
      <c r="H102" s="448"/>
      <c r="I102" s="448"/>
      <c r="J102" s="265"/>
    </row>
    <row r="103" spans="1:10" s="240" customFormat="1" ht="15" customHeight="1" x14ac:dyDescent="0.2">
      <c r="A103" s="84"/>
      <c r="B103" s="84"/>
      <c r="C103" s="85"/>
      <c r="D103" s="85"/>
      <c r="E103" s="310"/>
      <c r="F103" s="560"/>
      <c r="G103" s="454"/>
      <c r="H103" s="313"/>
      <c r="I103" s="448"/>
      <c r="J103" s="265"/>
    </row>
    <row r="104" spans="1:10" s="240" customFormat="1" ht="15" customHeight="1" x14ac:dyDescent="0.2">
      <c r="A104" s="84"/>
      <c r="B104" s="84"/>
      <c r="C104" s="85"/>
      <c r="D104" s="85"/>
      <c r="E104" s="310"/>
      <c r="F104" s="560"/>
      <c r="G104" s="454"/>
      <c r="H104" s="313"/>
      <c r="I104" s="448"/>
      <c r="J104" s="265"/>
    </row>
    <row r="105" spans="1:10" s="240" customFormat="1" ht="15" customHeight="1" x14ac:dyDescent="0.2">
      <c r="A105" s="84"/>
      <c r="B105" s="84"/>
      <c r="C105" s="85"/>
      <c r="D105" s="85"/>
      <c r="E105" s="310"/>
      <c r="F105" s="560"/>
      <c r="G105" s="454"/>
      <c r="H105" s="313"/>
      <c r="I105" s="448"/>
      <c r="J105" s="265"/>
    </row>
    <row r="106" spans="1:10" s="240" customFormat="1" ht="15" customHeight="1" x14ac:dyDescent="0.2">
      <c r="A106" s="84"/>
      <c r="B106" s="84"/>
      <c r="C106" s="85"/>
      <c r="D106" s="85"/>
      <c r="E106" s="310"/>
      <c r="F106" s="560"/>
      <c r="G106" s="454"/>
      <c r="H106" s="313"/>
      <c r="I106" s="448"/>
      <c r="J106" s="265"/>
    </row>
    <row r="107" spans="1:10" s="240" customFormat="1" ht="15" customHeight="1" x14ac:dyDescent="0.2">
      <c r="A107" s="84"/>
      <c r="B107" s="84"/>
      <c r="C107" s="85"/>
      <c r="D107" s="85"/>
      <c r="E107" s="310"/>
      <c r="F107" s="560"/>
      <c r="G107" s="454"/>
      <c r="H107" s="313"/>
      <c r="I107" s="448"/>
      <c r="J107" s="265"/>
    </row>
    <row r="108" spans="1:10" s="240" customFormat="1" ht="15" customHeight="1" x14ac:dyDescent="0.2">
      <c r="A108" s="84"/>
      <c r="B108" s="84"/>
      <c r="C108" s="85"/>
      <c r="D108" s="85"/>
      <c r="E108" s="310"/>
      <c r="F108" s="560"/>
      <c r="G108" s="454"/>
      <c r="H108" s="313"/>
      <c r="I108" s="448"/>
      <c r="J108" s="265"/>
    </row>
    <row r="109" spans="1:10" s="240" customFormat="1" ht="15" customHeight="1" x14ac:dyDescent="0.2">
      <c r="A109" s="84"/>
      <c r="B109" s="84"/>
      <c r="C109" s="85"/>
      <c r="D109" s="85"/>
      <c r="E109" s="310"/>
      <c r="F109" s="560"/>
      <c r="G109" s="454"/>
      <c r="H109" s="313"/>
      <c r="I109" s="448"/>
      <c r="J109" s="265"/>
    </row>
    <row r="110" spans="1:10" s="240" customFormat="1" ht="15" customHeight="1" x14ac:dyDescent="0.2">
      <c r="A110" s="84"/>
      <c r="B110" s="84"/>
      <c r="C110" s="85"/>
      <c r="D110" s="85"/>
      <c r="E110" s="310"/>
      <c r="F110" s="560"/>
      <c r="G110" s="454"/>
      <c r="H110" s="313"/>
      <c r="I110" s="448"/>
      <c r="J110" s="265"/>
    </row>
    <row r="111" spans="1:10" s="240" customFormat="1" ht="15" customHeight="1" x14ac:dyDescent="0.2">
      <c r="A111" s="84"/>
      <c r="B111" s="84"/>
      <c r="C111" s="85"/>
      <c r="D111" s="85"/>
      <c r="E111" s="310"/>
      <c r="F111" s="560"/>
      <c r="G111" s="454"/>
      <c r="H111" s="313"/>
      <c r="I111" s="448"/>
      <c r="J111" s="265"/>
    </row>
    <row r="112" spans="1:10" s="240" customFormat="1" ht="15" customHeight="1" x14ac:dyDescent="0.2">
      <c r="A112" s="84"/>
      <c r="B112" s="84"/>
      <c r="C112" s="85"/>
      <c r="D112" s="85"/>
      <c r="E112" s="310"/>
      <c r="F112" s="560"/>
      <c r="G112" s="454"/>
      <c r="H112" s="313"/>
      <c r="I112" s="448"/>
      <c r="J112" s="265"/>
    </row>
    <row r="113" spans="1:10" s="240" customFormat="1" ht="15" customHeight="1" x14ac:dyDescent="0.2">
      <c r="A113" s="84"/>
      <c r="B113" s="84"/>
      <c r="C113" s="85"/>
      <c r="D113" s="85"/>
      <c r="E113" s="310"/>
      <c r="F113" s="560"/>
      <c r="G113" s="454"/>
      <c r="H113" s="313"/>
      <c r="I113" s="448"/>
      <c r="J113" s="265"/>
    </row>
    <row r="114" spans="1:10" s="240" customFormat="1" ht="15" customHeight="1" x14ac:dyDescent="0.2">
      <c r="A114" s="84"/>
      <c r="B114" s="84"/>
      <c r="C114" s="85"/>
      <c r="D114" s="85"/>
      <c r="E114" s="310"/>
      <c r="F114" s="560"/>
      <c r="G114" s="454"/>
      <c r="H114" s="313"/>
      <c r="I114" s="448"/>
      <c r="J114" s="265"/>
    </row>
    <row r="115" spans="1:10" s="240" customFormat="1" ht="15" customHeight="1" x14ac:dyDescent="0.2">
      <c r="A115" s="84"/>
      <c r="B115" s="84"/>
      <c r="C115" s="85"/>
      <c r="D115" s="85"/>
      <c r="E115" s="310"/>
      <c r="F115" s="560"/>
      <c r="G115" s="454"/>
      <c r="H115" s="313"/>
      <c r="I115" s="448"/>
      <c r="J115" s="265"/>
    </row>
    <row r="116" spans="1:10" s="240" customFormat="1" ht="15" customHeight="1" x14ac:dyDescent="0.2">
      <c r="A116" s="84"/>
      <c r="B116" s="84"/>
      <c r="C116" s="85"/>
      <c r="D116" s="85"/>
      <c r="E116" s="310"/>
      <c r="F116" s="560"/>
      <c r="G116" s="454"/>
      <c r="H116" s="313"/>
      <c r="I116" s="448"/>
      <c r="J116" s="265"/>
    </row>
    <row r="117" spans="1:10" s="240" customFormat="1" ht="15" customHeight="1" x14ac:dyDescent="0.2">
      <c r="A117" s="84"/>
      <c r="B117" s="84"/>
      <c r="C117" s="85"/>
      <c r="D117" s="85"/>
      <c r="E117" s="310"/>
      <c r="F117" s="560"/>
      <c r="G117" s="454"/>
      <c r="H117" s="313"/>
      <c r="I117" s="448"/>
      <c r="J117" s="265"/>
    </row>
    <row r="118" spans="1:10" s="240" customFormat="1" ht="15" customHeight="1" x14ac:dyDescent="0.2">
      <c r="A118" s="84"/>
      <c r="B118" s="84"/>
      <c r="C118" s="85"/>
      <c r="D118" s="85"/>
      <c r="E118" s="310"/>
      <c r="F118" s="560"/>
      <c r="G118" s="454"/>
      <c r="H118" s="313"/>
      <c r="I118" s="448"/>
      <c r="J118" s="265"/>
    </row>
    <row r="119" spans="1:10" s="240" customFormat="1" ht="15" customHeight="1" x14ac:dyDescent="0.2">
      <c r="A119" s="84"/>
      <c r="B119" s="84"/>
      <c r="C119" s="85"/>
      <c r="D119" s="85"/>
      <c r="E119" s="310"/>
      <c r="F119" s="560"/>
      <c r="G119" s="454"/>
      <c r="H119" s="313"/>
      <c r="I119" s="448"/>
      <c r="J119" s="265"/>
    </row>
    <row r="120" spans="1:10" s="240" customFormat="1" ht="15" customHeight="1" x14ac:dyDescent="0.2">
      <c r="A120" s="84"/>
      <c r="B120" s="84"/>
      <c r="C120" s="85"/>
      <c r="D120" s="85"/>
      <c r="E120" s="310"/>
      <c r="F120" s="560"/>
      <c r="G120" s="454"/>
      <c r="H120" s="313"/>
      <c r="I120" s="448"/>
      <c r="J120" s="265"/>
    </row>
    <row r="121" spans="1:10" s="240" customFormat="1" ht="15" customHeight="1" x14ac:dyDescent="0.2">
      <c r="A121" s="84"/>
      <c r="B121" s="84"/>
      <c r="C121" s="85"/>
      <c r="D121" s="85"/>
      <c r="E121" s="310"/>
      <c r="F121" s="560"/>
      <c r="G121" s="454"/>
      <c r="H121" s="313"/>
      <c r="I121" s="448"/>
      <c r="J121" s="265"/>
    </row>
    <row r="122" spans="1:10" s="240" customFormat="1" ht="15" customHeight="1" x14ac:dyDescent="0.2">
      <c r="A122" s="84"/>
      <c r="B122" s="84"/>
      <c r="C122" s="85"/>
      <c r="D122" s="85"/>
      <c r="E122" s="310"/>
      <c r="F122" s="560"/>
      <c r="G122" s="454"/>
      <c r="H122" s="313"/>
      <c r="I122" s="448"/>
      <c r="J122" s="265"/>
    </row>
    <row r="123" spans="1:10" s="240" customFormat="1" ht="15" customHeight="1" x14ac:dyDescent="0.2">
      <c r="A123" s="84"/>
      <c r="B123" s="84"/>
      <c r="C123" s="85"/>
      <c r="D123" s="85"/>
      <c r="E123" s="310"/>
      <c r="F123" s="560"/>
      <c r="G123" s="454"/>
      <c r="H123" s="313"/>
      <c r="I123" s="448"/>
      <c r="J123" s="265"/>
    </row>
    <row r="124" spans="1:10" s="240" customFormat="1" ht="15" customHeight="1" x14ac:dyDescent="0.2">
      <c r="A124" s="84"/>
      <c r="B124" s="84"/>
      <c r="C124" s="85"/>
      <c r="D124" s="85"/>
      <c r="E124" s="310"/>
      <c r="F124" s="560"/>
      <c r="G124" s="454"/>
      <c r="H124" s="313"/>
      <c r="I124" s="448"/>
      <c r="J124" s="265"/>
    </row>
    <row r="125" spans="1:10" s="240" customFormat="1" ht="15" customHeight="1" x14ac:dyDescent="0.2">
      <c r="A125" s="84"/>
      <c r="B125" s="84"/>
      <c r="C125" s="85"/>
      <c r="D125" s="85"/>
      <c r="E125" s="310"/>
      <c r="F125" s="560"/>
      <c r="G125" s="454"/>
      <c r="H125" s="313"/>
      <c r="I125" s="448"/>
      <c r="J125" s="265"/>
    </row>
    <row r="126" spans="1:10" s="240" customFormat="1" ht="15" customHeight="1" x14ac:dyDescent="0.2">
      <c r="A126" s="84"/>
      <c r="B126" s="84"/>
      <c r="C126" s="85"/>
      <c r="D126" s="85"/>
      <c r="E126" s="310"/>
      <c r="F126" s="560"/>
      <c r="G126" s="454"/>
      <c r="H126" s="313"/>
      <c r="I126" s="448"/>
      <c r="J126" s="265"/>
    </row>
    <row r="127" spans="1:10" s="240" customFormat="1" ht="15" customHeight="1" x14ac:dyDescent="0.2">
      <c r="A127" s="84"/>
      <c r="B127" s="84"/>
      <c r="C127" s="85"/>
      <c r="D127" s="85"/>
      <c r="E127" s="310"/>
      <c r="F127" s="560"/>
      <c r="G127" s="454"/>
      <c r="H127" s="313"/>
      <c r="I127" s="448"/>
      <c r="J127" s="265"/>
    </row>
    <row r="128" spans="1:10" s="240" customFormat="1" ht="15" customHeight="1" x14ac:dyDescent="0.2">
      <c r="A128" s="84"/>
      <c r="B128" s="84"/>
      <c r="C128" s="85"/>
      <c r="D128" s="85"/>
      <c r="E128" s="310"/>
      <c r="F128" s="560"/>
      <c r="G128" s="454"/>
      <c r="H128" s="313"/>
      <c r="I128" s="448"/>
      <c r="J128" s="265"/>
    </row>
    <row r="129" spans="1:10" s="240" customFormat="1" ht="15" customHeight="1" x14ac:dyDescent="0.2">
      <c r="A129" s="84"/>
      <c r="B129" s="84"/>
      <c r="C129" s="85"/>
      <c r="D129" s="85"/>
      <c r="E129" s="310"/>
      <c r="F129" s="560"/>
      <c r="G129" s="454"/>
      <c r="H129" s="313"/>
      <c r="I129" s="448"/>
      <c r="J129" s="265"/>
    </row>
    <row r="130" spans="1:10" s="240" customFormat="1" ht="15" customHeight="1" x14ac:dyDescent="0.2">
      <c r="A130" s="84"/>
      <c r="B130" s="84"/>
      <c r="C130" s="85"/>
      <c r="D130" s="85"/>
      <c r="E130" s="310"/>
      <c r="F130" s="560"/>
      <c r="G130" s="454"/>
      <c r="H130" s="313"/>
      <c r="I130" s="448"/>
      <c r="J130" s="265"/>
    </row>
    <row r="131" spans="1:10" s="240" customFormat="1" ht="15" customHeight="1" x14ac:dyDescent="0.2">
      <c r="A131" s="84"/>
      <c r="B131" s="84"/>
      <c r="C131" s="85"/>
      <c r="D131" s="85"/>
      <c r="E131" s="310"/>
      <c r="F131" s="560"/>
      <c r="G131" s="454"/>
      <c r="H131" s="313"/>
      <c r="I131" s="448"/>
      <c r="J131" s="265"/>
    </row>
    <row r="132" spans="1:10" s="240" customFormat="1" ht="15" customHeight="1" x14ac:dyDescent="0.2">
      <c r="A132" s="84"/>
      <c r="B132" s="84"/>
      <c r="C132" s="85"/>
      <c r="D132" s="85"/>
      <c r="E132" s="310"/>
      <c r="F132" s="560"/>
      <c r="G132" s="454"/>
      <c r="H132" s="313"/>
      <c r="I132" s="448"/>
      <c r="J132" s="265"/>
    </row>
    <row r="133" spans="1:10" s="240" customFormat="1" ht="15" customHeight="1" x14ac:dyDescent="0.2">
      <c r="A133" s="84"/>
      <c r="B133" s="84"/>
      <c r="C133" s="85"/>
      <c r="D133" s="85"/>
      <c r="E133" s="310"/>
      <c r="F133" s="560"/>
      <c r="G133" s="454"/>
      <c r="H133" s="313"/>
      <c r="I133" s="448"/>
      <c r="J133" s="265"/>
    </row>
    <row r="134" spans="1:10" s="240" customFormat="1" ht="15" customHeight="1" x14ac:dyDescent="0.2">
      <c r="A134" s="84"/>
      <c r="B134" s="84"/>
      <c r="C134" s="85"/>
      <c r="D134" s="85"/>
      <c r="E134" s="310"/>
      <c r="F134" s="560"/>
      <c r="G134" s="454"/>
      <c r="H134" s="313"/>
      <c r="I134" s="448"/>
      <c r="J134" s="265"/>
    </row>
    <row r="135" spans="1:10" s="240" customFormat="1" ht="15" customHeight="1" x14ac:dyDescent="0.2">
      <c r="A135" s="84"/>
      <c r="B135" s="84"/>
      <c r="C135" s="85"/>
      <c r="D135" s="85"/>
      <c r="E135" s="310"/>
      <c r="F135" s="560"/>
      <c r="G135" s="454"/>
      <c r="H135" s="313"/>
      <c r="I135" s="448"/>
      <c r="J135" s="265"/>
    </row>
    <row r="136" spans="1:10" s="240" customFormat="1" ht="15" customHeight="1" x14ac:dyDescent="0.2">
      <c r="A136" s="84"/>
      <c r="B136" s="84"/>
      <c r="C136" s="85"/>
      <c r="D136" s="85"/>
      <c r="E136" s="310"/>
      <c r="F136" s="560"/>
      <c r="G136" s="454"/>
      <c r="H136" s="313"/>
      <c r="I136" s="448"/>
      <c r="J136" s="265"/>
    </row>
    <row r="137" spans="1:10" s="240" customFormat="1" ht="15" customHeight="1" x14ac:dyDescent="0.2">
      <c r="A137" s="84"/>
      <c r="B137" s="84"/>
      <c r="C137" s="85"/>
      <c r="D137" s="85"/>
      <c r="E137" s="310"/>
      <c r="F137" s="560"/>
      <c r="G137" s="454"/>
      <c r="H137" s="313"/>
      <c r="I137" s="448"/>
      <c r="J137" s="265"/>
    </row>
    <row r="138" spans="1:10" s="240" customFormat="1" ht="15" customHeight="1" x14ac:dyDescent="0.2">
      <c r="A138" s="84"/>
      <c r="B138" s="84"/>
      <c r="C138" s="85"/>
      <c r="D138" s="85"/>
      <c r="E138" s="310"/>
      <c r="F138" s="560"/>
      <c r="G138" s="454"/>
      <c r="H138" s="313"/>
      <c r="I138" s="448"/>
      <c r="J138" s="265"/>
    </row>
    <row r="139" spans="1:10" s="240" customFormat="1" ht="15" customHeight="1" x14ac:dyDescent="0.2">
      <c r="A139" s="84"/>
      <c r="B139" s="84"/>
      <c r="C139" s="85"/>
      <c r="D139" s="85"/>
      <c r="E139" s="310"/>
      <c r="F139" s="560"/>
      <c r="G139" s="454"/>
      <c r="H139" s="313"/>
      <c r="I139" s="448"/>
      <c r="J139" s="265"/>
    </row>
    <row r="140" spans="1:10" s="240" customFormat="1" ht="15" customHeight="1" x14ac:dyDescent="0.2">
      <c r="A140" s="84"/>
      <c r="B140" s="84"/>
      <c r="C140" s="85"/>
      <c r="D140" s="85"/>
      <c r="E140" s="310"/>
      <c r="F140" s="560"/>
      <c r="G140" s="454"/>
      <c r="H140" s="313"/>
      <c r="I140" s="448"/>
      <c r="J140" s="265"/>
    </row>
    <row r="141" spans="1:10" s="240" customFormat="1" ht="15" customHeight="1" x14ac:dyDescent="0.2">
      <c r="A141" s="84"/>
      <c r="B141" s="84"/>
      <c r="C141" s="85"/>
      <c r="D141" s="85"/>
      <c r="E141" s="310"/>
      <c r="F141" s="560"/>
      <c r="G141" s="454"/>
      <c r="H141" s="313"/>
      <c r="I141" s="448"/>
      <c r="J141" s="265"/>
    </row>
    <row r="142" spans="1:10" s="240" customFormat="1" ht="15" customHeight="1" x14ac:dyDescent="0.2">
      <c r="A142" s="84"/>
      <c r="B142" s="84"/>
      <c r="C142" s="85"/>
      <c r="D142" s="85"/>
      <c r="E142" s="310"/>
      <c r="F142" s="560"/>
      <c r="G142" s="454"/>
      <c r="H142" s="313"/>
      <c r="I142" s="448"/>
      <c r="J142" s="265"/>
    </row>
    <row r="143" spans="1:10" s="240" customFormat="1" ht="15" customHeight="1" x14ac:dyDescent="0.2">
      <c r="A143" s="84"/>
      <c r="B143" s="84"/>
      <c r="C143" s="85"/>
      <c r="D143" s="85"/>
      <c r="E143" s="310"/>
      <c r="F143" s="560"/>
      <c r="G143" s="454"/>
      <c r="H143" s="313"/>
      <c r="I143" s="448"/>
      <c r="J143" s="265"/>
    </row>
    <row r="144" spans="1:10" s="240" customFormat="1" ht="15" customHeight="1" x14ac:dyDescent="0.2">
      <c r="A144" s="84"/>
      <c r="B144" s="84"/>
      <c r="C144" s="85"/>
      <c r="D144" s="85"/>
      <c r="E144" s="310"/>
      <c r="F144" s="560"/>
      <c r="G144" s="454"/>
      <c r="H144" s="313"/>
      <c r="I144" s="448"/>
      <c r="J144" s="265"/>
    </row>
    <row r="145" spans="1:10" s="240" customFormat="1" ht="15" customHeight="1" x14ac:dyDescent="0.2">
      <c r="A145" s="84"/>
      <c r="B145" s="84"/>
      <c r="C145" s="85"/>
      <c r="D145" s="85"/>
      <c r="E145" s="310"/>
      <c r="F145" s="560"/>
      <c r="G145" s="454"/>
      <c r="H145" s="313"/>
      <c r="I145" s="448"/>
      <c r="J145" s="265"/>
    </row>
    <row r="146" spans="1:10" s="240" customFormat="1" ht="15" customHeight="1" x14ac:dyDescent="0.2">
      <c r="A146" s="84"/>
      <c r="B146" s="84"/>
      <c r="C146" s="85"/>
      <c r="D146" s="85"/>
      <c r="E146" s="310"/>
      <c r="F146" s="560"/>
      <c r="G146" s="454"/>
      <c r="H146" s="313"/>
      <c r="I146" s="448"/>
      <c r="J146" s="265"/>
    </row>
    <row r="147" spans="1:10" s="240" customFormat="1" ht="15" customHeight="1" x14ac:dyDescent="0.2">
      <c r="A147" s="84"/>
      <c r="B147" s="84"/>
      <c r="C147" s="85"/>
      <c r="D147" s="85"/>
      <c r="E147" s="310"/>
      <c r="F147" s="560"/>
      <c r="G147" s="454"/>
      <c r="H147" s="313"/>
      <c r="I147" s="448"/>
      <c r="J147" s="265"/>
    </row>
    <row r="148" spans="1:10" s="240" customFormat="1" ht="15" customHeight="1" x14ac:dyDescent="0.2">
      <c r="A148" s="84"/>
      <c r="B148" s="84"/>
      <c r="C148" s="85"/>
      <c r="D148" s="85"/>
      <c r="E148" s="310"/>
      <c r="F148" s="560"/>
      <c r="G148" s="454"/>
      <c r="H148" s="313"/>
      <c r="I148" s="448"/>
      <c r="J148" s="265"/>
    </row>
    <row r="149" spans="1:10" s="240" customFormat="1" ht="15" customHeight="1" x14ac:dyDescent="0.2">
      <c r="A149" s="84"/>
      <c r="B149" s="84"/>
      <c r="C149" s="85"/>
      <c r="D149" s="85"/>
      <c r="E149" s="310"/>
      <c r="F149" s="560"/>
      <c r="G149" s="454"/>
      <c r="H149" s="313"/>
      <c r="I149" s="448"/>
      <c r="J149" s="265"/>
    </row>
    <row r="150" spans="1:10" s="240" customFormat="1" ht="15" customHeight="1" x14ac:dyDescent="0.2">
      <c r="A150" s="84"/>
      <c r="B150" s="84"/>
      <c r="C150" s="85"/>
      <c r="D150" s="85"/>
      <c r="E150" s="310"/>
      <c r="F150" s="560"/>
      <c r="G150" s="454"/>
      <c r="H150" s="313"/>
      <c r="I150" s="448"/>
      <c r="J150" s="265"/>
    </row>
    <row r="151" spans="1:10" s="240" customFormat="1" ht="15" customHeight="1" x14ac:dyDescent="0.2">
      <c r="A151" s="84"/>
      <c r="B151" s="84"/>
      <c r="C151" s="85"/>
      <c r="D151" s="85"/>
      <c r="E151" s="310"/>
      <c r="F151" s="560"/>
      <c r="G151" s="454"/>
      <c r="H151" s="313"/>
      <c r="I151" s="448"/>
      <c r="J151" s="265"/>
    </row>
    <row r="152" spans="1:10" s="240" customFormat="1" ht="15" customHeight="1" x14ac:dyDescent="0.2">
      <c r="A152" s="84"/>
      <c r="B152" s="84"/>
      <c r="C152" s="85"/>
      <c r="D152" s="85"/>
      <c r="E152" s="310"/>
      <c r="F152" s="560"/>
      <c r="G152" s="454"/>
      <c r="H152" s="313"/>
      <c r="I152" s="448"/>
      <c r="J152" s="265"/>
    </row>
    <row r="153" spans="1:10" s="240" customFormat="1" ht="15" customHeight="1" x14ac:dyDescent="0.2">
      <c r="A153" s="84"/>
      <c r="B153" s="84"/>
      <c r="C153" s="85"/>
      <c r="D153" s="85"/>
      <c r="E153" s="310"/>
      <c r="F153" s="560"/>
      <c r="G153" s="454"/>
      <c r="H153" s="313"/>
      <c r="I153" s="448"/>
      <c r="J153" s="265"/>
    </row>
    <row r="154" spans="1:10" s="240" customFormat="1" ht="15" customHeight="1" x14ac:dyDescent="0.2">
      <c r="A154" s="84"/>
      <c r="B154" s="84"/>
      <c r="C154" s="85"/>
      <c r="D154" s="85"/>
      <c r="E154" s="310"/>
      <c r="F154" s="560"/>
      <c r="G154" s="454"/>
      <c r="H154" s="313"/>
      <c r="I154" s="448"/>
      <c r="J154" s="265"/>
    </row>
    <row r="155" spans="1:10" s="240" customFormat="1" ht="15" customHeight="1" x14ac:dyDescent="0.2">
      <c r="A155" s="84"/>
      <c r="B155" s="84"/>
      <c r="C155" s="85"/>
      <c r="D155" s="85"/>
      <c r="E155" s="310"/>
      <c r="F155" s="560"/>
      <c r="G155" s="454"/>
      <c r="H155" s="313"/>
      <c r="I155" s="448"/>
      <c r="J155" s="265"/>
    </row>
    <row r="156" spans="1:10" s="240" customFormat="1" ht="15" customHeight="1" x14ac:dyDescent="0.2">
      <c r="A156" s="84"/>
      <c r="B156" s="84"/>
      <c r="C156" s="85"/>
      <c r="D156" s="85"/>
      <c r="E156" s="310"/>
      <c r="F156" s="560"/>
      <c r="G156" s="454"/>
      <c r="H156" s="313"/>
      <c r="I156" s="448"/>
      <c r="J156" s="265"/>
    </row>
    <row r="157" spans="1:10" s="240" customFormat="1" ht="15" customHeight="1" x14ac:dyDescent="0.2">
      <c r="A157" s="84"/>
      <c r="B157" s="84"/>
      <c r="C157" s="85"/>
      <c r="D157" s="85"/>
      <c r="E157" s="310"/>
      <c r="F157" s="560"/>
      <c r="G157" s="454"/>
      <c r="H157" s="313"/>
      <c r="I157" s="448"/>
      <c r="J157" s="265"/>
    </row>
    <row r="158" spans="1:10" s="240" customFormat="1" ht="15" customHeight="1" x14ac:dyDescent="0.2">
      <c r="A158" s="84"/>
      <c r="B158" s="84"/>
      <c r="C158" s="85"/>
      <c r="D158" s="85"/>
      <c r="E158" s="310"/>
      <c r="F158" s="560"/>
      <c r="G158" s="454"/>
      <c r="H158" s="313"/>
      <c r="I158" s="448"/>
      <c r="J158" s="265"/>
    </row>
    <row r="159" spans="1:10" s="240" customFormat="1" ht="15" customHeight="1" x14ac:dyDescent="0.2">
      <c r="A159" s="84"/>
      <c r="B159" s="84"/>
      <c r="C159" s="85"/>
      <c r="D159" s="85"/>
      <c r="E159" s="310"/>
      <c r="F159" s="560"/>
      <c r="G159" s="454"/>
      <c r="H159" s="313"/>
      <c r="I159" s="448"/>
      <c r="J159" s="265"/>
    </row>
    <row r="160" spans="1:10" s="240" customFormat="1" ht="15" customHeight="1" x14ac:dyDescent="0.2">
      <c r="A160" s="84"/>
      <c r="B160" s="84"/>
      <c r="C160" s="85"/>
      <c r="D160" s="85"/>
      <c r="E160" s="310"/>
      <c r="F160" s="560"/>
      <c r="G160" s="454"/>
      <c r="H160" s="313"/>
      <c r="I160" s="448"/>
      <c r="J160" s="265"/>
    </row>
    <row r="161" spans="1:10" s="240" customFormat="1" ht="15" customHeight="1" x14ac:dyDescent="0.2">
      <c r="A161" s="84"/>
      <c r="B161" s="84"/>
      <c r="C161" s="85"/>
      <c r="D161" s="85"/>
      <c r="E161" s="310"/>
      <c r="F161" s="560"/>
      <c r="G161" s="454"/>
      <c r="H161" s="313"/>
      <c r="I161" s="448"/>
      <c r="J161" s="265"/>
    </row>
    <row r="162" spans="1:10" s="240" customFormat="1" ht="15" customHeight="1" x14ac:dyDescent="0.2">
      <c r="A162" s="84"/>
      <c r="B162" s="84"/>
      <c r="C162" s="85"/>
      <c r="D162" s="85"/>
      <c r="E162" s="310"/>
      <c r="F162" s="560"/>
      <c r="G162" s="454"/>
      <c r="H162" s="313"/>
      <c r="I162" s="448"/>
      <c r="J162" s="265"/>
    </row>
    <row r="163" spans="1:10" s="240" customFormat="1" ht="15" customHeight="1" x14ac:dyDescent="0.2">
      <c r="A163" s="84"/>
      <c r="B163" s="84"/>
      <c r="C163" s="85"/>
      <c r="D163" s="85"/>
      <c r="E163" s="310"/>
      <c r="F163" s="560"/>
      <c r="G163" s="454"/>
      <c r="H163" s="313"/>
      <c r="I163" s="448"/>
      <c r="J163" s="265"/>
    </row>
    <row r="164" spans="1:10" s="240" customFormat="1" ht="15" customHeight="1" x14ac:dyDescent="0.2">
      <c r="A164" s="84"/>
      <c r="B164" s="84"/>
      <c r="C164" s="85"/>
      <c r="D164" s="85"/>
      <c r="E164" s="310"/>
      <c r="F164" s="560"/>
      <c r="G164" s="454"/>
      <c r="H164" s="313"/>
      <c r="I164" s="448"/>
      <c r="J164" s="265"/>
    </row>
    <row r="165" spans="1:10" s="240" customFormat="1" ht="15" customHeight="1" x14ac:dyDescent="0.2">
      <c r="A165" s="84"/>
      <c r="B165" s="84"/>
      <c r="C165" s="85"/>
      <c r="D165" s="85"/>
      <c r="E165" s="310"/>
      <c r="F165" s="560"/>
      <c r="G165" s="454"/>
      <c r="H165" s="313"/>
      <c r="I165" s="448"/>
      <c r="J165" s="265"/>
    </row>
    <row r="166" spans="1:10" s="240" customFormat="1" ht="15" customHeight="1" x14ac:dyDescent="0.2">
      <c r="A166" s="84"/>
      <c r="B166" s="84"/>
      <c r="C166" s="85"/>
      <c r="D166" s="85"/>
      <c r="E166" s="310"/>
      <c r="F166" s="560"/>
      <c r="G166" s="454"/>
      <c r="H166" s="313"/>
      <c r="I166" s="448"/>
      <c r="J166" s="265"/>
    </row>
    <row r="167" spans="1:10" s="240" customFormat="1" ht="15" customHeight="1" x14ac:dyDescent="0.2">
      <c r="A167" s="84"/>
      <c r="B167" s="84"/>
      <c r="C167" s="85"/>
      <c r="D167" s="85"/>
      <c r="E167" s="310"/>
      <c r="F167" s="560"/>
      <c r="G167" s="454"/>
      <c r="H167" s="313"/>
      <c r="I167" s="448"/>
      <c r="J167" s="265"/>
    </row>
    <row r="168" spans="1:10" s="240" customFormat="1" ht="15" customHeight="1" x14ac:dyDescent="0.2">
      <c r="A168" s="84"/>
      <c r="B168" s="84"/>
      <c r="C168" s="85"/>
      <c r="D168" s="85"/>
      <c r="E168" s="310"/>
      <c r="F168" s="560"/>
      <c r="G168" s="454"/>
      <c r="H168" s="313"/>
      <c r="I168" s="448"/>
      <c r="J168" s="265"/>
    </row>
    <row r="169" spans="1:10" s="240" customFormat="1" ht="15" customHeight="1" x14ac:dyDescent="0.2">
      <c r="A169" s="84"/>
      <c r="B169" s="84"/>
      <c r="C169" s="85"/>
      <c r="D169" s="85"/>
      <c r="E169" s="310"/>
      <c r="F169" s="560"/>
      <c r="G169" s="454"/>
      <c r="H169" s="313"/>
      <c r="I169" s="448"/>
      <c r="J169" s="265"/>
    </row>
    <row r="170" spans="1:10" s="240" customFormat="1" ht="15" customHeight="1" x14ac:dyDescent="0.2">
      <c r="A170" s="84"/>
      <c r="B170" s="84"/>
      <c r="C170" s="85"/>
      <c r="D170" s="85"/>
      <c r="E170" s="310"/>
      <c r="F170" s="560"/>
      <c r="G170" s="454"/>
      <c r="H170" s="313"/>
      <c r="I170" s="448"/>
      <c r="J170" s="265"/>
    </row>
    <row r="171" spans="1:10" s="240" customFormat="1" ht="15" customHeight="1" x14ac:dyDescent="0.2">
      <c r="A171" s="84"/>
      <c r="B171" s="84"/>
      <c r="C171" s="85"/>
      <c r="D171" s="85"/>
      <c r="E171" s="310"/>
      <c r="F171" s="560"/>
      <c r="G171" s="454"/>
      <c r="H171" s="313"/>
      <c r="I171" s="448"/>
      <c r="J171" s="265"/>
    </row>
    <row r="172" spans="1:10" s="240" customFormat="1" ht="15" customHeight="1" x14ac:dyDescent="0.2">
      <c r="A172" s="84"/>
      <c r="B172" s="84"/>
      <c r="C172" s="85"/>
      <c r="D172" s="85"/>
      <c r="E172" s="310"/>
      <c r="F172" s="560"/>
      <c r="G172" s="454"/>
      <c r="H172" s="313"/>
      <c r="I172" s="448"/>
      <c r="J172" s="265"/>
    </row>
    <row r="173" spans="1:10" s="240" customFormat="1" ht="15" customHeight="1" x14ac:dyDescent="0.2">
      <c r="A173" s="84"/>
      <c r="B173" s="84"/>
      <c r="C173" s="85"/>
      <c r="D173" s="85"/>
      <c r="E173" s="310"/>
      <c r="F173" s="560"/>
      <c r="G173" s="454"/>
      <c r="H173" s="313"/>
      <c r="I173" s="448"/>
      <c r="J173" s="265"/>
    </row>
    <row r="174" spans="1:10" s="240" customFormat="1" ht="15" customHeight="1" x14ac:dyDescent="0.2">
      <c r="A174" s="84"/>
      <c r="B174" s="84"/>
      <c r="C174" s="85"/>
      <c r="D174" s="85"/>
      <c r="E174" s="310"/>
      <c r="F174" s="560"/>
      <c r="G174" s="454"/>
      <c r="H174" s="313"/>
      <c r="I174" s="448"/>
      <c r="J174" s="265"/>
    </row>
    <row r="175" spans="1:10" s="240" customFormat="1" ht="15" customHeight="1" x14ac:dyDescent="0.2">
      <c r="A175" s="84"/>
      <c r="B175" s="84"/>
      <c r="C175" s="85"/>
      <c r="D175" s="85"/>
      <c r="E175" s="310"/>
      <c r="F175" s="560"/>
      <c r="G175" s="454"/>
      <c r="H175" s="313"/>
      <c r="I175" s="448"/>
      <c r="J175" s="265"/>
    </row>
    <row r="176" spans="1:10" s="240" customFormat="1" ht="15" customHeight="1" x14ac:dyDescent="0.2">
      <c r="A176" s="84"/>
      <c r="B176" s="84"/>
      <c r="C176" s="85"/>
      <c r="D176" s="85"/>
      <c r="E176" s="310"/>
      <c r="F176" s="560"/>
      <c r="G176" s="454"/>
      <c r="H176" s="313"/>
      <c r="I176" s="448"/>
      <c r="J176" s="265"/>
    </row>
    <row r="177" spans="1:10" s="240" customFormat="1" ht="15" customHeight="1" x14ac:dyDescent="0.2">
      <c r="A177" s="84"/>
      <c r="B177" s="84"/>
      <c r="C177" s="85"/>
      <c r="D177" s="85"/>
      <c r="E177" s="310"/>
      <c r="F177" s="560"/>
      <c r="G177" s="454"/>
      <c r="H177" s="313"/>
      <c r="I177" s="448"/>
      <c r="J177" s="265"/>
    </row>
    <row r="178" spans="1:10" s="240" customFormat="1" ht="15" customHeight="1" x14ac:dyDescent="0.2">
      <c r="A178" s="84"/>
      <c r="B178" s="84"/>
      <c r="C178" s="85"/>
      <c r="D178" s="85"/>
      <c r="E178" s="310"/>
      <c r="F178" s="560"/>
      <c r="G178" s="454"/>
      <c r="H178" s="313"/>
      <c r="I178" s="448"/>
      <c r="J178" s="265"/>
    </row>
    <row r="179" spans="1:10" s="240" customFormat="1" ht="15" customHeight="1" x14ac:dyDescent="0.2">
      <c r="A179" s="84"/>
      <c r="B179" s="84"/>
      <c r="C179" s="85"/>
      <c r="D179" s="85"/>
      <c r="E179" s="310"/>
      <c r="F179" s="560"/>
      <c r="G179" s="454"/>
      <c r="H179" s="313"/>
      <c r="I179" s="448"/>
      <c r="J179" s="265"/>
    </row>
    <row r="180" spans="1:10" s="240" customFormat="1" ht="15" customHeight="1" x14ac:dyDescent="0.2">
      <c r="A180" s="84"/>
      <c r="B180" s="84"/>
      <c r="C180" s="85"/>
      <c r="D180" s="85"/>
      <c r="E180" s="310"/>
      <c r="F180" s="560"/>
      <c r="G180" s="454"/>
      <c r="H180" s="313"/>
      <c r="I180" s="448"/>
      <c r="J180" s="265"/>
    </row>
    <row r="181" spans="1:10" s="240" customFormat="1" ht="15" customHeight="1" x14ac:dyDescent="0.2">
      <c r="A181" s="84"/>
      <c r="B181" s="84"/>
      <c r="C181" s="85"/>
      <c r="D181" s="85"/>
      <c r="E181" s="310"/>
      <c r="F181" s="560"/>
      <c r="G181" s="454"/>
      <c r="H181" s="313"/>
      <c r="I181" s="448"/>
      <c r="J181" s="265"/>
    </row>
    <row r="182" spans="1:10" s="240" customFormat="1" ht="15" customHeight="1" x14ac:dyDescent="0.2">
      <c r="A182" s="84"/>
      <c r="B182" s="84"/>
      <c r="C182" s="85"/>
      <c r="D182" s="85"/>
      <c r="E182" s="310"/>
      <c r="F182" s="560"/>
      <c r="G182" s="454"/>
      <c r="H182" s="313"/>
      <c r="I182" s="448"/>
      <c r="J182" s="265"/>
    </row>
    <row r="183" spans="1:10" s="240" customFormat="1" ht="15" customHeight="1" x14ac:dyDescent="0.2">
      <c r="A183" s="84"/>
      <c r="B183" s="84"/>
      <c r="C183" s="85"/>
      <c r="D183" s="85"/>
      <c r="E183" s="310"/>
      <c r="F183" s="560"/>
      <c r="G183" s="454"/>
      <c r="H183" s="313"/>
      <c r="I183" s="448"/>
      <c r="J183" s="265"/>
    </row>
    <row r="184" spans="1:10" s="240" customFormat="1" ht="15" customHeight="1" x14ac:dyDescent="0.2">
      <c r="A184" s="84"/>
      <c r="B184" s="84"/>
      <c r="C184" s="85"/>
      <c r="D184" s="85"/>
      <c r="E184" s="310"/>
      <c r="F184" s="560"/>
      <c r="G184" s="454"/>
      <c r="H184" s="313"/>
      <c r="I184" s="448"/>
      <c r="J184" s="265"/>
    </row>
    <row r="185" spans="1:10" s="240" customFormat="1" ht="15" customHeight="1" x14ac:dyDescent="0.2">
      <c r="A185" s="84"/>
      <c r="B185" s="84"/>
      <c r="C185" s="85"/>
      <c r="D185" s="85"/>
      <c r="E185" s="310"/>
      <c r="F185" s="560"/>
      <c r="G185" s="454"/>
      <c r="H185" s="313"/>
      <c r="I185" s="448"/>
      <c r="J185" s="265"/>
    </row>
    <row r="186" spans="1:10" s="240" customFormat="1" ht="15" customHeight="1" x14ac:dyDescent="0.2">
      <c r="A186" s="84"/>
      <c r="B186" s="84"/>
      <c r="C186" s="85"/>
      <c r="D186" s="85"/>
      <c r="E186" s="310"/>
      <c r="F186" s="560"/>
      <c r="G186" s="454"/>
      <c r="H186" s="313"/>
      <c r="I186" s="448"/>
      <c r="J186" s="265"/>
    </row>
    <row r="187" spans="1:10" s="240" customFormat="1" ht="15" customHeight="1" x14ac:dyDescent="0.2">
      <c r="A187" s="84"/>
      <c r="B187" s="84"/>
      <c r="C187" s="85"/>
      <c r="D187" s="85"/>
      <c r="E187" s="310"/>
      <c r="F187" s="560"/>
      <c r="G187" s="454"/>
      <c r="H187" s="313"/>
      <c r="I187" s="448"/>
      <c r="J187" s="265"/>
    </row>
    <row r="188" spans="1:10" s="240" customFormat="1" ht="15" customHeight="1" x14ac:dyDescent="0.2">
      <c r="A188" s="84"/>
      <c r="B188" s="84"/>
      <c r="C188" s="85"/>
      <c r="D188" s="85"/>
      <c r="E188" s="310"/>
      <c r="F188" s="560"/>
      <c r="G188" s="454"/>
      <c r="H188" s="313"/>
      <c r="I188" s="448"/>
      <c r="J188" s="265"/>
    </row>
    <row r="189" spans="1:10" s="240" customFormat="1" ht="15" customHeight="1" x14ac:dyDescent="0.2">
      <c r="A189" s="84"/>
      <c r="B189" s="84"/>
      <c r="C189" s="85"/>
      <c r="D189" s="85"/>
      <c r="E189" s="310"/>
      <c r="F189" s="560"/>
      <c r="G189" s="454"/>
      <c r="H189" s="313"/>
      <c r="I189" s="448"/>
      <c r="J189" s="265"/>
    </row>
    <row r="190" spans="1:10" s="240" customFormat="1" ht="15" customHeight="1" x14ac:dyDescent="0.2">
      <c r="A190" s="84"/>
      <c r="B190" s="84"/>
      <c r="C190" s="85"/>
      <c r="D190" s="85"/>
      <c r="E190" s="310"/>
      <c r="F190" s="560"/>
      <c r="G190" s="454"/>
      <c r="H190" s="313"/>
      <c r="I190" s="448"/>
      <c r="J190" s="265"/>
    </row>
    <row r="191" spans="1:10" s="240" customFormat="1" ht="15" customHeight="1" x14ac:dyDescent="0.2">
      <c r="A191" s="84"/>
      <c r="B191" s="84"/>
      <c r="C191" s="85"/>
      <c r="D191" s="85"/>
      <c r="E191" s="310"/>
      <c r="F191" s="560"/>
      <c r="G191" s="454"/>
      <c r="H191" s="313"/>
      <c r="I191" s="448"/>
      <c r="J191" s="265"/>
    </row>
    <row r="192" spans="1:10" s="240" customFormat="1" ht="15" customHeight="1" x14ac:dyDescent="0.2">
      <c r="A192" s="84"/>
      <c r="B192" s="84"/>
      <c r="C192" s="85"/>
      <c r="D192" s="85"/>
      <c r="E192" s="310"/>
      <c r="F192" s="560"/>
      <c r="G192" s="454"/>
      <c r="H192" s="313"/>
      <c r="I192" s="448"/>
      <c r="J192" s="265"/>
    </row>
    <row r="193" spans="1:10" s="240" customFormat="1" ht="15" customHeight="1" x14ac:dyDescent="0.2">
      <c r="A193" s="84"/>
      <c r="B193" s="84"/>
      <c r="C193" s="85"/>
      <c r="D193" s="85"/>
      <c r="E193" s="310"/>
      <c r="F193" s="560"/>
      <c r="G193" s="454"/>
      <c r="H193" s="313"/>
      <c r="I193" s="448"/>
      <c r="J193" s="265"/>
    </row>
    <row r="194" spans="1:10" s="240" customFormat="1" ht="15" customHeight="1" x14ac:dyDescent="0.2">
      <c r="A194" s="84"/>
      <c r="B194" s="84"/>
      <c r="C194" s="85"/>
      <c r="D194" s="85"/>
      <c r="E194" s="310"/>
      <c r="F194" s="560"/>
      <c r="G194" s="454"/>
      <c r="H194" s="313"/>
      <c r="I194" s="448"/>
      <c r="J194" s="265"/>
    </row>
    <row r="195" spans="1:10" s="240" customFormat="1" ht="15" customHeight="1" x14ac:dyDescent="0.2">
      <c r="A195" s="84"/>
      <c r="B195" s="84"/>
      <c r="C195" s="85"/>
      <c r="D195" s="85"/>
      <c r="E195" s="310"/>
      <c r="F195" s="560"/>
      <c r="G195" s="454"/>
      <c r="H195" s="313"/>
      <c r="I195" s="448"/>
      <c r="J195" s="265"/>
    </row>
    <row r="196" spans="1:10" s="240" customFormat="1" ht="15" customHeight="1" x14ac:dyDescent="0.2">
      <c r="A196" s="84"/>
      <c r="B196" s="84"/>
      <c r="C196" s="85"/>
      <c r="D196" s="85"/>
      <c r="E196" s="310"/>
      <c r="F196" s="560"/>
      <c r="G196" s="454"/>
      <c r="H196" s="313"/>
      <c r="I196" s="448"/>
      <c r="J196" s="265"/>
    </row>
    <row r="197" spans="1:10" s="240" customFormat="1" ht="15" customHeight="1" x14ac:dyDescent="0.2">
      <c r="A197" s="84"/>
      <c r="B197" s="84"/>
      <c r="C197" s="85"/>
      <c r="D197" s="85"/>
      <c r="E197" s="310"/>
      <c r="F197" s="560"/>
      <c r="G197" s="454"/>
      <c r="H197" s="313"/>
      <c r="I197" s="448"/>
      <c r="J197" s="265"/>
    </row>
    <row r="198" spans="1:10" s="240" customFormat="1" ht="15" customHeight="1" x14ac:dyDescent="0.2">
      <c r="A198" s="84"/>
      <c r="B198" s="84"/>
      <c r="C198" s="85"/>
      <c r="D198" s="85"/>
      <c r="E198" s="310"/>
      <c r="F198" s="560"/>
      <c r="G198" s="454"/>
      <c r="H198" s="313"/>
      <c r="I198" s="448"/>
      <c r="J198" s="265"/>
    </row>
    <row r="199" spans="1:10" s="240" customFormat="1" ht="15" customHeight="1" x14ac:dyDescent="0.2">
      <c r="A199" s="84"/>
      <c r="B199" s="84"/>
      <c r="C199" s="85"/>
      <c r="D199" s="85"/>
      <c r="E199" s="310"/>
      <c r="F199" s="560"/>
      <c r="G199" s="454"/>
      <c r="H199" s="313"/>
      <c r="I199" s="448"/>
      <c r="J199" s="265"/>
    </row>
    <row r="200" spans="1:10" s="240" customFormat="1" ht="15" customHeight="1" x14ac:dyDescent="0.2">
      <c r="A200" s="84"/>
      <c r="B200" s="84"/>
      <c r="C200" s="85"/>
      <c r="D200" s="85"/>
      <c r="E200" s="310"/>
      <c r="F200" s="560"/>
      <c r="G200" s="454"/>
      <c r="H200" s="313"/>
      <c r="I200" s="448"/>
      <c r="J200" s="265"/>
    </row>
    <row r="201" spans="1:10" s="240" customFormat="1" ht="15" customHeight="1" x14ac:dyDescent="0.2">
      <c r="A201" s="84"/>
      <c r="B201" s="84"/>
      <c r="C201" s="85"/>
      <c r="D201" s="85"/>
      <c r="E201" s="310"/>
      <c r="F201" s="560"/>
      <c r="G201" s="454"/>
      <c r="H201" s="313"/>
      <c r="I201" s="448"/>
      <c r="J201" s="265"/>
    </row>
    <row r="202" spans="1:10" s="240" customFormat="1" ht="15" customHeight="1" x14ac:dyDescent="0.2">
      <c r="A202" s="84"/>
      <c r="B202" s="84"/>
      <c r="C202" s="85"/>
      <c r="D202" s="85"/>
      <c r="E202" s="310"/>
      <c r="F202" s="560"/>
      <c r="G202" s="454"/>
      <c r="H202" s="313"/>
      <c r="I202" s="448"/>
      <c r="J202" s="265"/>
    </row>
    <row r="203" spans="1:10" s="240" customFormat="1" ht="15" customHeight="1" x14ac:dyDescent="0.2">
      <c r="A203" s="84"/>
      <c r="B203" s="84"/>
      <c r="C203" s="85"/>
      <c r="D203" s="85"/>
      <c r="E203" s="310"/>
      <c r="F203" s="560"/>
      <c r="G203" s="454"/>
      <c r="H203" s="313"/>
      <c r="I203" s="448"/>
      <c r="J203" s="265"/>
    </row>
    <row r="204" spans="1:10" s="240" customFormat="1" ht="15" customHeight="1" x14ac:dyDescent="0.2">
      <c r="A204" s="84"/>
      <c r="B204" s="84"/>
      <c r="C204" s="85"/>
      <c r="D204" s="85"/>
      <c r="E204" s="310"/>
      <c r="F204" s="560"/>
      <c r="G204" s="454"/>
      <c r="H204" s="313"/>
      <c r="I204" s="448"/>
      <c r="J204" s="265"/>
    </row>
    <row r="205" spans="1:10" s="240" customFormat="1" ht="15" customHeight="1" x14ac:dyDescent="0.2">
      <c r="A205" s="84"/>
      <c r="B205" s="84"/>
      <c r="C205" s="85"/>
      <c r="D205" s="85"/>
      <c r="E205" s="310"/>
      <c r="F205" s="560"/>
      <c r="G205" s="454"/>
      <c r="H205" s="313"/>
      <c r="I205" s="448"/>
      <c r="J205" s="265"/>
    </row>
    <row r="206" spans="1:10" s="240" customFormat="1" ht="15" customHeight="1" x14ac:dyDescent="0.2">
      <c r="A206" s="84"/>
      <c r="B206" s="84"/>
      <c r="C206" s="85"/>
      <c r="D206" s="85"/>
      <c r="E206" s="310"/>
      <c r="F206" s="560"/>
      <c r="G206" s="454"/>
      <c r="H206" s="313"/>
      <c r="I206" s="448"/>
      <c r="J206" s="265"/>
    </row>
    <row r="207" spans="1:10" s="240" customFormat="1" ht="15" customHeight="1" x14ac:dyDescent="0.2">
      <c r="A207" s="84"/>
      <c r="B207" s="84"/>
      <c r="C207" s="85"/>
      <c r="D207" s="85"/>
      <c r="E207" s="310"/>
      <c r="F207" s="560"/>
      <c r="G207" s="454"/>
      <c r="H207" s="313"/>
      <c r="I207" s="448"/>
      <c r="J207" s="265"/>
    </row>
    <row r="208" spans="1:10" s="240" customFormat="1" ht="15" customHeight="1" x14ac:dyDescent="0.2">
      <c r="A208" s="84"/>
      <c r="B208" s="84"/>
      <c r="C208" s="85"/>
      <c r="D208" s="85"/>
      <c r="E208" s="310"/>
      <c r="F208" s="560"/>
      <c r="G208" s="454"/>
      <c r="H208" s="313"/>
      <c r="I208" s="448"/>
      <c r="J208" s="265"/>
    </row>
    <row r="209" spans="1:10" s="240" customFormat="1" ht="15" customHeight="1" x14ac:dyDescent="0.2">
      <c r="A209" s="84"/>
      <c r="B209" s="84"/>
      <c r="C209" s="85"/>
      <c r="D209" s="85"/>
      <c r="E209" s="310"/>
      <c r="F209" s="560"/>
      <c r="G209" s="454"/>
      <c r="H209" s="313"/>
      <c r="I209" s="448"/>
      <c r="J209" s="265"/>
    </row>
    <row r="210" spans="1:10" s="240" customFormat="1" ht="15" customHeight="1" x14ac:dyDescent="0.2">
      <c r="A210" s="84"/>
      <c r="B210" s="84"/>
      <c r="C210" s="85"/>
      <c r="D210" s="85"/>
      <c r="E210" s="310"/>
      <c r="F210" s="560"/>
      <c r="G210" s="454"/>
      <c r="H210" s="313"/>
      <c r="I210" s="448"/>
      <c r="J210" s="265"/>
    </row>
    <row r="211" spans="1:10" s="240" customFormat="1" ht="15" customHeight="1" x14ac:dyDescent="0.2">
      <c r="A211" s="84"/>
      <c r="B211" s="84"/>
      <c r="C211" s="85"/>
      <c r="D211" s="85"/>
      <c r="E211" s="310"/>
      <c r="F211" s="560"/>
      <c r="G211" s="454"/>
      <c r="H211" s="313"/>
      <c r="I211" s="448"/>
      <c r="J211" s="265"/>
    </row>
    <row r="212" spans="1:10" s="240" customFormat="1" ht="15" customHeight="1" x14ac:dyDescent="0.2">
      <c r="A212" s="84"/>
      <c r="B212" s="84"/>
      <c r="C212" s="85"/>
      <c r="D212" s="85"/>
      <c r="E212" s="310"/>
      <c r="F212" s="560"/>
      <c r="G212" s="454"/>
      <c r="H212" s="313"/>
      <c r="I212" s="448"/>
      <c r="J212" s="265"/>
    </row>
    <row r="213" spans="1:10" s="240" customFormat="1" ht="15" customHeight="1" x14ac:dyDescent="0.2">
      <c r="A213" s="84"/>
      <c r="B213" s="84"/>
      <c r="C213" s="85"/>
      <c r="D213" s="85"/>
      <c r="E213" s="310"/>
      <c r="F213" s="560"/>
      <c r="G213" s="454"/>
      <c r="H213" s="313"/>
      <c r="I213" s="448"/>
      <c r="J213" s="265"/>
    </row>
    <row r="214" spans="1:10" s="240" customFormat="1" ht="15" customHeight="1" x14ac:dyDescent="0.2">
      <c r="A214" s="84"/>
      <c r="B214" s="84"/>
      <c r="C214" s="85"/>
      <c r="D214" s="85"/>
      <c r="E214" s="310"/>
      <c r="F214" s="560"/>
      <c r="G214" s="454"/>
      <c r="H214" s="313"/>
      <c r="I214" s="448"/>
      <c r="J214" s="265"/>
    </row>
    <row r="215" spans="1:10" s="240" customFormat="1" ht="15" customHeight="1" x14ac:dyDescent="0.2">
      <c r="A215" s="84"/>
      <c r="B215" s="84"/>
      <c r="C215" s="85"/>
      <c r="D215" s="85"/>
      <c r="E215" s="310"/>
      <c r="F215" s="560"/>
      <c r="G215" s="454"/>
      <c r="H215" s="313"/>
      <c r="I215" s="448"/>
      <c r="J215" s="265"/>
    </row>
    <row r="216" spans="1:10" s="240" customFormat="1" ht="15" customHeight="1" x14ac:dyDescent="0.2">
      <c r="A216" s="84"/>
      <c r="B216" s="84"/>
      <c r="C216" s="85"/>
      <c r="D216" s="85"/>
      <c r="E216" s="310"/>
      <c r="F216" s="560"/>
      <c r="G216" s="454"/>
      <c r="H216" s="313"/>
      <c r="I216" s="448"/>
      <c r="J216" s="265"/>
    </row>
    <row r="217" spans="1:10" s="240" customFormat="1" ht="15" customHeight="1" x14ac:dyDescent="0.2">
      <c r="A217" s="84"/>
      <c r="B217" s="84"/>
      <c r="C217" s="85"/>
      <c r="D217" s="85"/>
      <c r="E217" s="310"/>
      <c r="F217" s="560"/>
      <c r="G217" s="454"/>
      <c r="H217" s="313"/>
      <c r="I217" s="448"/>
      <c r="J217" s="265"/>
    </row>
    <row r="218" spans="1:10" s="240" customFormat="1" ht="15" customHeight="1" x14ac:dyDescent="0.2">
      <c r="A218" s="84"/>
      <c r="B218" s="84"/>
      <c r="C218" s="85"/>
      <c r="D218" s="85"/>
      <c r="E218" s="310"/>
      <c r="F218" s="560"/>
      <c r="G218" s="454"/>
      <c r="H218" s="313"/>
      <c r="I218" s="448"/>
      <c r="J218" s="265"/>
    </row>
    <row r="219" spans="1:10" s="240" customFormat="1" ht="15" customHeight="1" x14ac:dyDescent="0.2">
      <c r="A219" s="84"/>
      <c r="B219" s="84"/>
      <c r="C219" s="85"/>
      <c r="D219" s="85"/>
      <c r="E219" s="310"/>
      <c r="F219" s="560"/>
      <c r="G219" s="454"/>
      <c r="H219" s="313"/>
      <c r="I219" s="448"/>
      <c r="J219" s="265"/>
    </row>
    <row r="220" spans="1:10" s="240" customFormat="1" ht="15" customHeight="1" x14ac:dyDescent="0.2">
      <c r="A220" s="84"/>
      <c r="B220" s="84"/>
      <c r="C220" s="85"/>
      <c r="D220" s="85"/>
      <c r="E220" s="310"/>
      <c r="F220" s="560"/>
      <c r="G220" s="454"/>
      <c r="H220" s="313"/>
      <c r="I220" s="448"/>
      <c r="J220" s="265"/>
    </row>
    <row r="221" spans="1:10" s="240" customFormat="1" ht="15" customHeight="1" x14ac:dyDescent="0.2">
      <c r="A221" s="84"/>
      <c r="B221" s="84"/>
      <c r="C221" s="85"/>
      <c r="D221" s="85"/>
      <c r="E221" s="310"/>
      <c r="F221" s="560"/>
      <c r="G221" s="454"/>
      <c r="H221" s="313"/>
      <c r="I221" s="448"/>
      <c r="J221" s="265"/>
    </row>
    <row r="222" spans="1:10" s="240" customFormat="1" ht="15" customHeight="1" x14ac:dyDescent="0.2">
      <c r="A222" s="84"/>
      <c r="B222" s="84"/>
      <c r="C222" s="85"/>
      <c r="D222" s="85"/>
      <c r="E222" s="310"/>
      <c r="F222" s="560"/>
      <c r="G222" s="454"/>
      <c r="H222" s="313"/>
      <c r="I222" s="448"/>
      <c r="J222" s="265"/>
    </row>
    <row r="223" spans="1:10" s="240" customFormat="1" ht="15" customHeight="1" x14ac:dyDescent="0.2">
      <c r="A223" s="84"/>
      <c r="B223" s="84"/>
      <c r="C223" s="85"/>
      <c r="D223" s="85"/>
      <c r="E223" s="310"/>
      <c r="F223" s="560"/>
      <c r="G223" s="454"/>
      <c r="H223" s="313"/>
      <c r="I223" s="448"/>
      <c r="J223" s="265"/>
    </row>
    <row r="224" spans="1:10" s="240" customFormat="1" ht="15" customHeight="1" x14ac:dyDescent="0.2">
      <c r="A224" s="84"/>
      <c r="B224" s="84"/>
      <c r="C224" s="85"/>
      <c r="D224" s="85"/>
      <c r="E224" s="310"/>
      <c r="F224" s="560"/>
      <c r="G224" s="454"/>
      <c r="H224" s="313"/>
      <c r="I224" s="448"/>
      <c r="J224" s="265"/>
    </row>
    <row r="225" spans="1:10" s="240" customFormat="1" ht="15" customHeight="1" x14ac:dyDescent="0.2">
      <c r="A225" s="84"/>
      <c r="B225" s="84"/>
      <c r="C225" s="85"/>
      <c r="D225" s="85"/>
      <c r="E225" s="310"/>
      <c r="F225" s="560"/>
      <c r="G225" s="454"/>
      <c r="H225" s="313"/>
      <c r="I225" s="448"/>
      <c r="J225" s="265"/>
    </row>
    <row r="226" spans="1:10" s="240" customFormat="1" ht="15" customHeight="1" x14ac:dyDescent="0.2">
      <c r="A226" s="84"/>
      <c r="B226" s="84"/>
      <c r="C226" s="85"/>
      <c r="D226" s="85"/>
      <c r="E226" s="310"/>
      <c r="F226" s="560"/>
      <c r="G226" s="454"/>
      <c r="H226" s="313"/>
      <c r="I226" s="448"/>
      <c r="J226" s="265"/>
    </row>
    <row r="227" spans="1:10" s="240" customFormat="1" ht="15" customHeight="1" x14ac:dyDescent="0.2">
      <c r="A227" s="84"/>
      <c r="B227" s="84"/>
      <c r="C227" s="85"/>
      <c r="D227" s="85"/>
      <c r="E227" s="310"/>
      <c r="F227" s="560"/>
      <c r="G227" s="454"/>
      <c r="H227" s="313"/>
      <c r="I227" s="448"/>
      <c r="J227" s="265"/>
    </row>
    <row r="228" spans="1:10" s="240" customFormat="1" ht="15" customHeight="1" x14ac:dyDescent="0.2">
      <c r="A228" s="84"/>
      <c r="B228" s="84"/>
      <c r="C228" s="85"/>
      <c r="D228" s="85"/>
      <c r="E228" s="310"/>
      <c r="F228" s="560"/>
      <c r="G228" s="454"/>
      <c r="H228" s="313"/>
      <c r="I228" s="448"/>
      <c r="J228" s="265"/>
    </row>
    <row r="229" spans="1:10" s="240" customFormat="1" ht="15" customHeight="1" x14ac:dyDescent="0.2">
      <c r="A229" s="84"/>
      <c r="B229" s="84"/>
      <c r="C229" s="85"/>
      <c r="D229" s="85"/>
      <c r="E229" s="310"/>
      <c r="F229" s="560"/>
      <c r="G229" s="454"/>
      <c r="H229" s="313"/>
      <c r="I229" s="448"/>
      <c r="J229" s="265"/>
    </row>
    <row r="230" spans="1:10" s="240" customFormat="1" ht="15" customHeight="1" x14ac:dyDescent="0.2">
      <c r="A230" s="84"/>
      <c r="B230" s="84"/>
      <c r="C230" s="85"/>
      <c r="D230" s="85"/>
      <c r="E230" s="310"/>
      <c r="F230" s="560"/>
      <c r="G230" s="454"/>
      <c r="H230" s="313"/>
      <c r="I230" s="448"/>
      <c r="J230" s="265"/>
    </row>
    <row r="231" spans="1:10" s="240" customFormat="1" ht="15" customHeight="1" x14ac:dyDescent="0.2">
      <c r="A231" s="84"/>
      <c r="B231" s="84"/>
      <c r="C231" s="85"/>
      <c r="D231" s="85"/>
      <c r="E231" s="310"/>
      <c r="F231" s="560"/>
      <c r="G231" s="454"/>
      <c r="H231" s="313"/>
      <c r="I231" s="448"/>
      <c r="J231" s="265"/>
    </row>
    <row r="232" spans="1:10" s="240" customFormat="1" ht="15" customHeight="1" x14ac:dyDescent="0.2">
      <c r="A232" s="84"/>
      <c r="B232" s="84"/>
      <c r="C232" s="85"/>
      <c r="D232" s="85"/>
      <c r="E232" s="310"/>
      <c r="F232" s="560"/>
      <c r="G232" s="454"/>
      <c r="H232" s="313"/>
      <c r="I232" s="448"/>
      <c r="J232" s="265"/>
    </row>
    <row r="233" spans="1:10" s="240" customFormat="1" ht="15" customHeight="1" x14ac:dyDescent="0.2">
      <c r="A233" s="84"/>
      <c r="B233" s="84"/>
      <c r="C233" s="85"/>
      <c r="D233" s="85"/>
      <c r="E233" s="310"/>
      <c r="F233" s="560"/>
      <c r="G233" s="454"/>
      <c r="H233" s="313"/>
      <c r="I233" s="448"/>
      <c r="J233" s="265"/>
    </row>
    <row r="234" spans="1:10" s="240" customFormat="1" ht="15" customHeight="1" x14ac:dyDescent="0.2">
      <c r="A234" s="84"/>
      <c r="B234" s="84"/>
      <c r="C234" s="85"/>
      <c r="D234" s="85"/>
      <c r="E234" s="310"/>
      <c r="F234" s="560"/>
      <c r="G234" s="454"/>
      <c r="H234" s="313"/>
      <c r="I234" s="448"/>
      <c r="J234" s="265"/>
    </row>
    <row r="235" spans="1:10" s="240" customFormat="1" ht="15" customHeight="1" x14ac:dyDescent="0.2">
      <c r="A235" s="84"/>
      <c r="B235" s="84"/>
      <c r="C235" s="85"/>
      <c r="D235" s="85"/>
      <c r="E235" s="310"/>
      <c r="F235" s="560"/>
      <c r="G235" s="454"/>
      <c r="H235" s="313"/>
      <c r="I235" s="448"/>
      <c r="J235" s="265"/>
    </row>
    <row r="236" spans="1:10" s="240" customFormat="1" ht="15" customHeight="1" x14ac:dyDescent="0.2">
      <c r="A236" s="84"/>
      <c r="B236" s="84"/>
      <c r="C236" s="85"/>
      <c r="D236" s="85"/>
      <c r="E236" s="310"/>
      <c r="F236" s="560"/>
      <c r="G236" s="454"/>
      <c r="H236" s="313"/>
      <c r="I236" s="448"/>
      <c r="J236" s="265"/>
    </row>
    <row r="237" spans="1:10" s="240" customFormat="1" ht="15" customHeight="1" x14ac:dyDescent="0.2">
      <c r="A237" s="84"/>
      <c r="B237" s="84"/>
      <c r="C237" s="85"/>
      <c r="D237" s="85"/>
      <c r="E237" s="310"/>
      <c r="F237" s="560"/>
      <c r="G237" s="454"/>
      <c r="H237" s="313"/>
      <c r="I237" s="448"/>
      <c r="J237" s="265"/>
    </row>
    <row r="238" spans="1:10" s="240" customFormat="1" ht="15" customHeight="1" x14ac:dyDescent="0.2">
      <c r="A238" s="84"/>
      <c r="B238" s="84"/>
      <c r="C238" s="85"/>
      <c r="D238" s="85"/>
      <c r="E238" s="310"/>
      <c r="F238" s="560"/>
      <c r="G238" s="454"/>
      <c r="H238" s="313"/>
      <c r="I238" s="448"/>
      <c r="J238" s="265"/>
    </row>
    <row r="239" spans="1:10" s="240" customFormat="1" ht="15" customHeight="1" x14ac:dyDescent="0.2">
      <c r="A239" s="84"/>
      <c r="B239" s="84"/>
      <c r="C239" s="85"/>
      <c r="D239" s="85"/>
      <c r="E239" s="310"/>
      <c r="F239" s="560"/>
      <c r="G239" s="454"/>
      <c r="H239" s="313"/>
      <c r="I239" s="448"/>
      <c r="J239" s="265"/>
    </row>
    <row r="240" spans="1:10" s="240" customFormat="1" ht="15" customHeight="1" x14ac:dyDescent="0.2">
      <c r="A240" s="84"/>
      <c r="B240" s="84"/>
      <c r="C240" s="85"/>
      <c r="D240" s="85"/>
      <c r="E240" s="310"/>
      <c r="F240" s="560"/>
      <c r="G240" s="454"/>
      <c r="H240" s="313"/>
      <c r="I240" s="448"/>
      <c r="J240" s="265"/>
    </row>
    <row r="241" spans="1:10" s="240" customFormat="1" ht="15" customHeight="1" x14ac:dyDescent="0.2">
      <c r="A241" s="84"/>
      <c r="B241" s="84"/>
      <c r="C241" s="85"/>
      <c r="D241" s="85"/>
      <c r="E241" s="310"/>
      <c r="F241" s="560"/>
      <c r="G241" s="454"/>
      <c r="H241" s="313"/>
      <c r="I241" s="448"/>
      <c r="J241" s="265"/>
    </row>
    <row r="242" spans="1:10" s="240" customFormat="1" ht="15" customHeight="1" x14ac:dyDescent="0.2">
      <c r="A242" s="84"/>
      <c r="B242" s="84"/>
      <c r="C242" s="85"/>
      <c r="D242" s="85"/>
      <c r="E242" s="310"/>
      <c r="F242" s="560"/>
      <c r="G242" s="454"/>
      <c r="H242" s="313"/>
      <c r="I242" s="448"/>
      <c r="J242" s="265"/>
    </row>
    <row r="243" spans="1:10" s="240" customFormat="1" ht="15" customHeight="1" x14ac:dyDescent="0.2">
      <c r="A243" s="84"/>
      <c r="B243" s="84"/>
      <c r="C243" s="85"/>
      <c r="D243" s="85"/>
      <c r="E243" s="310"/>
      <c r="F243" s="560"/>
      <c r="G243" s="454"/>
      <c r="H243" s="313"/>
      <c r="I243" s="448"/>
      <c r="J243" s="265"/>
    </row>
    <row r="244" spans="1:10" ht="15" customHeight="1" x14ac:dyDescent="0.2">
      <c r="F244" s="560"/>
      <c r="G244" s="454"/>
      <c r="H244" s="313"/>
    </row>
    <row r="245" spans="1:10" ht="15" customHeight="1" x14ac:dyDescent="0.2">
      <c r="F245" s="560"/>
      <c r="G245" s="454"/>
      <c r="H245" s="313"/>
    </row>
    <row r="246" spans="1:10" ht="15" customHeight="1" x14ac:dyDescent="0.2">
      <c r="F246" s="560"/>
      <c r="G246" s="454"/>
      <c r="H246" s="313"/>
    </row>
    <row r="247" spans="1:10" ht="15" customHeight="1" x14ac:dyDescent="0.2">
      <c r="F247" s="560"/>
      <c r="G247" s="454"/>
      <c r="H247" s="313"/>
    </row>
    <row r="248" spans="1:10" ht="15" customHeight="1" x14ac:dyDescent="0.2">
      <c r="F248" s="560"/>
      <c r="G248" s="454"/>
      <c r="H248" s="313"/>
    </row>
    <row r="249" spans="1:10" ht="15" customHeight="1" x14ac:dyDescent="0.2">
      <c r="F249" s="560"/>
      <c r="G249" s="454"/>
      <c r="H249" s="313"/>
    </row>
    <row r="250" spans="1:10" ht="15" customHeight="1" x14ac:dyDescent="0.2">
      <c r="F250" s="560"/>
      <c r="G250" s="454"/>
      <c r="H250" s="313"/>
    </row>
    <row r="251" spans="1:10" ht="15" customHeight="1" x14ac:dyDescent="0.2">
      <c r="F251" s="560"/>
      <c r="G251" s="454"/>
      <c r="H251" s="313"/>
    </row>
    <row r="252" spans="1:10" ht="15" customHeight="1" x14ac:dyDescent="0.2">
      <c r="F252" s="560"/>
      <c r="G252" s="454"/>
      <c r="H252" s="313"/>
    </row>
    <row r="253" spans="1:10" ht="15" customHeight="1" x14ac:dyDescent="0.2">
      <c r="F253" s="560"/>
      <c r="G253" s="454"/>
      <c r="H253" s="313"/>
    </row>
    <row r="254" spans="1:10" ht="15" customHeight="1" x14ac:dyDescent="0.2">
      <c r="F254" s="561"/>
      <c r="G254" s="454"/>
      <c r="H254" s="454"/>
      <c r="I254" s="240"/>
      <c r="J254" s="85"/>
    </row>
  </sheetData>
  <conditionalFormatting sqref="H26">
    <cfRule type="containsText" dxfId="184" priority="3" operator="containsText" text="Teste NÃO foi">
      <formula>NOT(ISERROR(SEARCH("Teste NÃO foi",H26)))</formula>
    </cfRule>
    <cfRule type="containsText" dxfId="183" priority="5" operator="containsText" text="Teste foi">
      <formula>NOT(ISERROR(SEARCH("Teste foi",H26)))</formula>
    </cfRule>
  </conditionalFormatting>
  <conditionalFormatting sqref="H23">
    <cfRule type="containsText" dxfId="182" priority="6" operator="containsText" text="Lançamento foi">
      <formula>NOT(ISERROR(SEARCH("Lançamento foi",H23)))</formula>
    </cfRule>
    <cfRule type="containsText" dxfId="181" priority="8" operator="containsText" text="Lançamento NÃO foi">
      <formula>NOT(ISERROR(SEARCH("Lançamento NÃO foi",H23)))</formula>
    </cfRule>
  </conditionalFormatting>
  <conditionalFormatting sqref="H29">
    <cfRule type="containsText" dxfId="180" priority="1" operator="containsText" text="Operação foi">
      <formula>NOT(ISERROR(SEARCH("Operação foi",H29)))</formula>
    </cfRule>
    <cfRule type="containsText" dxfId="179" priority="2" operator="containsText" text="Operação NÃO foi">
      <formula>NOT(ISERROR(SEARCH("Operação NÃO foi",H29)))</formula>
    </cfRule>
  </conditionalFormatting>
  <dataValidations disablePrompts="1" count="3">
    <dataValidation allowBlank="1" showErrorMessage="1" prompt="O conteúdo desta célula não deve ser alterado." sqref="C98:C101 H16:I18 D87 E78:E82 A84:B85 A86:C86 C84:C87 E84:E87 D84 E94:E96 C94:D97 A87:B97" xr:uid="{17BCD074-2C92-4D83-A3F8-82273D4A1D1F}"/>
    <dataValidation allowBlank="1" showErrorMessage="1" prompt="O conteúdo desta célula pode estar oculto, porém não deve ser alterado." sqref="D97:E97 C85:E85 D86 C88:E96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O114"/>
  <sheetViews>
    <sheetView workbookViewId="0"/>
  </sheetViews>
  <sheetFormatPr defaultColWidth="0" defaultRowHeight="13.5" customHeight="1" x14ac:dyDescent="0.2"/>
  <cols>
    <col min="1" max="1" width="15.7109375" style="629" customWidth="1"/>
    <col min="2" max="2" width="7.7109375" style="629" customWidth="1"/>
    <col min="3" max="3" width="79.7109375" style="629" customWidth="1"/>
    <col min="4" max="4" width="7.7109375" style="629" customWidth="1"/>
    <col min="5" max="8" width="20.7109375" style="629" customWidth="1"/>
    <col min="9" max="9" width="40.7109375" style="616" customWidth="1"/>
    <col min="10" max="10" width="6.7109375" style="617" customWidth="1"/>
    <col min="11" max="14" width="16.7109375" style="616" customWidth="1"/>
    <col min="15" max="15" width="2.7109375" style="616" customWidth="1"/>
    <col min="16" max="16384" width="9.140625" style="616" hidden="1"/>
  </cols>
  <sheetData>
    <row r="2" spans="1:12" ht="13.5" customHeight="1" x14ac:dyDescent="0.2">
      <c r="A2" s="616"/>
      <c r="B2" s="616"/>
      <c r="C2" s="616"/>
      <c r="D2" s="616"/>
      <c r="E2" s="616"/>
      <c r="F2" s="616"/>
      <c r="G2" s="616"/>
      <c r="H2" s="616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618"/>
      <c r="B5" s="618"/>
      <c r="C5" s="618"/>
      <c r="D5" s="618"/>
      <c r="E5" s="203" t="str">
        <f xml:space="preserve"> _xlfn.CONCAT("Load"," ",Results!C31,".sim")</f>
        <v>Load Estatico.sim</v>
      </c>
      <c r="F5" s="618"/>
      <c r="G5" s="618"/>
      <c r="H5" s="618"/>
      <c r="I5" s="618"/>
      <c r="K5" s="756" t="s">
        <v>1650</v>
      </c>
      <c r="L5" s="758"/>
    </row>
    <row r="6" spans="1:12" ht="13.5" customHeight="1" thickTop="1" x14ac:dyDescent="0.2">
      <c r="A6" s="238" t="s">
        <v>2</v>
      </c>
      <c r="B6" s="238" t="s">
        <v>1711</v>
      </c>
      <c r="C6" s="619" t="s">
        <v>1624</v>
      </c>
      <c r="D6" s="238" t="str">
        <f>SUBSTITUTE(B6, "B", "C")</f>
        <v>C26</v>
      </c>
      <c r="E6" s="619" t="s">
        <v>1624</v>
      </c>
      <c r="F6" s="619"/>
      <c r="G6" s="619"/>
      <c r="H6" s="619"/>
      <c r="I6" s="619"/>
      <c r="K6" s="460" t="s">
        <v>487</v>
      </c>
      <c r="L6" s="621" t="s">
        <v>511</v>
      </c>
    </row>
    <row r="7" spans="1:12" ht="13.5" customHeight="1" x14ac:dyDescent="0.2">
      <c r="A7" s="619" t="s">
        <v>2</v>
      </c>
      <c r="B7" s="238" t="s">
        <v>1712</v>
      </c>
      <c r="C7" s="619" t="str">
        <f>CONCATENATE(I7," - ",F7)</f>
        <v>Rotation 2 - P7000048060_/_'DU700154300_Rev._C</v>
      </c>
      <c r="D7" s="238" t="str">
        <f t="shared" ref="D7:D18" si="0">SUBSTITUTE(B7, "B", "C")</f>
        <v>C27</v>
      </c>
      <c r="E7" s="619" t="s">
        <v>445</v>
      </c>
      <c r="F7" s="620" t="str">
        <f>$L$8</f>
        <v>P7000048060_/_'DU700154300_Rev._C</v>
      </c>
      <c r="G7" s="619"/>
      <c r="H7" s="619"/>
      <c r="I7" s="619" t="s">
        <v>448</v>
      </c>
      <c r="J7" s="616"/>
      <c r="K7" s="461" t="s">
        <v>305</v>
      </c>
      <c r="L7" s="622" t="s">
        <v>1925</v>
      </c>
    </row>
    <row r="8" spans="1:12" ht="13.5" customHeight="1" x14ac:dyDescent="0.2">
      <c r="A8" s="619" t="s">
        <v>2</v>
      </c>
      <c r="B8" s="238" t="s">
        <v>1713</v>
      </c>
      <c r="C8" s="619" t="str">
        <f>CONCATENATE(I8," - ",F8)</f>
        <v>Depth - Environment</v>
      </c>
      <c r="D8" s="238" t="str">
        <f t="shared" si="0"/>
        <v>C28</v>
      </c>
      <c r="E8" s="619" t="s">
        <v>442</v>
      </c>
      <c r="F8" s="619" t="s">
        <v>443</v>
      </c>
      <c r="G8" s="619"/>
      <c r="H8" s="619"/>
      <c r="I8" s="619" t="s">
        <v>444</v>
      </c>
      <c r="J8" s="616"/>
      <c r="K8" s="461" t="s">
        <v>1285</v>
      </c>
      <c r="L8" s="623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619" t="s">
        <v>2</v>
      </c>
      <c r="B9" s="238" t="s">
        <v>1714</v>
      </c>
      <c r="C9" s="619" t="str">
        <f>CONCATENATE(I9," - ",F9,"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616"/>
      <c r="K9" s="462" t="s">
        <v>1293</v>
      </c>
      <c r="L9" s="622" t="s">
        <v>1293</v>
      </c>
    </row>
    <row r="10" spans="1:12" ht="13.5" customHeight="1" x14ac:dyDescent="0.2">
      <c r="A10" s="619" t="s">
        <v>2</v>
      </c>
      <c r="B10" s="238" t="s">
        <v>1715</v>
      </c>
      <c r="C10" s="619" t="str">
        <f>CONCATENATE(I10," - ",F10," - ",G10)</f>
        <v>End Ez-Force - Line - End B</v>
      </c>
      <c r="D10" s="238" t="str">
        <f t="shared" si="0"/>
        <v>C30</v>
      </c>
      <c r="E10" s="619" t="s">
        <v>445</v>
      </c>
      <c r="F10" s="619" t="str">
        <f>$L$6</f>
        <v>Line</v>
      </c>
      <c r="G10" s="619" t="s">
        <v>446</v>
      </c>
      <c r="H10" s="619"/>
      <c r="I10" s="619" t="s">
        <v>451</v>
      </c>
      <c r="J10" s="616"/>
    </row>
    <row r="11" spans="1:12" ht="13.5" customHeight="1" x14ac:dyDescent="0.2">
      <c r="A11" s="619" t="s">
        <v>2</v>
      </c>
      <c r="B11" s="238" t="s">
        <v>1716</v>
      </c>
      <c r="C11" s="619" t="str">
        <f>CONCATENATE(I11," - ",F11," - ",G11)</f>
        <v>End Ex-Force - Line - End B</v>
      </c>
      <c r="D11" s="238" t="str">
        <f t="shared" si="0"/>
        <v>C31</v>
      </c>
      <c r="E11" s="619" t="s">
        <v>445</v>
      </c>
      <c r="F11" s="619" t="str">
        <f>$L$6</f>
        <v>Line</v>
      </c>
      <c r="G11" s="619" t="s">
        <v>446</v>
      </c>
      <c r="H11" s="619"/>
      <c r="I11" s="619" t="s">
        <v>450</v>
      </c>
      <c r="J11" s="616"/>
    </row>
    <row r="12" spans="1:12" ht="13.5" customHeight="1" x14ac:dyDescent="0.2">
      <c r="A12" s="619" t="s">
        <v>2</v>
      </c>
      <c r="B12" s="238" t="s">
        <v>164</v>
      </c>
      <c r="C12" s="619" t="str">
        <f>CONCATENATE(I12," - ",F12," - ",G12)</f>
        <v>End Ey-Moment - Line - End B</v>
      </c>
      <c r="D12" s="238" t="str">
        <f t="shared" si="0"/>
        <v>C32</v>
      </c>
      <c r="E12" s="619" t="s">
        <v>445</v>
      </c>
      <c r="F12" s="619" t="str">
        <f>$L$6</f>
        <v>Line</v>
      </c>
      <c r="G12" s="619" t="s">
        <v>446</v>
      </c>
      <c r="H12" s="619"/>
      <c r="I12" s="619" t="s">
        <v>449</v>
      </c>
      <c r="J12" s="616"/>
    </row>
    <row r="13" spans="1:12" ht="13.5" customHeight="1" x14ac:dyDescent="0.2">
      <c r="A13" s="619" t="s">
        <v>2</v>
      </c>
      <c r="B13" s="238" t="s">
        <v>1717</v>
      </c>
      <c r="C13" s="619" t="str">
        <f>CONCATENATE(I13," - ",F13)</f>
        <v>Bend Radius - Line</v>
      </c>
      <c r="D13" s="238" t="str">
        <f t="shared" si="0"/>
        <v>C33</v>
      </c>
      <c r="E13" s="619" t="s">
        <v>439</v>
      </c>
      <c r="F13" s="619" t="str">
        <f>$L$6</f>
        <v>Line</v>
      </c>
      <c r="G13" s="619"/>
      <c r="H13" s="619" t="s">
        <v>440</v>
      </c>
      <c r="I13" s="619" t="s">
        <v>441</v>
      </c>
      <c r="J13" s="616"/>
    </row>
    <row r="14" spans="1:12" ht="13.5" customHeight="1" x14ac:dyDescent="0.2">
      <c r="A14" s="619" t="s">
        <v>2</v>
      </c>
      <c r="B14" s="238" t="s">
        <v>1718</v>
      </c>
      <c r="C14" s="619" t="str">
        <f>CONCATENATE(I14," - ",F14)</f>
        <v>Bend Radius - Stiffener1</v>
      </c>
      <c r="D14" s="238" t="str">
        <f t="shared" si="0"/>
        <v>C34</v>
      </c>
      <c r="E14" s="619" t="s">
        <v>439</v>
      </c>
      <c r="F14" s="619" t="str">
        <f>$L$7</f>
        <v>Stiffener1</v>
      </c>
      <c r="G14" s="619"/>
      <c r="H14" s="619" t="s">
        <v>440</v>
      </c>
      <c r="I14" s="619" t="s">
        <v>441</v>
      </c>
      <c r="J14" s="616"/>
    </row>
    <row r="15" spans="1:12" ht="13.5" customHeight="1" x14ac:dyDescent="0.2">
      <c r="A15" s="619" t="s">
        <v>2</v>
      </c>
      <c r="B15" s="238" t="s">
        <v>1719</v>
      </c>
      <c r="C15" s="619" t="str">
        <f>_xlfn.CONCAT(I15," - ",F15)</f>
        <v>Bend Moment - Stiffener1</v>
      </c>
      <c r="D15" s="238" t="str">
        <f t="shared" si="0"/>
        <v>C35</v>
      </c>
      <c r="E15" s="619" t="s">
        <v>463</v>
      </c>
      <c r="F15" s="619" t="str">
        <f>$L$7</f>
        <v>Stiffener1</v>
      </c>
      <c r="G15" s="619"/>
      <c r="H15" s="619" t="s">
        <v>440</v>
      </c>
      <c r="I15" s="619" t="s">
        <v>464</v>
      </c>
      <c r="J15" s="616"/>
    </row>
    <row r="16" spans="1:12" ht="13.5" customHeight="1" x14ac:dyDescent="0.2">
      <c r="A16" s="619" t="s">
        <v>2</v>
      </c>
      <c r="B16" s="238" t="s">
        <v>225</v>
      </c>
      <c r="C16" s="619" t="str">
        <f>_xlfn.CONCAT(I16," - ",F16)</f>
        <v>Shear Force - Stiffener1</v>
      </c>
      <c r="D16" s="238" t="str">
        <f t="shared" si="0"/>
        <v>C36</v>
      </c>
      <c r="E16" s="619" t="s">
        <v>463</v>
      </c>
      <c r="F16" s="619" t="str">
        <f>$L$7</f>
        <v>Stiffener1</v>
      </c>
      <c r="G16" s="619"/>
      <c r="H16" s="619" t="s">
        <v>440</v>
      </c>
      <c r="I16" s="619" t="s">
        <v>466</v>
      </c>
      <c r="J16" s="616"/>
    </row>
    <row r="17" spans="1:10" ht="13.5" customHeight="1" x14ac:dyDescent="0.2">
      <c r="A17" s="619" t="s">
        <v>2</v>
      </c>
      <c r="B17" s="238" t="s">
        <v>1720</v>
      </c>
      <c r="C17" s="619" t="str">
        <f>CONCATENATE(I17," - ",F17)</f>
        <v>Vertical Seabed Clearance - Stiffener1</v>
      </c>
      <c r="D17" s="238" t="str">
        <f t="shared" si="0"/>
        <v>C37</v>
      </c>
      <c r="E17" s="619" t="s">
        <v>439</v>
      </c>
      <c r="F17" s="619" t="str">
        <f>$L$7</f>
        <v>Stiffener1</v>
      </c>
      <c r="G17" s="619"/>
      <c r="H17" s="619" t="s">
        <v>440</v>
      </c>
      <c r="I17" s="619" t="s">
        <v>460</v>
      </c>
      <c r="J17" s="616"/>
    </row>
    <row r="18" spans="1:10" ht="13.5" customHeight="1" x14ac:dyDescent="0.2">
      <c r="A18" s="619" t="s">
        <v>2</v>
      </c>
      <c r="B18" s="238" t="s">
        <v>1721</v>
      </c>
      <c r="C18" s="619" t="str">
        <f>CONCATENATE(I18," - ",F18)</f>
        <v>Vertical Seabed Clearance - Line</v>
      </c>
      <c r="D18" s="238" t="str">
        <f t="shared" si="0"/>
        <v>C38</v>
      </c>
      <c r="E18" s="619" t="s">
        <v>439</v>
      </c>
      <c r="F18" s="619" t="str">
        <f>$L$6</f>
        <v>Line</v>
      </c>
      <c r="G18" s="619"/>
      <c r="H18" s="619" t="s">
        <v>440</v>
      </c>
      <c r="I18" s="619" t="s">
        <v>460</v>
      </c>
      <c r="J18" s="616"/>
    </row>
    <row r="19" spans="1:10" ht="13.5" customHeight="1" x14ac:dyDescent="0.2">
      <c r="A19" s="619" t="s">
        <v>453</v>
      </c>
      <c r="B19" s="619" t="s">
        <v>455</v>
      </c>
      <c r="C19" s="619" t="str">
        <f t="shared" ref="C19:C21" si="1">_xlfn.CONCAT(I19," - ",F19)</f>
        <v>Z - Line</v>
      </c>
      <c r="D19" s="619" t="s">
        <v>456</v>
      </c>
      <c r="E19" s="619" t="s">
        <v>454</v>
      </c>
      <c r="F19" s="619" t="str">
        <f>$L$6</f>
        <v>Line</v>
      </c>
      <c r="G19" s="619"/>
      <c r="H19" s="619" t="s">
        <v>440</v>
      </c>
      <c r="I19" s="619" t="s">
        <v>447</v>
      </c>
      <c r="J19" s="616"/>
    </row>
    <row r="20" spans="1:10" ht="13.5" customHeight="1" x14ac:dyDescent="0.2">
      <c r="A20" s="619" t="s">
        <v>453</v>
      </c>
      <c r="B20" s="619" t="s">
        <v>458</v>
      </c>
      <c r="C20" s="619" t="str">
        <f t="shared" si="1"/>
        <v>Vertical Seabed Clearance - Line</v>
      </c>
      <c r="D20" s="619" t="s">
        <v>459</v>
      </c>
      <c r="E20" s="619" t="s">
        <v>454</v>
      </c>
      <c r="F20" s="619" t="str">
        <f>$L$6</f>
        <v>Line</v>
      </c>
      <c r="G20" s="619"/>
      <c r="H20" s="619" t="s">
        <v>440</v>
      </c>
      <c r="I20" s="619" t="s">
        <v>460</v>
      </c>
      <c r="J20" s="616"/>
    </row>
    <row r="21" spans="1:10" ht="13.5" customHeight="1" x14ac:dyDescent="0.2">
      <c r="A21" s="619" t="s">
        <v>453</v>
      </c>
      <c r="B21" s="619" t="s">
        <v>461</v>
      </c>
      <c r="C21" s="619" t="str">
        <f t="shared" si="1"/>
        <v>Vertical Seabed Clearance - Stiffener1</v>
      </c>
      <c r="D21" s="619" t="s">
        <v>462</v>
      </c>
      <c r="E21" s="619" t="s">
        <v>454</v>
      </c>
      <c r="F21" s="619" t="str">
        <f>$L$7</f>
        <v>Stiffener1</v>
      </c>
      <c r="G21" s="619"/>
      <c r="H21" s="619" t="s">
        <v>440</v>
      </c>
      <c r="I21" s="619" t="s">
        <v>460</v>
      </c>
      <c r="J21" s="616"/>
    </row>
    <row r="22" spans="1:10" ht="13.5" customHeight="1" x14ac:dyDescent="0.2">
      <c r="A22" s="618"/>
      <c r="B22" s="618"/>
      <c r="C22" s="618"/>
      <c r="D22" s="618"/>
      <c r="E22" s="203" t="str">
        <f xml:space="preserve"> _xlfn.CONCAT("Load"," ",Results!C32,".sim")</f>
        <v>Load Dinamico.sim</v>
      </c>
      <c r="F22" s="618"/>
      <c r="G22" s="618"/>
      <c r="H22" s="618"/>
      <c r="I22" s="618"/>
      <c r="J22" s="616"/>
    </row>
    <row r="23" spans="1:10" ht="13.5" customHeight="1" x14ac:dyDescent="0.2">
      <c r="A23" s="619" t="s">
        <v>2</v>
      </c>
      <c r="B23" s="619" t="s">
        <v>218</v>
      </c>
      <c r="C23" s="619" t="str">
        <f>CONCATENATE(I23," - ",F23)</f>
        <v>StageValue[3] - A/R</v>
      </c>
      <c r="D23" s="619" t="str">
        <f>SUBSTITUTE(B23, "H", "I")</f>
        <v>I26</v>
      </c>
      <c r="E23" s="619" t="s">
        <v>442</v>
      </c>
      <c r="F23" s="619" t="str">
        <f>$L$9</f>
        <v>A/R</v>
      </c>
      <c r="G23" s="619"/>
      <c r="H23" s="619"/>
      <c r="I23" s="619" t="s">
        <v>467</v>
      </c>
      <c r="J23" s="624">
        <f>Data!$I$27</f>
        <v>0</v>
      </c>
    </row>
    <row r="24" spans="1:10" ht="13.5" customHeight="1" x14ac:dyDescent="0.2">
      <c r="A24" s="619" t="s">
        <v>2</v>
      </c>
      <c r="B24" s="619" t="s">
        <v>233</v>
      </c>
      <c r="C24" s="619" t="str">
        <f>CONCATENATE(I24," - ",F24)</f>
        <v>NumberOfAttachments - Line</v>
      </c>
      <c r="D24" s="619" t="str">
        <f t="shared" ref="D24:D28" si="2">SUBSTITUTE(B24, "H", "I")</f>
        <v>I27</v>
      </c>
      <c r="E24" s="619" t="s">
        <v>442</v>
      </c>
      <c r="F24" s="619" t="str">
        <f>$L$6</f>
        <v>Line</v>
      </c>
      <c r="G24" s="619"/>
      <c r="H24" s="619"/>
      <c r="I24" s="619" t="s">
        <v>469</v>
      </c>
      <c r="J24" s="616"/>
    </row>
    <row r="25" spans="1:10" ht="13.5" customHeight="1" x14ac:dyDescent="0.2">
      <c r="A25" s="619" t="s">
        <v>2</v>
      </c>
      <c r="B25" s="619" t="s">
        <v>1723</v>
      </c>
      <c r="C25" s="619" t="str">
        <f>CONCATENATE(I25," - ",F25)</f>
        <v>Bend Radius - Line</v>
      </c>
      <c r="D25" s="619" t="str">
        <f t="shared" si="2"/>
        <v>I28</v>
      </c>
      <c r="E25" s="619" t="s">
        <v>439</v>
      </c>
      <c r="F25" s="619" t="str">
        <f>$L$6</f>
        <v>Line</v>
      </c>
      <c r="G25" s="619"/>
      <c r="H25" s="375" t="s">
        <v>1922</v>
      </c>
      <c r="I25" s="619" t="s">
        <v>441</v>
      </c>
      <c r="J25" s="616"/>
    </row>
    <row r="26" spans="1:10" ht="13.5" customHeight="1" x14ac:dyDescent="0.2">
      <c r="A26" s="619" t="s">
        <v>2</v>
      </c>
      <c r="B26" s="619" t="s">
        <v>220</v>
      </c>
      <c r="C26" s="619" t="str">
        <f>CONCATENATE(I26," - ",F26)</f>
        <v>Bend Radius - Stiffener1</v>
      </c>
      <c r="D26" s="619" t="str">
        <f t="shared" si="2"/>
        <v>I29</v>
      </c>
      <c r="E26" s="619" t="s">
        <v>439</v>
      </c>
      <c r="F26" s="619" t="str">
        <f>$L$7</f>
        <v>Stiffener1</v>
      </c>
      <c r="G26" s="619"/>
      <c r="H26" s="375" t="s">
        <v>1922</v>
      </c>
      <c r="I26" s="619" t="s">
        <v>441</v>
      </c>
      <c r="J26" s="616"/>
    </row>
    <row r="27" spans="1:10" ht="13.5" customHeight="1" x14ac:dyDescent="0.2">
      <c r="A27" s="619" t="s">
        <v>2</v>
      </c>
      <c r="B27" s="619" t="s">
        <v>1724</v>
      </c>
      <c r="C27" s="619" t="str">
        <f>_xlfn.CONCAT(I27," - ",F27)</f>
        <v>Bend Moment - Stiffener1</v>
      </c>
      <c r="D27" s="619" t="str">
        <f t="shared" si="2"/>
        <v>I30</v>
      </c>
      <c r="E27" s="619" t="s">
        <v>463</v>
      </c>
      <c r="F27" s="619" t="str">
        <f>$L$7</f>
        <v>Stiffener1</v>
      </c>
      <c r="G27" s="619"/>
      <c r="H27" s="619" t="s">
        <v>471</v>
      </c>
      <c r="I27" s="619" t="s">
        <v>464</v>
      </c>
      <c r="J27" s="616"/>
    </row>
    <row r="28" spans="1:10" ht="13.5" customHeight="1" x14ac:dyDescent="0.2">
      <c r="A28" s="619" t="s">
        <v>2</v>
      </c>
      <c r="B28" s="619" t="s">
        <v>1725</v>
      </c>
      <c r="C28" s="619" t="str">
        <f>_xlfn.CONCAT(I28," - ",F28)</f>
        <v>Shear Force - Stiffener1</v>
      </c>
      <c r="D28" s="619" t="str">
        <f t="shared" si="2"/>
        <v>I31</v>
      </c>
      <c r="E28" s="619" t="s">
        <v>463</v>
      </c>
      <c r="F28" s="619" t="str">
        <f>$L$7</f>
        <v>Stiffener1</v>
      </c>
      <c r="G28" s="619"/>
      <c r="H28" s="619" t="s">
        <v>471</v>
      </c>
      <c r="I28" s="619" t="s">
        <v>466</v>
      </c>
      <c r="J28" s="616"/>
    </row>
    <row r="29" spans="1:10" ht="13.5" customHeight="1" x14ac:dyDescent="0.2">
      <c r="A29" s="619" t="s">
        <v>473</v>
      </c>
      <c r="B29" s="619" t="s">
        <v>172</v>
      </c>
      <c r="C29" s="619" t="str">
        <f>CONCATENATE(E29," - ",F29," - ",G29," - ",H29," - ",I29)</f>
        <v>Linked Statistics - Line - End B - 0 to 32 - End Ex-Force,End Ez-Force,End Ey-Moment</v>
      </c>
      <c r="D29" s="619" t="s">
        <v>232</v>
      </c>
      <c r="E29" s="619" t="s">
        <v>474</v>
      </c>
      <c r="F29" s="619" t="str">
        <f>$L$6</f>
        <v>Line</v>
      </c>
      <c r="G29" s="619" t="s">
        <v>446</v>
      </c>
      <c r="H29" s="619" t="s">
        <v>468</v>
      </c>
      <c r="I29" s="619" t="s">
        <v>475</v>
      </c>
      <c r="J29" s="616"/>
    </row>
    <row r="30" spans="1:10" ht="13.5" customHeight="1" x14ac:dyDescent="0.2">
      <c r="A30" s="619" t="s">
        <v>473</v>
      </c>
      <c r="B30" s="622" t="s">
        <v>1848</v>
      </c>
      <c r="C30" s="619" t="str">
        <f>CONCATENATE(E30," - ",F30," - ",G30," - ",H30," - ",I30)</f>
        <v>Time History - Line - Touchdown - Whole Simulation - Arc Length</v>
      </c>
      <c r="D30" s="622" t="s">
        <v>1853</v>
      </c>
      <c r="E30" s="619" t="s">
        <v>476</v>
      </c>
      <c r="F30" s="619" t="str">
        <f>$L$6</f>
        <v>Line</v>
      </c>
      <c r="G30" s="619" t="s">
        <v>477</v>
      </c>
      <c r="H30" s="619" t="s">
        <v>471</v>
      </c>
      <c r="I30" s="619" t="s">
        <v>478</v>
      </c>
      <c r="J30" s="616"/>
    </row>
    <row r="31" spans="1:10" ht="13.5" customHeight="1" x14ac:dyDescent="0.2">
      <c r="A31" s="619" t="s">
        <v>473</v>
      </c>
      <c r="B31" s="622" t="s">
        <v>1849</v>
      </c>
      <c r="C31" s="619" t="str">
        <f>CONCATENATE(E31," - ",F31," - ",G31," - ",H31," - ",I31)</f>
        <v>Time History - Stiffener1 - Touchdown - Whole Simulation - Arc Length</v>
      </c>
      <c r="D31" s="622" t="s">
        <v>1852</v>
      </c>
      <c r="E31" s="619" t="s">
        <v>476</v>
      </c>
      <c r="F31" s="619" t="str">
        <f>$L$7</f>
        <v>Stiffener1</v>
      </c>
      <c r="G31" s="619" t="s">
        <v>477</v>
      </c>
      <c r="H31" s="619" t="s">
        <v>471</v>
      </c>
      <c r="I31" s="619" t="s">
        <v>478</v>
      </c>
      <c r="J31" s="616"/>
    </row>
    <row r="32" spans="1:10" ht="13.5" customHeight="1" x14ac:dyDescent="0.2">
      <c r="A32" s="619" t="s">
        <v>473</v>
      </c>
      <c r="B32" s="622" t="s">
        <v>1850</v>
      </c>
      <c r="C32" s="619" t="str">
        <f>CONCATENATE(E32," - ",H32,)</f>
        <v>Sample Times - Whole Simulation</v>
      </c>
      <c r="D32" s="622" t="s">
        <v>1851</v>
      </c>
      <c r="E32" s="619" t="s">
        <v>479</v>
      </c>
      <c r="F32" s="619"/>
      <c r="G32" s="619"/>
      <c r="H32" s="619" t="s">
        <v>471</v>
      </c>
      <c r="I32" s="619"/>
      <c r="J32" s="616"/>
    </row>
    <row r="33" spans="1:12" ht="13.5" customHeight="1" x14ac:dyDescent="0.2">
      <c r="A33" s="619" t="s">
        <v>473</v>
      </c>
      <c r="B33" s="619" t="s">
        <v>1847</v>
      </c>
      <c r="C33" s="619" t="e">
        <f>CONCATENATE(E33," - ",F33," - ",G33," - ",H33," - ",I33)</f>
        <v>#VALUE!</v>
      </c>
      <c r="D33" s="619" t="s">
        <v>1846</v>
      </c>
      <c r="E33" s="619" t="s">
        <v>474</v>
      </c>
      <c r="F33" s="619" t="str">
        <f>$L$6</f>
        <v>Line</v>
      </c>
      <c r="G33" s="619" t="s">
        <v>446</v>
      </c>
      <c r="H33" s="619" t="e">
        <f>_xlfn.CONCAT(Auxiliar1!O5-0.001, " to ", Auxiliar1!O5+0.001)</f>
        <v>#VALUE!</v>
      </c>
      <c r="I33" s="619" t="s">
        <v>475</v>
      </c>
    </row>
    <row r="34" spans="1:12" ht="13.5" customHeight="1" x14ac:dyDescent="0.2">
      <c r="A34" s="618"/>
      <c r="B34" s="204"/>
      <c r="C34" s="204"/>
      <c r="D34" s="204"/>
      <c r="E34" s="203" t="str">
        <f>CONCATENATE("Load ",Results!C33,".sim")</f>
        <v>Load Caso3ii_lançamento.sim</v>
      </c>
      <c r="F34" s="204"/>
      <c r="G34" s="204"/>
      <c r="H34" s="204"/>
      <c r="I34" s="204"/>
    </row>
    <row r="35" spans="1:12" ht="13.5" customHeight="1" x14ac:dyDescent="0.2">
      <c r="A35" s="619" t="s">
        <v>473</v>
      </c>
      <c r="B35" s="201" t="s">
        <v>1750</v>
      </c>
      <c r="C35" s="619" t="str">
        <f>CONCATENATE(E35," - ",F35," - ",G35," - ",H35," - ",I35)</f>
        <v>Linked Statistics - Line - End B - 0 to 152,15 - End Ex-Force,End Ez-Force,End Ey-Moment</v>
      </c>
      <c r="D35" s="201" t="s">
        <v>1751</v>
      </c>
      <c r="E35" s="201" t="s">
        <v>474</v>
      </c>
      <c r="F35" s="619" t="str">
        <f>'2nd_Post_Processing'!$L$6</f>
        <v>Line</v>
      </c>
      <c r="G35" s="201" t="s">
        <v>446</v>
      </c>
      <c r="H35" s="375" t="s">
        <v>1920</v>
      </c>
      <c r="I35" s="201" t="s">
        <v>475</v>
      </c>
    </row>
    <row r="36" spans="1:12" ht="13.5" customHeight="1" x14ac:dyDescent="0.2">
      <c r="A36" s="619" t="s">
        <v>473</v>
      </c>
      <c r="B36" s="201" t="s">
        <v>1845</v>
      </c>
      <c r="C36" s="619" t="str">
        <f>CONCATENATE(E36," - ",F36," - ",G36," - ",H36," - ",I36)</f>
        <v>Linked Statistics - Line - End B - 0 to 182,15 - End Ex-Force,End Ez-Force,End Ey-Moment</v>
      </c>
      <c r="D36" s="201" t="s">
        <v>1858</v>
      </c>
      <c r="E36" s="201" t="s">
        <v>474</v>
      </c>
      <c r="F36" s="619" t="str">
        <f>'2nd_Post_Processing'!$L$6</f>
        <v>Line</v>
      </c>
      <c r="G36" s="201" t="s">
        <v>446</v>
      </c>
      <c r="H36" s="375" t="s">
        <v>1921</v>
      </c>
      <c r="I36" s="201" t="s">
        <v>475</v>
      </c>
    </row>
    <row r="37" spans="1:12" ht="13.5" customHeight="1" x14ac:dyDescent="0.2">
      <c r="A37" s="618"/>
      <c r="B37" s="204"/>
      <c r="C37" s="204"/>
      <c r="D37" s="204"/>
      <c r="E37" s="203" t="str">
        <f>CONCATENATE("Load ",Results!C34,".sim")</f>
        <v>Load Caso4_lançamento_comflut.sim</v>
      </c>
      <c r="F37" s="204"/>
      <c r="G37" s="204"/>
      <c r="H37" s="204"/>
      <c r="I37" s="204"/>
    </row>
    <row r="38" spans="1:12" ht="13.5" customHeight="1" x14ac:dyDescent="0.2">
      <c r="A38" s="619" t="s">
        <v>473</v>
      </c>
      <c r="B38" s="201" t="s">
        <v>1757</v>
      </c>
      <c r="C38" s="619" t="str">
        <f>CONCATENATE(E38," - ",F38," - ",G38," - ",H38," - ",I38)</f>
        <v>Linked Statistics - Line - End B - 0 to 50 - End Ex-Force,End Ez-Force,End Ey-Moment</v>
      </c>
      <c r="D38" s="201" t="s">
        <v>1758</v>
      </c>
      <c r="E38" s="201" t="s">
        <v>474</v>
      </c>
      <c r="F38" s="619" t="str">
        <f>'2nd_Post_Processing'!$L$6</f>
        <v>Line</v>
      </c>
      <c r="G38" s="201" t="s">
        <v>446</v>
      </c>
      <c r="H38" s="375" t="s">
        <v>1923</v>
      </c>
      <c r="I38" s="201" t="s">
        <v>475</v>
      </c>
    </row>
    <row r="39" spans="1:12" ht="13.5" customHeight="1" x14ac:dyDescent="0.2">
      <c r="A39" s="618"/>
      <c r="B39" s="204"/>
      <c r="C39" s="204"/>
      <c r="D39" s="204"/>
      <c r="E39" s="203" t="str">
        <f>CONCATENATE("Load ",Results!C35,".sim")</f>
        <v>Load Caso4_lançamento_semflut.sim</v>
      </c>
      <c r="F39" s="204"/>
      <c r="G39" s="204"/>
      <c r="H39" s="204"/>
      <c r="I39" s="204"/>
    </row>
    <row r="40" spans="1:12" ht="13.5" customHeight="1" x14ac:dyDescent="0.2">
      <c r="A40" s="619" t="s">
        <v>473</v>
      </c>
      <c r="B40" s="201" t="s">
        <v>1854</v>
      </c>
      <c r="C40" s="619" t="str">
        <f>CONCATENATE(E40," - ",F40," - ",G40," - ",H40," - ",I40)</f>
        <v>Linked Statistics - Line - End B - 0 to 50 - End Ex-Force,End Ez-Force,End Ey-Moment</v>
      </c>
      <c r="D40" s="201" t="s">
        <v>1857</v>
      </c>
      <c r="E40" s="201" t="s">
        <v>474</v>
      </c>
      <c r="F40" s="619" t="str">
        <f>'2nd_Post_Processing'!$L$6</f>
        <v>Line</v>
      </c>
      <c r="G40" s="201" t="s">
        <v>446</v>
      </c>
      <c r="H40" s="375" t="s">
        <v>1923</v>
      </c>
      <c r="I40" s="201" t="s">
        <v>475</v>
      </c>
    </row>
    <row r="41" spans="1:12" ht="13.5" customHeight="1" x14ac:dyDescent="0.2">
      <c r="A41" s="618"/>
      <c r="B41" s="204"/>
      <c r="C41" s="204"/>
      <c r="D41" s="204"/>
      <c r="E41" s="203" t="str">
        <f>CONCATENATE("Load ",Results!C36,".sim")</f>
        <v>Load Caso4_teste_comflut.sim</v>
      </c>
      <c r="F41" s="204"/>
      <c r="G41" s="204"/>
      <c r="H41" s="204"/>
      <c r="I41" s="204"/>
    </row>
    <row r="42" spans="1:12" ht="13.5" customHeight="1" x14ac:dyDescent="0.2">
      <c r="A42" s="619" t="s">
        <v>473</v>
      </c>
      <c r="B42" s="201" t="s">
        <v>1759</v>
      </c>
      <c r="C42" s="619" t="str">
        <f>CONCATENATE(E42," - ",F42," - ",G42," - ",H42," - ",I42)</f>
        <v>Linked Statistics - Line - End B - 0 to 50 - End Ex-Force,End Ez-Force,End Ey-Moment</v>
      </c>
      <c r="D42" s="201" t="s">
        <v>1760</v>
      </c>
      <c r="E42" s="201" t="s">
        <v>474</v>
      </c>
      <c r="F42" s="619" t="str">
        <f>'2nd_Post_Processing'!$L$6</f>
        <v>Line</v>
      </c>
      <c r="G42" s="201" t="s">
        <v>446</v>
      </c>
      <c r="H42" s="375" t="s">
        <v>1923</v>
      </c>
      <c r="I42" s="201" t="s">
        <v>475</v>
      </c>
      <c r="K42" s="58"/>
      <c r="L42" s="58"/>
    </row>
    <row r="43" spans="1:12" ht="13.5" customHeight="1" x14ac:dyDescent="0.2">
      <c r="A43" s="618"/>
      <c r="B43" s="204"/>
      <c r="C43" s="204"/>
      <c r="D43" s="204"/>
      <c r="E43" s="203" t="str">
        <f>CONCATENATE("Load ",Results!C37,".sim")</f>
        <v>Load Caso4_teste_semflut.sim</v>
      </c>
      <c r="F43" s="204"/>
      <c r="G43" s="204"/>
      <c r="H43" s="204"/>
      <c r="I43" s="204"/>
    </row>
    <row r="44" spans="1:12" ht="13.5" customHeight="1" x14ac:dyDescent="0.2">
      <c r="A44" s="619" t="s">
        <v>473</v>
      </c>
      <c r="B44" s="201" t="s">
        <v>1855</v>
      </c>
      <c r="C44" s="619" t="str">
        <f>CONCATENATE(E44," - ",F44," - ",G44," - ",H44," - ",I44)</f>
        <v>Linked Statistics - Line - End B - 0 to 50 - End Ex-Force,End Ez-Force,End Ey-Moment</v>
      </c>
      <c r="D44" s="201" t="s">
        <v>1856</v>
      </c>
      <c r="E44" s="201" t="s">
        <v>474</v>
      </c>
      <c r="F44" s="619" t="str">
        <f>'2nd_Post_Processing'!$L$6</f>
        <v>Line</v>
      </c>
      <c r="G44" s="201" t="s">
        <v>446</v>
      </c>
      <c r="H44" s="375" t="s">
        <v>1923</v>
      </c>
      <c r="I44" s="201" t="s">
        <v>475</v>
      </c>
    </row>
    <row r="45" spans="1:12" s="58" customFormat="1" ht="13.5" customHeight="1" x14ac:dyDescent="0.2">
      <c r="A45" s="618"/>
      <c r="B45" s="204"/>
      <c r="C45" s="204"/>
      <c r="D45" s="204"/>
      <c r="E45" s="203" t="str">
        <f>CONCATENATE("Load ",Results!C38,".sim")</f>
        <v>Load Caso5_operação_semflut.sim</v>
      </c>
      <c r="F45" s="204"/>
      <c r="G45" s="204"/>
      <c r="H45" s="204"/>
      <c r="I45" s="204"/>
      <c r="K45" s="616"/>
      <c r="L45" s="616"/>
    </row>
    <row r="46" spans="1:12" ht="13.5" customHeight="1" x14ac:dyDescent="0.2">
      <c r="A46" s="619" t="s">
        <v>473</v>
      </c>
      <c r="B46" s="201" t="s">
        <v>1752</v>
      </c>
      <c r="C46" s="619" t="str">
        <f>CONCATENATE(E46," - ",F46," - ",G46," - ",H46," - ",I46)</f>
        <v>Linked Statistics - Line - End B - 0 to 50 - End Ex-Force,End Ez-Force,End Ey-Moment</v>
      </c>
      <c r="D46" s="201" t="s">
        <v>1753</v>
      </c>
      <c r="E46" s="201" t="s">
        <v>474</v>
      </c>
      <c r="F46" s="619" t="str">
        <f>'2nd_Post_Processing'!$L$6</f>
        <v>Line</v>
      </c>
      <c r="G46" s="201" t="s">
        <v>446</v>
      </c>
      <c r="H46" s="375" t="s">
        <v>1923</v>
      </c>
      <c r="I46" s="201" t="s">
        <v>475</v>
      </c>
      <c r="J46" s="616"/>
    </row>
    <row r="47" spans="1:12" ht="13.5" customHeight="1" x14ac:dyDescent="0.2">
      <c r="A47" s="618"/>
      <c r="B47" s="618"/>
      <c r="C47" s="618"/>
      <c r="D47" s="618"/>
      <c r="E47" s="203" t="str">
        <f xml:space="preserve"> _xlfn.CONCAT("Load"," ",Results!C39,".sim")</f>
        <v>Load Cont1.sim</v>
      </c>
      <c r="F47" s="618"/>
      <c r="G47" s="618"/>
      <c r="H47" s="618"/>
      <c r="I47" s="618"/>
      <c r="J47" s="616"/>
    </row>
    <row r="48" spans="1:12" ht="13.5" customHeight="1" x14ac:dyDescent="0.2">
      <c r="A48" s="619" t="s">
        <v>2</v>
      </c>
      <c r="B48" s="619" t="s">
        <v>1740</v>
      </c>
      <c r="C48" s="619" t="str">
        <f>_xlfn.CONCAT(I48," - ",F48)</f>
        <v>Bend Moment - Stiffener1</v>
      </c>
      <c r="D48" s="619" t="str">
        <f>SUBSTITUTE(B48, "B", "C")</f>
        <v>C75</v>
      </c>
      <c r="E48" s="619" t="s">
        <v>463</v>
      </c>
      <c r="F48" s="619" t="str">
        <f>$L$7</f>
        <v>Stiffener1</v>
      </c>
      <c r="G48" s="619"/>
      <c r="H48" s="619" t="s">
        <v>440</v>
      </c>
      <c r="I48" s="619" t="s">
        <v>464</v>
      </c>
      <c r="J48" s="616"/>
    </row>
    <row r="49" spans="1:14" ht="13.5" customHeight="1" x14ac:dyDescent="0.2">
      <c r="A49" s="619" t="s">
        <v>2</v>
      </c>
      <c r="B49" s="619" t="s">
        <v>1741</v>
      </c>
      <c r="C49" s="619" t="str">
        <f t="shared" ref="C49" si="3">CONCATENATE(I49," - ",F49)</f>
        <v>Shear Force - Stiffener1</v>
      </c>
      <c r="D49" s="619" t="str">
        <f t="shared" ref="D49:D52" si="4">SUBSTITUTE(B49, "B", "C")</f>
        <v>C76</v>
      </c>
      <c r="E49" s="619" t="s">
        <v>463</v>
      </c>
      <c r="F49" s="619" t="str">
        <f>$L$7</f>
        <v>Stiffener1</v>
      </c>
      <c r="G49" s="619"/>
      <c r="H49" s="619" t="s">
        <v>440</v>
      </c>
      <c r="I49" s="619" t="s">
        <v>466</v>
      </c>
      <c r="J49" s="616"/>
    </row>
    <row r="50" spans="1:14" ht="13.5" customHeight="1" x14ac:dyDescent="0.2">
      <c r="A50" s="619" t="s">
        <v>2</v>
      </c>
      <c r="B50" s="619" t="s">
        <v>1742</v>
      </c>
      <c r="C50" s="619" t="str">
        <f>CONCATENATE(I50," - ",F50)</f>
        <v>Bend Radius - Stiffener1</v>
      </c>
      <c r="D50" s="619" t="str">
        <f t="shared" si="4"/>
        <v>C77</v>
      </c>
      <c r="E50" s="619" t="s">
        <v>439</v>
      </c>
      <c r="F50" s="619" t="str">
        <f>$L$7</f>
        <v>Stiffener1</v>
      </c>
      <c r="G50" s="619"/>
      <c r="H50" s="619"/>
      <c r="I50" s="619" t="s">
        <v>441</v>
      </c>
      <c r="J50" s="616"/>
    </row>
    <row r="51" spans="1:14" ht="13.5" customHeight="1" x14ac:dyDescent="0.2">
      <c r="A51" s="619" t="s">
        <v>2</v>
      </c>
      <c r="B51" s="619" t="s">
        <v>1743</v>
      </c>
      <c r="C51" s="619" t="str">
        <f>CONCATENATE(I51," - ",F51)</f>
        <v>Bend Radius - Line</v>
      </c>
      <c r="D51" s="619" t="str">
        <f t="shared" si="4"/>
        <v>C78</v>
      </c>
      <c r="E51" s="619" t="s">
        <v>439</v>
      </c>
      <c r="F51" s="619" t="str">
        <f>$L$6</f>
        <v>Line</v>
      </c>
      <c r="G51" s="619"/>
      <c r="H51" s="619"/>
      <c r="I51" s="619" t="s">
        <v>441</v>
      </c>
      <c r="J51" s="616"/>
    </row>
    <row r="52" spans="1:14" ht="13.5" customHeight="1" x14ac:dyDescent="0.2">
      <c r="A52" s="619" t="s">
        <v>2</v>
      </c>
      <c r="B52" s="619" t="s">
        <v>1744</v>
      </c>
      <c r="C52" s="619" t="str">
        <f>CONCATENATE(I52," - ",F52)</f>
        <v>End Ey-Moment - Line</v>
      </c>
      <c r="D52" s="619" t="str">
        <f t="shared" si="4"/>
        <v>C79</v>
      </c>
      <c r="E52" s="619" t="s">
        <v>445</v>
      </c>
      <c r="F52" s="619" t="str">
        <f>$L$6</f>
        <v>Line</v>
      </c>
      <c r="G52" s="619" t="s">
        <v>446</v>
      </c>
      <c r="H52" s="619"/>
      <c r="I52" s="619" t="s">
        <v>449</v>
      </c>
      <c r="J52" s="624">
        <f>Auxiliar3!X2</f>
        <v>0</v>
      </c>
    </row>
    <row r="53" spans="1:14" ht="13.5" customHeight="1" x14ac:dyDescent="0.2">
      <c r="A53" s="619" t="s">
        <v>481</v>
      </c>
      <c r="B53" s="619" t="s">
        <v>482</v>
      </c>
      <c r="C53" s="619" t="str">
        <f>CONCATENATE(I53," - ",F53)</f>
        <v>NumberOfAttachments - Line</v>
      </c>
      <c r="D53" s="619" t="s">
        <v>483</v>
      </c>
      <c r="E53" s="619" t="s">
        <v>442</v>
      </c>
      <c r="F53" s="619" t="str">
        <f>$L$6</f>
        <v>Line</v>
      </c>
      <c r="G53" s="205"/>
      <c r="H53" s="205"/>
      <c r="I53" s="619" t="s">
        <v>469</v>
      </c>
      <c r="J53" s="616"/>
    </row>
    <row r="54" spans="1:14" ht="13.5" customHeight="1" x14ac:dyDescent="0.2">
      <c r="A54" s="619" t="s">
        <v>481</v>
      </c>
      <c r="B54" s="619" t="s">
        <v>484</v>
      </c>
      <c r="C54" s="619" t="str">
        <f>CONCATENATE(I54," - ",F54)</f>
        <v>Attachmentz[] - Line</v>
      </c>
      <c r="D54" s="619" t="s">
        <v>485</v>
      </c>
      <c r="E54" s="619" t="s">
        <v>442</v>
      </c>
      <c r="F54" s="619" t="str">
        <f>$L$6</f>
        <v>Line</v>
      </c>
      <c r="G54" s="619"/>
      <c r="H54" s="619"/>
      <c r="I54" s="619" t="str">
        <f>CONCATENATE("Attachmentz[",Auxiliar3!X2,"]")</f>
        <v>Attachmentz[]</v>
      </c>
      <c r="J54" s="616"/>
    </row>
    <row r="55" spans="1:14" ht="13.5" customHeight="1" x14ac:dyDescent="0.2">
      <c r="A55" s="618"/>
      <c r="B55" s="618"/>
      <c r="C55" s="618"/>
      <c r="D55" s="618"/>
      <c r="E55" s="203" t="str">
        <f xml:space="preserve"> _xlfn.CONCAT("Load"," ",Results!C40,".sim")</f>
        <v>Load Cont2.sim</v>
      </c>
      <c r="F55" s="618"/>
      <c r="G55" s="618"/>
      <c r="H55" s="618"/>
      <c r="I55" s="618"/>
      <c r="J55" s="616"/>
    </row>
    <row r="56" spans="1:14" ht="13.5" customHeight="1" x14ac:dyDescent="0.2">
      <c r="A56" s="619" t="s">
        <v>2</v>
      </c>
      <c r="B56" s="619" t="s">
        <v>1745</v>
      </c>
      <c r="C56" s="619" t="str">
        <f>CONCATENATE(I56," - ",F56)</f>
        <v>Bend Moment - Stiffener1</v>
      </c>
      <c r="D56" s="619" t="str">
        <f>SUBSTITUTE(B56, "H", "I")</f>
        <v>I75</v>
      </c>
      <c r="E56" s="619" t="s">
        <v>463</v>
      </c>
      <c r="F56" s="619" t="str">
        <f>'2nd_Post_Processing'!$L$7</f>
        <v>Stiffener1</v>
      </c>
      <c r="G56" s="619"/>
      <c r="H56" s="619" t="s">
        <v>440</v>
      </c>
      <c r="I56" s="619" t="s">
        <v>464</v>
      </c>
      <c r="J56" s="616"/>
    </row>
    <row r="57" spans="1:14" ht="13.5" customHeight="1" x14ac:dyDescent="0.2">
      <c r="A57" s="619" t="s">
        <v>2</v>
      </c>
      <c r="B57" s="619" t="s">
        <v>1746</v>
      </c>
      <c r="C57" s="619" t="str">
        <f t="shared" ref="C57:C62" si="5">CONCATENATE(I57," - ",F57)</f>
        <v>Shear Force - Stiffener1</v>
      </c>
      <c r="D57" s="619" t="str">
        <f t="shared" ref="D57:D60" si="6">SUBSTITUTE(B57, "H", "I")</f>
        <v>I76</v>
      </c>
      <c r="E57" s="619" t="s">
        <v>463</v>
      </c>
      <c r="F57" s="619" t="str">
        <f>'2nd_Post_Processing'!$L$7</f>
        <v>Stiffener1</v>
      </c>
      <c r="G57" s="619"/>
      <c r="H57" s="619" t="s">
        <v>440</v>
      </c>
      <c r="I57" s="619" t="s">
        <v>466</v>
      </c>
      <c r="J57" s="616"/>
    </row>
    <row r="58" spans="1:14" ht="13.5" customHeight="1" x14ac:dyDescent="0.2">
      <c r="A58" s="619" t="s">
        <v>2</v>
      </c>
      <c r="B58" s="619" t="s">
        <v>1747</v>
      </c>
      <c r="C58" s="619" t="str">
        <f t="shared" si="5"/>
        <v>Bend Radius - Stiffener1</v>
      </c>
      <c r="D58" s="619" t="str">
        <f t="shared" si="6"/>
        <v>I77</v>
      </c>
      <c r="E58" s="619" t="s">
        <v>439</v>
      </c>
      <c r="F58" s="619" t="str">
        <f>'2nd_Post_Processing'!$L$7</f>
        <v>Stiffener1</v>
      </c>
      <c r="G58" s="619"/>
      <c r="H58" s="619" t="s">
        <v>440</v>
      </c>
      <c r="I58" s="619" t="s">
        <v>441</v>
      </c>
      <c r="J58" s="616"/>
      <c r="K58" s="625"/>
      <c r="L58" s="625"/>
    </row>
    <row r="59" spans="1:14" ht="13.5" customHeight="1" x14ac:dyDescent="0.2">
      <c r="A59" s="619" t="s">
        <v>2</v>
      </c>
      <c r="B59" s="619" t="s">
        <v>1748</v>
      </c>
      <c r="C59" s="619" t="str">
        <f>_xlfn.CONCAT(I59," - ",F59)</f>
        <v>Bend Radius - Line</v>
      </c>
      <c r="D59" s="619" t="str">
        <f t="shared" si="6"/>
        <v>I78</v>
      </c>
      <c r="E59" s="619" t="s">
        <v>439</v>
      </c>
      <c r="F59" s="619" t="str">
        <f>'2nd_Post_Processing'!$L$6</f>
        <v>Line</v>
      </c>
      <c r="G59" s="619"/>
      <c r="H59" s="619" t="s">
        <v>440</v>
      </c>
      <c r="I59" s="619" t="s">
        <v>441</v>
      </c>
      <c r="J59" s="616"/>
      <c r="K59" s="625"/>
      <c r="L59" s="625"/>
    </row>
    <row r="60" spans="1:14" ht="13.5" customHeight="1" x14ac:dyDescent="0.2">
      <c r="A60" s="619" t="s">
        <v>2</v>
      </c>
      <c r="B60" s="619" t="s">
        <v>1749</v>
      </c>
      <c r="C60" s="619" t="str">
        <f t="shared" ref="C60" si="7">CONCATENATE(I60," - ",F60)</f>
        <v>End Ey-Moment - Line</v>
      </c>
      <c r="D60" s="619" t="str">
        <f t="shared" si="6"/>
        <v>I79</v>
      </c>
      <c r="E60" s="619" t="s">
        <v>445</v>
      </c>
      <c r="F60" s="619" t="str">
        <f>'2nd_Post_Processing'!$L$6</f>
        <v>Line</v>
      </c>
      <c r="G60" s="619" t="s">
        <v>446</v>
      </c>
      <c r="H60" s="619"/>
      <c r="I60" s="619" t="s">
        <v>449</v>
      </c>
      <c r="J60" s="626">
        <f>Auxiliar4!X2</f>
        <v>0</v>
      </c>
      <c r="K60" s="627"/>
      <c r="L60" s="627"/>
    </row>
    <row r="61" spans="1:14" ht="13.5" customHeight="1" x14ac:dyDescent="0.2">
      <c r="A61" s="619" t="s">
        <v>486</v>
      </c>
      <c r="B61" s="619" t="s">
        <v>482</v>
      </c>
      <c r="C61" s="619" t="str">
        <f>_xlfn.CONCAT(I61," - ",F61)</f>
        <v>NumberOfAttachments - Line</v>
      </c>
      <c r="D61" s="619" t="s">
        <v>483</v>
      </c>
      <c r="E61" s="619" t="s">
        <v>442</v>
      </c>
      <c r="F61" s="619" t="str">
        <f>$L$6</f>
        <v>Line</v>
      </c>
      <c r="G61" s="205"/>
      <c r="H61" s="205"/>
      <c r="I61" s="619" t="s">
        <v>469</v>
      </c>
      <c r="J61" s="772"/>
      <c r="K61" s="772"/>
      <c r="L61" s="772"/>
      <c r="M61" s="772"/>
      <c r="N61" s="772"/>
    </row>
    <row r="62" spans="1:14" ht="13.5" customHeight="1" x14ac:dyDescent="0.2">
      <c r="A62" s="622" t="s">
        <v>486</v>
      </c>
      <c r="B62" s="619" t="s">
        <v>484</v>
      </c>
      <c r="C62" s="622" t="str">
        <f t="shared" si="5"/>
        <v>Attachmentz[] - Line</v>
      </c>
      <c r="D62" s="619" t="s">
        <v>485</v>
      </c>
      <c r="E62" s="622" t="s">
        <v>442</v>
      </c>
      <c r="F62" s="622" t="str">
        <f>$L$6</f>
        <v>Line</v>
      </c>
      <c r="G62" s="622"/>
      <c r="H62" s="622"/>
      <c r="I62" s="622" t="str">
        <f>CONCATENATE("Attachmentz[",Auxiliar4!X2,"]")</f>
        <v>Attachmentz[]</v>
      </c>
      <c r="J62" s="628">
        <f t="shared" ref="J62" si="8">IFERROR(IF(J61="",J$23+1,IF(J61=J$60,"j",J61+1)),"jj")</f>
        <v>1</v>
      </c>
      <c r="K62" s="628" t="str">
        <f>IF((J62="jj"),IFERROR(IF(K61="",J$23+1,IF(K61=J$52,"k",K61+1)),"kk"),"")</f>
        <v/>
      </c>
      <c r="L62" s="628" t="str">
        <f>IF((K62="kk"),IFERROR(IF(L61="",2,IF(L61=J$23,"l",L61+1)),"ll"),"")</f>
        <v/>
      </c>
      <c r="M62" s="628" t="str">
        <f>IF(OR(L62="l",L62="ll"),IFERROR(IF(M61="",2,IF(M61=J$23,"m",M61+1)),"mm"),"")</f>
        <v/>
      </c>
      <c r="N62" s="628">
        <f>IF(ISNUMBER(M62),"z",IF(ISNUMBER(L62),L62,IF(ISNUMBER(K62),K62,IF(ISNUMBER(J62),J62,""))))</f>
        <v>1</v>
      </c>
    </row>
    <row r="63" spans="1:14" ht="13.5" customHeight="1" x14ac:dyDescent="0.2">
      <c r="A63" s="624" t="str">
        <f>IF(N62="","",IF(ISNUMBER(J62),"Auxiliar4",IF(ISNUMBER(K62),"Auxiliar3",IF(ISNUMBER(L62),"Auxiliar2",IF(ISNUMBER(M62),"Auxiliar2")))))</f>
        <v>Auxiliar4</v>
      </c>
      <c r="B63" s="624"/>
      <c r="C63" s="622"/>
      <c r="D63" s="624" t="str">
        <f>IF(N62="z",CONCATENATE("AB",M62),IF(N62="","",CONCATENATE("AA",N62)))</f>
        <v>AA1</v>
      </c>
      <c r="E63" s="624" t="str">
        <f>IF(N62="",IF(J62="j",_xlfn.CONCAT("Load"," ",Results!$C$39,".sim"),IF(K62="k",_xlfn.CONCAT("Load"," ",Results!$C$31,".sim"),"")),"Get Data")</f>
        <v>Get Data</v>
      </c>
      <c r="F63" s="624" t="str">
        <f t="shared" ref="F63:F94" si="9">IF(N62="","",$L$6)</f>
        <v>Line</v>
      </c>
      <c r="G63" s="624"/>
      <c r="H63" s="624"/>
      <c r="I63" s="624" t="str">
        <f>IF(N62="z",CONCATENATE("attachmentz[",M62,"]"),IF(N62="","",CONCATENATE("attachmenttype[",N62,"]")))</f>
        <v>attachmenttype[1]</v>
      </c>
      <c r="J63" s="628">
        <f t="shared" ref="J63:J66" si="10">IFERROR(IF(J62="",J$23+1,IF(J62=J$60,"j",J62+1)),"jj")</f>
        <v>2</v>
      </c>
      <c r="K63" s="628" t="str">
        <f t="shared" ref="K63:K66" si="11">IF((J63="jj"),IFERROR(IF(K62="",J$23+1,IF(K62=J$52,"k",K62+1)),"kk"),"")</f>
        <v/>
      </c>
      <c r="L63" s="628" t="str">
        <f t="shared" ref="L63:L66" si="12">IF((K63="kk"),IFERROR(IF(L62="",2,IF(L62=J$23,"l",L62+1)),"ll"),"")</f>
        <v/>
      </c>
      <c r="M63" s="628" t="str">
        <f t="shared" ref="M63:M66" si="13">IF(OR(L63="l",L63="ll"),IFERROR(IF(M62="",2,IF(M62=J$23,"m",M62+1)),"mm"),"")</f>
        <v/>
      </c>
      <c r="N63" s="628">
        <f t="shared" ref="N63:N66" si="14">IF(ISNUMBER(M63),"z",IF(ISNUMBER(L63),L63,IF(ISNUMBER(K63),K63,IF(ISNUMBER(J63),J63,""))))</f>
        <v>2</v>
      </c>
    </row>
    <row r="64" spans="1:14" ht="13.5" customHeight="1" x14ac:dyDescent="0.2">
      <c r="A64" s="624" t="str">
        <f t="shared" ref="A64:A114" si="15">IF(N63="","",IF(ISNUMBER(J63),"Auxiliar4",IF(ISNUMBER(K63),"Auxiliar3",IF(ISNUMBER(L63),"Auxiliar2",IF(ISNUMBER(M63),"Auxiliar2")))))</f>
        <v>Auxiliar4</v>
      </c>
      <c r="B64" s="624"/>
      <c r="C64" s="624"/>
      <c r="D64" s="624" t="str">
        <f t="shared" ref="D64:D114" si="16">IF(N63="z",CONCATENATE("AB",M63),IF(N63="","",CONCATENATE("AA",N63)))</f>
        <v>AA2</v>
      </c>
      <c r="E64" s="624" t="str">
        <f>IF(N63="",IF(J63="j",_xlfn.CONCAT("Load"," ",Results!$C$39,".sim"),IF(K63="k",_xlfn.CONCAT("Load"," ",Results!$C$31,".sim"),"")),"Get Data")</f>
        <v>Get Data</v>
      </c>
      <c r="F64" s="624" t="str">
        <f t="shared" si="9"/>
        <v>Line</v>
      </c>
      <c r="G64" s="624"/>
      <c r="H64" s="624"/>
      <c r="I64" s="624" t="str">
        <f t="shared" ref="I64:I114" si="17">IF(N63="z",CONCATENATE("attachmentz[",M63,"]"),IF(N63="","",CONCATENATE("attachmenttype[",N63,"]")))</f>
        <v>attachmenttype[2]</v>
      </c>
      <c r="J64" s="628">
        <f t="shared" si="10"/>
        <v>3</v>
      </c>
      <c r="K64" s="628" t="str">
        <f t="shared" si="11"/>
        <v/>
      </c>
      <c r="L64" s="628" t="str">
        <f t="shared" si="12"/>
        <v/>
      </c>
      <c r="M64" s="628" t="str">
        <f t="shared" si="13"/>
        <v/>
      </c>
      <c r="N64" s="628">
        <f t="shared" si="14"/>
        <v>3</v>
      </c>
    </row>
    <row r="65" spans="1:14" ht="13.5" customHeight="1" x14ac:dyDescent="0.2">
      <c r="A65" s="624" t="str">
        <f t="shared" si="15"/>
        <v>Auxiliar4</v>
      </c>
      <c r="B65" s="624"/>
      <c r="C65" s="624"/>
      <c r="D65" s="624" t="str">
        <f t="shared" si="16"/>
        <v>AA3</v>
      </c>
      <c r="E65" s="624" t="str">
        <f>IF(N64="",IF(J64="j",_xlfn.CONCAT("Load"," ",Results!$C$39,".sim"),IF(K64="k",_xlfn.CONCAT("Load"," ",Results!$C$31,".sim"),"")),"Get Data")</f>
        <v>Get Data</v>
      </c>
      <c r="F65" s="624" t="str">
        <f t="shared" si="9"/>
        <v>Line</v>
      </c>
      <c r="G65" s="624"/>
      <c r="H65" s="624"/>
      <c r="I65" s="624" t="str">
        <f t="shared" si="17"/>
        <v>attachmenttype[3]</v>
      </c>
      <c r="J65" s="628">
        <f t="shared" si="10"/>
        <v>4</v>
      </c>
      <c r="K65" s="628" t="str">
        <f t="shared" si="11"/>
        <v/>
      </c>
      <c r="L65" s="628" t="str">
        <f t="shared" si="12"/>
        <v/>
      </c>
      <c r="M65" s="628" t="str">
        <f t="shared" si="13"/>
        <v/>
      </c>
      <c r="N65" s="628">
        <f t="shared" si="14"/>
        <v>4</v>
      </c>
    </row>
    <row r="66" spans="1:14" ht="13.5" customHeight="1" x14ac:dyDescent="0.2">
      <c r="A66" s="624" t="str">
        <f t="shared" si="15"/>
        <v>Auxiliar4</v>
      </c>
      <c r="B66" s="624"/>
      <c r="C66" s="624"/>
      <c r="D66" s="624" t="str">
        <f t="shared" si="16"/>
        <v>AA4</v>
      </c>
      <c r="E66" s="624" t="str">
        <f>IF(N65="",IF(J65="j",_xlfn.CONCAT("Load"," ",Results!$C$39,".sim"),IF(K65="k",_xlfn.CONCAT("Load"," ",Results!$C$31,".sim"),"")),"Get Data")</f>
        <v>Get Data</v>
      </c>
      <c r="F66" s="624" t="str">
        <f t="shared" si="9"/>
        <v>Line</v>
      </c>
      <c r="G66" s="624"/>
      <c r="H66" s="624"/>
      <c r="I66" s="624" t="str">
        <f t="shared" si="17"/>
        <v>attachmenttype[4]</v>
      </c>
      <c r="J66" s="628">
        <f t="shared" si="10"/>
        <v>5</v>
      </c>
      <c r="K66" s="628" t="str">
        <f t="shared" si="11"/>
        <v/>
      </c>
      <c r="L66" s="628" t="str">
        <f t="shared" si="12"/>
        <v/>
      </c>
      <c r="M66" s="628" t="str">
        <f t="shared" si="13"/>
        <v/>
      </c>
      <c r="N66" s="628">
        <f t="shared" si="14"/>
        <v>5</v>
      </c>
    </row>
    <row r="67" spans="1:14" ht="13.5" customHeight="1" x14ac:dyDescent="0.2">
      <c r="A67" s="624" t="str">
        <f t="shared" si="15"/>
        <v>Auxiliar4</v>
      </c>
      <c r="B67" s="624"/>
      <c r="C67" s="624"/>
      <c r="D67" s="624" t="str">
        <f t="shared" si="16"/>
        <v>AA5</v>
      </c>
      <c r="E67" s="624" t="str">
        <f>IF(N66="",IF(J66="j",_xlfn.CONCAT("Load"," ",Results!$C$39,".sim"),IF(K66="k",_xlfn.CONCAT("Load"," ",Results!$C$31,".sim"),"")),"Get Data")</f>
        <v>Get Data</v>
      </c>
      <c r="F67" s="624" t="str">
        <f t="shared" si="9"/>
        <v>Line</v>
      </c>
      <c r="G67" s="624"/>
      <c r="H67" s="624"/>
      <c r="I67" s="624" t="str">
        <f t="shared" si="17"/>
        <v>attachmenttype[5]</v>
      </c>
      <c r="J67" s="628">
        <f t="shared" ref="J67:J113" si="18">IFERROR(IF(J66="",J$23+1,IF(J66=J$60,"j",J66+1)),"jj")</f>
        <v>6</v>
      </c>
      <c r="K67" s="628" t="str">
        <f t="shared" ref="K67:K113" si="19">IF((J67="jj"),IFERROR(IF(K66="",J$23+1,IF(K66=J$52,"k",K66+1)),"kk"),"")</f>
        <v/>
      </c>
      <c r="L67" s="628" t="str">
        <f t="shared" ref="L67:L113" si="20">IF((K67="kk"),IFERROR(IF(L66="",2,IF(L66=J$23,"l",L66+1)),"ll"),"")</f>
        <v/>
      </c>
      <c r="M67" s="628" t="str">
        <f t="shared" ref="M67:M113" si="21">IF(OR(L67="l",L67="ll"),IFERROR(IF(M66="",2,IF(M66=J$23,"m",M66+1)),"mm"),"")</f>
        <v/>
      </c>
      <c r="N67" s="628">
        <f t="shared" ref="N67:N113" si="22">IF(ISNUMBER(M67),"z",IF(ISNUMBER(L67),L67,IF(ISNUMBER(K67),K67,IF(ISNUMBER(J67),J67,""))))</f>
        <v>6</v>
      </c>
    </row>
    <row r="68" spans="1:14" ht="13.5" customHeight="1" x14ac:dyDescent="0.2">
      <c r="A68" s="624" t="str">
        <f t="shared" si="15"/>
        <v>Auxiliar4</v>
      </c>
      <c r="B68" s="624"/>
      <c r="C68" s="624"/>
      <c r="D68" s="624" t="str">
        <f t="shared" si="16"/>
        <v>AA6</v>
      </c>
      <c r="E68" s="624" t="str">
        <f>IF(N67="",IF(J67="j",_xlfn.CONCAT("Load"," ",Results!$C$39,".sim"),IF(K67="k",_xlfn.CONCAT("Load"," ",Results!$C$31,".sim"),"")),"Get Data")</f>
        <v>Get Data</v>
      </c>
      <c r="F68" s="624" t="str">
        <f t="shared" si="9"/>
        <v>Line</v>
      </c>
      <c r="G68" s="624"/>
      <c r="H68" s="624"/>
      <c r="I68" s="624" t="str">
        <f t="shared" si="17"/>
        <v>attachmenttype[6]</v>
      </c>
      <c r="J68" s="628">
        <f t="shared" si="18"/>
        <v>7</v>
      </c>
      <c r="K68" s="628" t="str">
        <f t="shared" si="19"/>
        <v/>
      </c>
      <c r="L68" s="628" t="str">
        <f t="shared" si="20"/>
        <v/>
      </c>
      <c r="M68" s="628" t="str">
        <f t="shared" si="21"/>
        <v/>
      </c>
      <c r="N68" s="628">
        <f t="shared" si="22"/>
        <v>7</v>
      </c>
    </row>
    <row r="69" spans="1:14" ht="13.5" customHeight="1" x14ac:dyDescent="0.2">
      <c r="A69" s="624" t="str">
        <f t="shared" si="15"/>
        <v>Auxiliar4</v>
      </c>
      <c r="B69" s="624"/>
      <c r="C69" s="624"/>
      <c r="D69" s="624" t="str">
        <f t="shared" si="16"/>
        <v>AA7</v>
      </c>
      <c r="E69" s="624" t="str">
        <f>IF(N68="",IF(J68="j",_xlfn.CONCAT("Load"," ",Results!$C$39,".sim"),IF(K68="k",_xlfn.CONCAT("Load"," ",Results!$C$31,".sim"),"")),"Get Data")</f>
        <v>Get Data</v>
      </c>
      <c r="F69" s="624" t="str">
        <f t="shared" si="9"/>
        <v>Line</v>
      </c>
      <c r="G69" s="624"/>
      <c r="H69" s="624"/>
      <c r="I69" s="624" t="str">
        <f t="shared" si="17"/>
        <v>attachmenttype[7]</v>
      </c>
      <c r="J69" s="628">
        <f t="shared" si="18"/>
        <v>8</v>
      </c>
      <c r="K69" s="628" t="str">
        <f t="shared" si="19"/>
        <v/>
      </c>
      <c r="L69" s="628" t="str">
        <f t="shared" si="20"/>
        <v/>
      </c>
      <c r="M69" s="628" t="str">
        <f t="shared" si="21"/>
        <v/>
      </c>
      <c r="N69" s="628">
        <f t="shared" si="22"/>
        <v>8</v>
      </c>
    </row>
    <row r="70" spans="1:14" ht="13.5" customHeight="1" x14ac:dyDescent="0.2">
      <c r="A70" s="624" t="str">
        <f t="shared" si="15"/>
        <v>Auxiliar4</v>
      </c>
      <c r="B70" s="624"/>
      <c r="C70" s="624"/>
      <c r="D70" s="624" t="str">
        <f t="shared" si="16"/>
        <v>AA8</v>
      </c>
      <c r="E70" s="624" t="str">
        <f>IF(N69="",IF(J69="j",_xlfn.CONCAT("Load"," ",Results!$C$39,".sim"),IF(K69="k",_xlfn.CONCAT("Load"," ",Results!$C$31,".sim"),"")),"Get Data")</f>
        <v>Get Data</v>
      </c>
      <c r="F70" s="624" t="str">
        <f t="shared" si="9"/>
        <v>Line</v>
      </c>
      <c r="G70" s="624"/>
      <c r="H70" s="624"/>
      <c r="I70" s="624" t="str">
        <f t="shared" si="17"/>
        <v>attachmenttype[8]</v>
      </c>
      <c r="J70" s="628">
        <f t="shared" si="18"/>
        <v>9</v>
      </c>
      <c r="K70" s="628" t="str">
        <f t="shared" si="19"/>
        <v/>
      </c>
      <c r="L70" s="628" t="str">
        <f t="shared" si="20"/>
        <v/>
      </c>
      <c r="M70" s="628" t="str">
        <f t="shared" si="21"/>
        <v/>
      </c>
      <c r="N70" s="628">
        <f t="shared" si="22"/>
        <v>9</v>
      </c>
    </row>
    <row r="71" spans="1:14" ht="13.5" customHeight="1" x14ac:dyDescent="0.2">
      <c r="A71" s="624" t="str">
        <f t="shared" si="15"/>
        <v>Auxiliar4</v>
      </c>
      <c r="B71" s="624"/>
      <c r="C71" s="624"/>
      <c r="D71" s="624" t="str">
        <f t="shared" si="16"/>
        <v>AA9</v>
      </c>
      <c r="E71" s="624" t="str">
        <f>IF(N70="",IF(J70="j",_xlfn.CONCAT("Load"," ",Results!$C$39,".sim"),IF(K70="k",_xlfn.CONCAT("Load"," ",Results!$C$31,".sim"),"")),"Get Data")</f>
        <v>Get Data</v>
      </c>
      <c r="F71" s="624" t="str">
        <f t="shared" si="9"/>
        <v>Line</v>
      </c>
      <c r="G71" s="624"/>
      <c r="H71" s="624"/>
      <c r="I71" s="624" t="str">
        <f t="shared" si="17"/>
        <v>attachmenttype[9]</v>
      </c>
      <c r="J71" s="628">
        <f t="shared" si="18"/>
        <v>10</v>
      </c>
      <c r="K71" s="628" t="str">
        <f t="shared" si="19"/>
        <v/>
      </c>
      <c r="L71" s="628" t="str">
        <f t="shared" si="20"/>
        <v/>
      </c>
      <c r="M71" s="628" t="str">
        <f t="shared" si="21"/>
        <v/>
      </c>
      <c r="N71" s="628">
        <f t="shared" si="22"/>
        <v>10</v>
      </c>
    </row>
    <row r="72" spans="1:14" ht="13.5" customHeight="1" x14ac:dyDescent="0.2">
      <c r="A72" s="624" t="str">
        <f t="shared" si="15"/>
        <v>Auxiliar4</v>
      </c>
      <c r="B72" s="624"/>
      <c r="C72" s="624"/>
      <c r="D72" s="624" t="str">
        <f t="shared" si="16"/>
        <v>AA10</v>
      </c>
      <c r="E72" s="624" t="str">
        <f>IF(N71="",IF(J71="j",_xlfn.CONCAT("Load"," ",Results!$C$39,".sim"),IF(K71="k",_xlfn.CONCAT("Load"," ",Results!$C$31,".sim"),"")),"Get Data")</f>
        <v>Get Data</v>
      </c>
      <c r="F72" s="624" t="str">
        <f t="shared" si="9"/>
        <v>Line</v>
      </c>
      <c r="G72" s="624"/>
      <c r="H72" s="624"/>
      <c r="I72" s="624" t="str">
        <f t="shared" si="17"/>
        <v>attachmenttype[10]</v>
      </c>
      <c r="J72" s="628">
        <f t="shared" si="18"/>
        <v>11</v>
      </c>
      <c r="K72" s="628" t="str">
        <f t="shared" si="19"/>
        <v/>
      </c>
      <c r="L72" s="628" t="str">
        <f t="shared" si="20"/>
        <v/>
      </c>
      <c r="M72" s="628" t="str">
        <f t="shared" si="21"/>
        <v/>
      </c>
      <c r="N72" s="628">
        <f t="shared" si="22"/>
        <v>11</v>
      </c>
    </row>
    <row r="73" spans="1:14" ht="13.5" customHeight="1" x14ac:dyDescent="0.2">
      <c r="A73" s="624" t="str">
        <f t="shared" si="15"/>
        <v>Auxiliar4</v>
      </c>
      <c r="B73" s="624"/>
      <c r="C73" s="624"/>
      <c r="D73" s="624" t="str">
        <f t="shared" si="16"/>
        <v>AA11</v>
      </c>
      <c r="E73" s="624" t="str">
        <f>IF(N72="",IF(J72="j",_xlfn.CONCAT("Load"," ",Results!$C$39,".sim"),IF(K72="k",_xlfn.CONCAT("Load"," ",Results!$C$31,".sim"),"")),"Get Data")</f>
        <v>Get Data</v>
      </c>
      <c r="F73" s="624" t="str">
        <f t="shared" si="9"/>
        <v>Line</v>
      </c>
      <c r="G73" s="624"/>
      <c r="H73" s="624"/>
      <c r="I73" s="624" t="str">
        <f t="shared" si="17"/>
        <v>attachmenttype[11]</v>
      </c>
      <c r="J73" s="628">
        <f t="shared" si="18"/>
        <v>12</v>
      </c>
      <c r="K73" s="628" t="str">
        <f t="shared" si="19"/>
        <v/>
      </c>
      <c r="L73" s="628" t="str">
        <f t="shared" si="20"/>
        <v/>
      </c>
      <c r="M73" s="628" t="str">
        <f t="shared" si="21"/>
        <v/>
      </c>
      <c r="N73" s="628">
        <f t="shared" si="22"/>
        <v>12</v>
      </c>
    </row>
    <row r="74" spans="1:14" ht="13.5" customHeight="1" x14ac:dyDescent="0.2">
      <c r="A74" s="624" t="str">
        <f t="shared" si="15"/>
        <v>Auxiliar4</v>
      </c>
      <c r="B74" s="624"/>
      <c r="C74" s="624"/>
      <c r="D74" s="624" t="str">
        <f t="shared" si="16"/>
        <v>AA12</v>
      </c>
      <c r="E74" s="624" t="str">
        <f>IF(N73="",IF(J73="j",_xlfn.CONCAT("Load"," ",Results!$C$39,".sim"),IF(K73="k",_xlfn.CONCAT("Load"," ",Results!$C$31,".sim"),"")),"Get Data")</f>
        <v>Get Data</v>
      </c>
      <c r="F74" s="624" t="str">
        <f t="shared" si="9"/>
        <v>Line</v>
      </c>
      <c r="G74" s="624"/>
      <c r="H74" s="624"/>
      <c r="I74" s="624" t="str">
        <f t="shared" si="17"/>
        <v>attachmenttype[12]</v>
      </c>
      <c r="J74" s="628">
        <f t="shared" si="18"/>
        <v>13</v>
      </c>
      <c r="K74" s="628" t="str">
        <f t="shared" si="19"/>
        <v/>
      </c>
      <c r="L74" s="628" t="str">
        <f t="shared" si="20"/>
        <v/>
      </c>
      <c r="M74" s="628" t="str">
        <f t="shared" si="21"/>
        <v/>
      </c>
      <c r="N74" s="628">
        <f t="shared" si="22"/>
        <v>13</v>
      </c>
    </row>
    <row r="75" spans="1:14" ht="13.5" customHeight="1" x14ac:dyDescent="0.2">
      <c r="A75" s="624" t="str">
        <f t="shared" si="15"/>
        <v>Auxiliar4</v>
      </c>
      <c r="B75" s="624"/>
      <c r="C75" s="624"/>
      <c r="D75" s="624" t="str">
        <f t="shared" si="16"/>
        <v>AA13</v>
      </c>
      <c r="E75" s="624" t="str">
        <f>IF(N74="",IF(J74="j",_xlfn.CONCAT("Load"," ",Results!$C$39,".sim"),IF(K74="k",_xlfn.CONCAT("Load"," ",Results!$C$31,".sim"),"")),"Get Data")</f>
        <v>Get Data</v>
      </c>
      <c r="F75" s="624" t="str">
        <f t="shared" si="9"/>
        <v>Line</v>
      </c>
      <c r="G75" s="624"/>
      <c r="H75" s="624"/>
      <c r="I75" s="624" t="str">
        <f t="shared" si="17"/>
        <v>attachmenttype[13]</v>
      </c>
      <c r="J75" s="628">
        <f t="shared" si="18"/>
        <v>14</v>
      </c>
      <c r="K75" s="628" t="str">
        <f t="shared" si="19"/>
        <v/>
      </c>
      <c r="L75" s="628" t="str">
        <f t="shared" si="20"/>
        <v/>
      </c>
      <c r="M75" s="628" t="str">
        <f t="shared" si="21"/>
        <v/>
      </c>
      <c r="N75" s="628">
        <f t="shared" si="22"/>
        <v>14</v>
      </c>
    </row>
    <row r="76" spans="1:14" ht="13.5" customHeight="1" x14ac:dyDescent="0.2">
      <c r="A76" s="624" t="str">
        <f t="shared" si="15"/>
        <v>Auxiliar4</v>
      </c>
      <c r="B76" s="624"/>
      <c r="C76" s="624"/>
      <c r="D76" s="624" t="str">
        <f t="shared" si="16"/>
        <v>AA14</v>
      </c>
      <c r="E76" s="624" t="str">
        <f>IF(N75="",IF(J75="j",_xlfn.CONCAT("Load"," ",Results!$C$39,".sim"),IF(K75="k",_xlfn.CONCAT("Load"," ",Results!$C$31,".sim"),"")),"Get Data")</f>
        <v>Get Data</v>
      </c>
      <c r="F76" s="624" t="str">
        <f t="shared" si="9"/>
        <v>Line</v>
      </c>
      <c r="G76" s="624"/>
      <c r="H76" s="624"/>
      <c r="I76" s="624" t="str">
        <f t="shared" si="17"/>
        <v>attachmenttype[14]</v>
      </c>
      <c r="J76" s="628">
        <f t="shared" si="18"/>
        <v>15</v>
      </c>
      <c r="K76" s="628" t="str">
        <f t="shared" si="19"/>
        <v/>
      </c>
      <c r="L76" s="628" t="str">
        <f t="shared" si="20"/>
        <v/>
      </c>
      <c r="M76" s="628" t="str">
        <f t="shared" si="21"/>
        <v/>
      </c>
      <c r="N76" s="628">
        <f t="shared" si="22"/>
        <v>15</v>
      </c>
    </row>
    <row r="77" spans="1:14" ht="13.5" customHeight="1" x14ac:dyDescent="0.2">
      <c r="A77" s="624" t="str">
        <f t="shared" si="15"/>
        <v>Auxiliar4</v>
      </c>
      <c r="B77" s="624"/>
      <c r="C77" s="624"/>
      <c r="D77" s="624" t="str">
        <f t="shared" si="16"/>
        <v>AA15</v>
      </c>
      <c r="E77" s="624" t="str">
        <f>IF(N76="",IF(J76="j",_xlfn.CONCAT("Load"," ",Results!$C$39,".sim"),IF(K76="k",_xlfn.CONCAT("Load"," ",Results!$C$31,".sim"),"")),"Get Data")</f>
        <v>Get Data</v>
      </c>
      <c r="F77" s="624" t="str">
        <f t="shared" si="9"/>
        <v>Line</v>
      </c>
      <c r="G77" s="624"/>
      <c r="H77" s="624"/>
      <c r="I77" s="624" t="str">
        <f t="shared" si="17"/>
        <v>attachmenttype[15]</v>
      </c>
      <c r="J77" s="628">
        <f t="shared" si="18"/>
        <v>16</v>
      </c>
      <c r="K77" s="628" t="str">
        <f t="shared" si="19"/>
        <v/>
      </c>
      <c r="L77" s="628" t="str">
        <f t="shared" si="20"/>
        <v/>
      </c>
      <c r="M77" s="628" t="str">
        <f t="shared" si="21"/>
        <v/>
      </c>
      <c r="N77" s="628">
        <f t="shared" si="22"/>
        <v>16</v>
      </c>
    </row>
    <row r="78" spans="1:14" ht="13.5" customHeight="1" x14ac:dyDescent="0.2">
      <c r="A78" s="624" t="str">
        <f t="shared" si="15"/>
        <v>Auxiliar4</v>
      </c>
      <c r="B78" s="624"/>
      <c r="C78" s="624"/>
      <c r="D78" s="624" t="str">
        <f t="shared" si="16"/>
        <v>AA16</v>
      </c>
      <c r="E78" s="624" t="str">
        <f>IF(N77="",IF(J77="j",_xlfn.CONCAT("Load"," ",Results!$C$39,".sim"),IF(K77="k",_xlfn.CONCAT("Load"," ",Results!$C$31,".sim"),"")),"Get Data")</f>
        <v>Get Data</v>
      </c>
      <c r="F78" s="624" t="str">
        <f t="shared" si="9"/>
        <v>Line</v>
      </c>
      <c r="G78" s="624"/>
      <c r="H78" s="624"/>
      <c r="I78" s="624" t="str">
        <f t="shared" si="17"/>
        <v>attachmenttype[16]</v>
      </c>
      <c r="J78" s="628">
        <f t="shared" si="18"/>
        <v>17</v>
      </c>
      <c r="K78" s="628" t="str">
        <f t="shared" si="19"/>
        <v/>
      </c>
      <c r="L78" s="628" t="str">
        <f t="shared" si="20"/>
        <v/>
      </c>
      <c r="M78" s="628" t="str">
        <f t="shared" si="21"/>
        <v/>
      </c>
      <c r="N78" s="628">
        <f t="shared" si="22"/>
        <v>17</v>
      </c>
    </row>
    <row r="79" spans="1:14" ht="13.5" customHeight="1" x14ac:dyDescent="0.2">
      <c r="A79" s="624" t="str">
        <f t="shared" si="15"/>
        <v>Auxiliar4</v>
      </c>
      <c r="B79" s="624"/>
      <c r="C79" s="624"/>
      <c r="D79" s="624" t="str">
        <f t="shared" si="16"/>
        <v>AA17</v>
      </c>
      <c r="E79" s="624" t="str">
        <f>IF(N78="",IF(J78="j",_xlfn.CONCAT("Load"," ",Results!$C$39,".sim"),IF(K78="k",_xlfn.CONCAT("Load"," ",Results!$C$31,".sim"),"")),"Get Data")</f>
        <v>Get Data</v>
      </c>
      <c r="F79" s="624" t="str">
        <f t="shared" si="9"/>
        <v>Line</v>
      </c>
      <c r="G79" s="624"/>
      <c r="H79" s="624"/>
      <c r="I79" s="624" t="str">
        <f t="shared" si="17"/>
        <v>attachmenttype[17]</v>
      </c>
      <c r="J79" s="628">
        <f t="shared" si="18"/>
        <v>18</v>
      </c>
      <c r="K79" s="628" t="str">
        <f t="shared" si="19"/>
        <v/>
      </c>
      <c r="L79" s="628" t="str">
        <f t="shared" si="20"/>
        <v/>
      </c>
      <c r="M79" s="628" t="str">
        <f t="shared" si="21"/>
        <v/>
      </c>
      <c r="N79" s="628">
        <f t="shared" si="22"/>
        <v>18</v>
      </c>
    </row>
    <row r="80" spans="1:14" ht="13.5" customHeight="1" x14ac:dyDescent="0.2">
      <c r="A80" s="624" t="str">
        <f t="shared" si="15"/>
        <v>Auxiliar4</v>
      </c>
      <c r="B80" s="624"/>
      <c r="C80" s="624"/>
      <c r="D80" s="624" t="str">
        <f t="shared" si="16"/>
        <v>AA18</v>
      </c>
      <c r="E80" s="624" t="str">
        <f>IF(N79="",IF(J79="j",_xlfn.CONCAT("Load"," ",Results!$C$39,".sim"),IF(K79="k",_xlfn.CONCAT("Load"," ",Results!$C$31,".sim"),"")),"Get Data")</f>
        <v>Get Data</v>
      </c>
      <c r="F80" s="624" t="str">
        <f t="shared" si="9"/>
        <v>Line</v>
      </c>
      <c r="G80" s="624"/>
      <c r="H80" s="624"/>
      <c r="I80" s="624" t="str">
        <f t="shared" si="17"/>
        <v>attachmenttype[18]</v>
      </c>
      <c r="J80" s="628">
        <f t="shared" si="18"/>
        <v>19</v>
      </c>
      <c r="K80" s="628" t="str">
        <f t="shared" si="19"/>
        <v/>
      </c>
      <c r="L80" s="628" t="str">
        <f t="shared" si="20"/>
        <v/>
      </c>
      <c r="M80" s="628" t="str">
        <f t="shared" si="21"/>
        <v/>
      </c>
      <c r="N80" s="628">
        <f t="shared" si="22"/>
        <v>19</v>
      </c>
    </row>
    <row r="81" spans="1:14" ht="13.5" customHeight="1" x14ac:dyDescent="0.2">
      <c r="A81" s="624" t="str">
        <f t="shared" si="15"/>
        <v>Auxiliar4</v>
      </c>
      <c r="B81" s="624"/>
      <c r="C81" s="624"/>
      <c r="D81" s="624" t="str">
        <f t="shared" si="16"/>
        <v>AA19</v>
      </c>
      <c r="E81" s="624" t="str">
        <f>IF(N80="",IF(J80="j",_xlfn.CONCAT("Load"," ",Results!$C$39,".sim"),IF(K80="k",_xlfn.CONCAT("Load"," ",Results!$C$31,".sim"),"")),"Get Data")</f>
        <v>Get Data</v>
      </c>
      <c r="F81" s="624" t="str">
        <f t="shared" si="9"/>
        <v>Line</v>
      </c>
      <c r="G81" s="624"/>
      <c r="H81" s="624"/>
      <c r="I81" s="624" t="str">
        <f t="shared" si="17"/>
        <v>attachmenttype[19]</v>
      </c>
      <c r="J81" s="628">
        <f t="shared" si="18"/>
        <v>20</v>
      </c>
      <c r="K81" s="628" t="str">
        <f t="shared" si="19"/>
        <v/>
      </c>
      <c r="L81" s="628" t="str">
        <f t="shared" si="20"/>
        <v/>
      </c>
      <c r="M81" s="628" t="str">
        <f t="shared" si="21"/>
        <v/>
      </c>
      <c r="N81" s="628">
        <f t="shared" si="22"/>
        <v>20</v>
      </c>
    </row>
    <row r="82" spans="1:14" ht="13.5" customHeight="1" x14ac:dyDescent="0.2">
      <c r="A82" s="624" t="str">
        <f t="shared" si="15"/>
        <v>Auxiliar4</v>
      </c>
      <c r="B82" s="624"/>
      <c r="C82" s="624"/>
      <c r="D82" s="624" t="str">
        <f t="shared" si="16"/>
        <v>AA20</v>
      </c>
      <c r="E82" s="624" t="str">
        <f>IF(N81="",IF(J81="j",_xlfn.CONCAT("Load"," ",Results!$C$39,".sim"),IF(K81="k",_xlfn.CONCAT("Load"," ",Results!$C$31,".sim"),"")),"Get Data")</f>
        <v>Get Data</v>
      </c>
      <c r="F82" s="624" t="str">
        <f t="shared" si="9"/>
        <v>Line</v>
      </c>
      <c r="G82" s="624"/>
      <c r="H82" s="624"/>
      <c r="I82" s="624" t="str">
        <f t="shared" si="17"/>
        <v>attachmenttype[20]</v>
      </c>
      <c r="J82" s="628">
        <f t="shared" si="18"/>
        <v>21</v>
      </c>
      <c r="K82" s="628" t="str">
        <f t="shared" si="19"/>
        <v/>
      </c>
      <c r="L82" s="628" t="str">
        <f t="shared" si="20"/>
        <v/>
      </c>
      <c r="M82" s="628" t="str">
        <f t="shared" si="21"/>
        <v/>
      </c>
      <c r="N82" s="628">
        <f t="shared" si="22"/>
        <v>21</v>
      </c>
    </row>
    <row r="83" spans="1:14" ht="13.5" customHeight="1" x14ac:dyDescent="0.2">
      <c r="A83" s="624" t="str">
        <f t="shared" si="15"/>
        <v>Auxiliar4</v>
      </c>
      <c r="B83" s="624"/>
      <c r="C83" s="624"/>
      <c r="D83" s="624" t="str">
        <f t="shared" si="16"/>
        <v>AA21</v>
      </c>
      <c r="E83" s="624" t="str">
        <f>IF(N82="",IF(J82="j",_xlfn.CONCAT("Load"," ",Results!$C$39,".sim"),IF(K82="k",_xlfn.CONCAT("Load"," ",Results!$C$31,".sim"),"")),"Get Data")</f>
        <v>Get Data</v>
      </c>
      <c r="F83" s="624" t="str">
        <f t="shared" si="9"/>
        <v>Line</v>
      </c>
      <c r="G83" s="624"/>
      <c r="H83" s="624"/>
      <c r="I83" s="624" t="str">
        <f t="shared" si="17"/>
        <v>attachmenttype[21]</v>
      </c>
      <c r="J83" s="628">
        <f t="shared" si="18"/>
        <v>22</v>
      </c>
      <c r="K83" s="628" t="str">
        <f t="shared" si="19"/>
        <v/>
      </c>
      <c r="L83" s="628" t="str">
        <f t="shared" si="20"/>
        <v/>
      </c>
      <c r="M83" s="628" t="str">
        <f t="shared" si="21"/>
        <v/>
      </c>
      <c r="N83" s="628">
        <f t="shared" si="22"/>
        <v>22</v>
      </c>
    </row>
    <row r="84" spans="1:14" ht="13.5" customHeight="1" x14ac:dyDescent="0.2">
      <c r="A84" s="624" t="str">
        <f t="shared" si="15"/>
        <v>Auxiliar4</v>
      </c>
      <c r="B84" s="624"/>
      <c r="C84" s="624"/>
      <c r="D84" s="624" t="str">
        <f t="shared" si="16"/>
        <v>AA22</v>
      </c>
      <c r="E84" s="624" t="str">
        <f>IF(N83="",IF(J83="j",_xlfn.CONCAT("Load"," ",Results!$C$39,".sim"),IF(K83="k",_xlfn.CONCAT("Load"," ",Results!$C$31,".sim"),"")),"Get Data")</f>
        <v>Get Data</v>
      </c>
      <c r="F84" s="624" t="str">
        <f t="shared" si="9"/>
        <v>Line</v>
      </c>
      <c r="G84" s="624"/>
      <c r="H84" s="624"/>
      <c r="I84" s="624" t="str">
        <f t="shared" si="17"/>
        <v>attachmenttype[22]</v>
      </c>
      <c r="J84" s="628">
        <f t="shared" si="18"/>
        <v>23</v>
      </c>
      <c r="K84" s="628" t="str">
        <f t="shared" si="19"/>
        <v/>
      </c>
      <c r="L84" s="628" t="str">
        <f t="shared" si="20"/>
        <v/>
      </c>
      <c r="M84" s="628" t="str">
        <f t="shared" si="21"/>
        <v/>
      </c>
      <c r="N84" s="628">
        <f t="shared" si="22"/>
        <v>23</v>
      </c>
    </row>
    <row r="85" spans="1:14" ht="13.5" customHeight="1" x14ac:dyDescent="0.2">
      <c r="A85" s="624" t="str">
        <f t="shared" si="15"/>
        <v>Auxiliar4</v>
      </c>
      <c r="B85" s="624"/>
      <c r="C85" s="624"/>
      <c r="D85" s="624" t="str">
        <f t="shared" si="16"/>
        <v>AA23</v>
      </c>
      <c r="E85" s="624" t="str">
        <f>IF(N84="",IF(J84="j",_xlfn.CONCAT("Load"," ",Results!$C$39,".sim"),IF(K84="k",_xlfn.CONCAT("Load"," ",Results!$C$31,".sim"),"")),"Get Data")</f>
        <v>Get Data</v>
      </c>
      <c r="F85" s="624" t="str">
        <f t="shared" si="9"/>
        <v>Line</v>
      </c>
      <c r="G85" s="624"/>
      <c r="H85" s="624"/>
      <c r="I85" s="624" t="str">
        <f t="shared" si="17"/>
        <v>attachmenttype[23]</v>
      </c>
      <c r="J85" s="628">
        <f t="shared" si="18"/>
        <v>24</v>
      </c>
      <c r="K85" s="628" t="str">
        <f t="shared" si="19"/>
        <v/>
      </c>
      <c r="L85" s="628" t="str">
        <f t="shared" si="20"/>
        <v/>
      </c>
      <c r="M85" s="628" t="str">
        <f t="shared" si="21"/>
        <v/>
      </c>
      <c r="N85" s="628">
        <f t="shared" si="22"/>
        <v>24</v>
      </c>
    </row>
    <row r="86" spans="1:14" ht="13.5" customHeight="1" x14ac:dyDescent="0.2">
      <c r="A86" s="624" t="str">
        <f t="shared" si="15"/>
        <v>Auxiliar4</v>
      </c>
      <c r="B86" s="624"/>
      <c r="C86" s="624"/>
      <c r="D86" s="624" t="str">
        <f t="shared" si="16"/>
        <v>AA24</v>
      </c>
      <c r="E86" s="624" t="str">
        <f>IF(N85="",IF(J85="j",_xlfn.CONCAT("Load"," ",Results!$C$39,".sim"),IF(K85="k",_xlfn.CONCAT("Load"," ",Results!$C$31,".sim"),"")),"Get Data")</f>
        <v>Get Data</v>
      </c>
      <c r="F86" s="624" t="str">
        <f t="shared" si="9"/>
        <v>Line</v>
      </c>
      <c r="G86" s="624"/>
      <c r="H86" s="624"/>
      <c r="I86" s="624" t="str">
        <f t="shared" si="17"/>
        <v>attachmenttype[24]</v>
      </c>
      <c r="J86" s="628">
        <f t="shared" si="18"/>
        <v>25</v>
      </c>
      <c r="K86" s="628" t="str">
        <f t="shared" si="19"/>
        <v/>
      </c>
      <c r="L86" s="628" t="str">
        <f t="shared" si="20"/>
        <v/>
      </c>
      <c r="M86" s="628" t="str">
        <f t="shared" si="21"/>
        <v/>
      </c>
      <c r="N86" s="628">
        <f t="shared" si="22"/>
        <v>25</v>
      </c>
    </row>
    <row r="87" spans="1:14" ht="13.5" customHeight="1" x14ac:dyDescent="0.2">
      <c r="A87" s="624" t="str">
        <f t="shared" si="15"/>
        <v>Auxiliar4</v>
      </c>
      <c r="B87" s="624"/>
      <c r="C87" s="624"/>
      <c r="D87" s="624" t="str">
        <f t="shared" si="16"/>
        <v>AA25</v>
      </c>
      <c r="E87" s="624" t="str">
        <f>IF(N86="",IF(J86="j",_xlfn.CONCAT("Load"," ",Results!$C$39,".sim"),IF(K86="k",_xlfn.CONCAT("Load"," ",Results!$C$31,".sim"),"")),"Get Data")</f>
        <v>Get Data</v>
      </c>
      <c r="F87" s="624" t="str">
        <f t="shared" si="9"/>
        <v>Line</v>
      </c>
      <c r="G87" s="624"/>
      <c r="H87" s="624"/>
      <c r="I87" s="624" t="str">
        <f t="shared" si="17"/>
        <v>attachmenttype[25]</v>
      </c>
      <c r="J87" s="628">
        <f t="shared" si="18"/>
        <v>26</v>
      </c>
      <c r="K87" s="628" t="str">
        <f t="shared" si="19"/>
        <v/>
      </c>
      <c r="L87" s="628" t="str">
        <f t="shared" si="20"/>
        <v/>
      </c>
      <c r="M87" s="628" t="str">
        <f t="shared" si="21"/>
        <v/>
      </c>
      <c r="N87" s="628">
        <f t="shared" si="22"/>
        <v>26</v>
      </c>
    </row>
    <row r="88" spans="1:14" ht="13.5" customHeight="1" x14ac:dyDescent="0.2">
      <c r="A88" s="624" t="str">
        <f t="shared" si="15"/>
        <v>Auxiliar4</v>
      </c>
      <c r="B88" s="624"/>
      <c r="C88" s="624"/>
      <c r="D88" s="624" t="str">
        <f t="shared" si="16"/>
        <v>AA26</v>
      </c>
      <c r="E88" s="624" t="str">
        <f>IF(N87="",IF(J87="j",_xlfn.CONCAT("Load"," ",Results!$C$39,".sim"),IF(K87="k",_xlfn.CONCAT("Load"," ",Results!$C$31,".sim"),"")),"Get Data")</f>
        <v>Get Data</v>
      </c>
      <c r="F88" s="624" t="str">
        <f t="shared" si="9"/>
        <v>Line</v>
      </c>
      <c r="G88" s="624"/>
      <c r="H88" s="624"/>
      <c r="I88" s="624" t="str">
        <f t="shared" si="17"/>
        <v>attachmenttype[26]</v>
      </c>
      <c r="J88" s="628">
        <f t="shared" si="18"/>
        <v>27</v>
      </c>
      <c r="K88" s="628" t="str">
        <f t="shared" si="19"/>
        <v/>
      </c>
      <c r="L88" s="628" t="str">
        <f t="shared" si="20"/>
        <v/>
      </c>
      <c r="M88" s="628" t="str">
        <f t="shared" si="21"/>
        <v/>
      </c>
      <c r="N88" s="628">
        <f t="shared" si="22"/>
        <v>27</v>
      </c>
    </row>
    <row r="89" spans="1:14" ht="13.5" customHeight="1" x14ac:dyDescent="0.2">
      <c r="A89" s="624" t="str">
        <f t="shared" si="15"/>
        <v>Auxiliar4</v>
      </c>
      <c r="B89" s="624"/>
      <c r="C89" s="624"/>
      <c r="D89" s="624" t="str">
        <f t="shared" si="16"/>
        <v>AA27</v>
      </c>
      <c r="E89" s="624" t="str">
        <f>IF(N88="",IF(J88="j",_xlfn.CONCAT("Load"," ",Results!$C$39,".sim"),IF(K88="k",_xlfn.CONCAT("Load"," ",Results!$C$31,".sim"),"")),"Get Data")</f>
        <v>Get Data</v>
      </c>
      <c r="F89" s="624" t="str">
        <f t="shared" si="9"/>
        <v>Line</v>
      </c>
      <c r="G89" s="624"/>
      <c r="H89" s="624"/>
      <c r="I89" s="624" t="str">
        <f t="shared" si="17"/>
        <v>attachmenttype[27]</v>
      </c>
      <c r="J89" s="628">
        <f t="shared" si="18"/>
        <v>28</v>
      </c>
      <c r="K89" s="628" t="str">
        <f t="shared" si="19"/>
        <v/>
      </c>
      <c r="L89" s="628" t="str">
        <f t="shared" si="20"/>
        <v/>
      </c>
      <c r="M89" s="628" t="str">
        <f t="shared" si="21"/>
        <v/>
      </c>
      <c r="N89" s="628">
        <f t="shared" si="22"/>
        <v>28</v>
      </c>
    </row>
    <row r="90" spans="1:14" ht="13.5" customHeight="1" x14ac:dyDescent="0.2">
      <c r="A90" s="624" t="str">
        <f t="shared" si="15"/>
        <v>Auxiliar4</v>
      </c>
      <c r="B90" s="624"/>
      <c r="C90" s="624"/>
      <c r="D90" s="624" t="str">
        <f t="shared" si="16"/>
        <v>AA28</v>
      </c>
      <c r="E90" s="624" t="str">
        <f>IF(N89="",IF(J89="j",_xlfn.CONCAT("Load"," ",Results!$C$39,".sim"),IF(K89="k",_xlfn.CONCAT("Load"," ",Results!$C$31,".sim"),"")),"Get Data")</f>
        <v>Get Data</v>
      </c>
      <c r="F90" s="624" t="str">
        <f t="shared" si="9"/>
        <v>Line</v>
      </c>
      <c r="G90" s="624"/>
      <c r="H90" s="624"/>
      <c r="I90" s="624" t="str">
        <f t="shared" si="17"/>
        <v>attachmenttype[28]</v>
      </c>
      <c r="J90" s="628">
        <f t="shared" si="18"/>
        <v>29</v>
      </c>
      <c r="K90" s="628" t="str">
        <f t="shared" si="19"/>
        <v/>
      </c>
      <c r="L90" s="628" t="str">
        <f t="shared" si="20"/>
        <v/>
      </c>
      <c r="M90" s="628" t="str">
        <f t="shared" si="21"/>
        <v/>
      </c>
      <c r="N90" s="628">
        <f t="shared" si="22"/>
        <v>29</v>
      </c>
    </row>
    <row r="91" spans="1:14" ht="13.5" customHeight="1" x14ac:dyDescent="0.2">
      <c r="A91" s="624" t="str">
        <f t="shared" si="15"/>
        <v>Auxiliar4</v>
      </c>
      <c r="B91" s="624"/>
      <c r="C91" s="624"/>
      <c r="D91" s="624" t="str">
        <f t="shared" si="16"/>
        <v>AA29</v>
      </c>
      <c r="E91" s="624" t="str">
        <f>IF(N90="",IF(J90="j",_xlfn.CONCAT("Load"," ",Results!$C$39,".sim"),IF(K90="k",_xlfn.CONCAT("Load"," ",Results!$C$31,".sim"),"")),"Get Data")</f>
        <v>Get Data</v>
      </c>
      <c r="F91" s="624" t="str">
        <f t="shared" si="9"/>
        <v>Line</v>
      </c>
      <c r="G91" s="624"/>
      <c r="H91" s="624"/>
      <c r="I91" s="624" t="str">
        <f t="shared" si="17"/>
        <v>attachmenttype[29]</v>
      </c>
      <c r="J91" s="628">
        <f t="shared" si="18"/>
        <v>30</v>
      </c>
      <c r="K91" s="628" t="str">
        <f t="shared" si="19"/>
        <v/>
      </c>
      <c r="L91" s="628" t="str">
        <f t="shared" si="20"/>
        <v/>
      </c>
      <c r="M91" s="628" t="str">
        <f t="shared" si="21"/>
        <v/>
      </c>
      <c r="N91" s="628">
        <f t="shared" si="22"/>
        <v>30</v>
      </c>
    </row>
    <row r="92" spans="1:14" ht="13.5" customHeight="1" x14ac:dyDescent="0.2">
      <c r="A92" s="624" t="str">
        <f t="shared" si="15"/>
        <v>Auxiliar4</v>
      </c>
      <c r="B92" s="624"/>
      <c r="C92" s="624"/>
      <c r="D92" s="624" t="str">
        <f t="shared" si="16"/>
        <v>AA30</v>
      </c>
      <c r="E92" s="624" t="str">
        <f>IF(N91="",IF(J91="j",_xlfn.CONCAT("Load"," ",Results!$C$39,".sim"),IF(K91="k",_xlfn.CONCAT("Load"," ",Results!$C$31,".sim"),"")),"Get Data")</f>
        <v>Get Data</v>
      </c>
      <c r="F92" s="624" t="str">
        <f t="shared" si="9"/>
        <v>Line</v>
      </c>
      <c r="G92" s="624"/>
      <c r="H92" s="624"/>
      <c r="I92" s="624" t="str">
        <f t="shared" si="17"/>
        <v>attachmenttype[30]</v>
      </c>
      <c r="J92" s="628">
        <f t="shared" si="18"/>
        <v>31</v>
      </c>
      <c r="K92" s="628" t="str">
        <f t="shared" si="19"/>
        <v/>
      </c>
      <c r="L92" s="628" t="str">
        <f t="shared" si="20"/>
        <v/>
      </c>
      <c r="M92" s="628" t="str">
        <f t="shared" si="21"/>
        <v/>
      </c>
      <c r="N92" s="628">
        <f t="shared" si="22"/>
        <v>31</v>
      </c>
    </row>
    <row r="93" spans="1:14" ht="13.5" customHeight="1" x14ac:dyDescent="0.2">
      <c r="A93" s="624" t="str">
        <f t="shared" si="15"/>
        <v>Auxiliar4</v>
      </c>
      <c r="B93" s="624"/>
      <c r="C93" s="624"/>
      <c r="D93" s="624" t="str">
        <f t="shared" si="16"/>
        <v>AA31</v>
      </c>
      <c r="E93" s="624" t="str">
        <f>IF(N92="",IF(J92="j",_xlfn.CONCAT("Load"," ",Results!$C$39,".sim"),IF(K92="k",_xlfn.CONCAT("Load"," ",Results!$C$31,".sim"),"")),"Get Data")</f>
        <v>Get Data</v>
      </c>
      <c r="F93" s="624" t="str">
        <f t="shared" si="9"/>
        <v>Line</v>
      </c>
      <c r="G93" s="624"/>
      <c r="H93" s="624"/>
      <c r="I93" s="624" t="str">
        <f t="shared" si="17"/>
        <v>attachmenttype[31]</v>
      </c>
      <c r="J93" s="628">
        <f t="shared" si="18"/>
        <v>32</v>
      </c>
      <c r="K93" s="628" t="str">
        <f t="shared" si="19"/>
        <v/>
      </c>
      <c r="L93" s="628" t="str">
        <f t="shared" si="20"/>
        <v/>
      </c>
      <c r="M93" s="628" t="str">
        <f t="shared" si="21"/>
        <v/>
      </c>
      <c r="N93" s="628">
        <f t="shared" si="22"/>
        <v>32</v>
      </c>
    </row>
    <row r="94" spans="1:14" ht="13.5" customHeight="1" x14ac:dyDescent="0.2">
      <c r="A94" s="624" t="str">
        <f t="shared" si="15"/>
        <v>Auxiliar4</v>
      </c>
      <c r="B94" s="624"/>
      <c r="C94" s="624"/>
      <c r="D94" s="624" t="str">
        <f t="shared" si="16"/>
        <v>AA32</v>
      </c>
      <c r="E94" s="624" t="str">
        <f>IF(N93="",IF(J93="j",_xlfn.CONCAT("Load"," ",Results!$C$39,".sim"),IF(K93="k",_xlfn.CONCAT("Load"," ",Results!$C$31,".sim"),"")),"Get Data")</f>
        <v>Get Data</v>
      </c>
      <c r="F94" s="624" t="str">
        <f t="shared" si="9"/>
        <v>Line</v>
      </c>
      <c r="G94" s="624"/>
      <c r="H94" s="624"/>
      <c r="I94" s="624" t="str">
        <f t="shared" si="17"/>
        <v>attachmenttype[32]</v>
      </c>
      <c r="J94" s="628">
        <f t="shared" si="18"/>
        <v>33</v>
      </c>
      <c r="K94" s="628" t="str">
        <f t="shared" si="19"/>
        <v/>
      </c>
      <c r="L94" s="628" t="str">
        <f t="shared" si="20"/>
        <v/>
      </c>
      <c r="M94" s="628" t="str">
        <f t="shared" si="21"/>
        <v/>
      </c>
      <c r="N94" s="628">
        <f t="shared" si="22"/>
        <v>33</v>
      </c>
    </row>
    <row r="95" spans="1:14" ht="13.5" customHeight="1" x14ac:dyDescent="0.2">
      <c r="A95" s="624" t="str">
        <f t="shared" si="15"/>
        <v>Auxiliar4</v>
      </c>
      <c r="B95" s="624"/>
      <c r="C95" s="624"/>
      <c r="D95" s="624" t="str">
        <f t="shared" si="16"/>
        <v>AA33</v>
      </c>
      <c r="E95" s="624" t="str">
        <f>IF(N94="",IF(J94="j",_xlfn.CONCAT("Load"," ",Results!$C$39,".sim"),IF(K94="k",_xlfn.CONCAT("Load"," ",Results!$C$31,".sim"),"")),"Get Data")</f>
        <v>Get Data</v>
      </c>
      <c r="F95" s="624" t="str">
        <f t="shared" ref="F95:F114" si="23">IF(N94="","",$L$6)</f>
        <v>Line</v>
      </c>
      <c r="G95" s="624"/>
      <c r="H95" s="624"/>
      <c r="I95" s="624" t="str">
        <f t="shared" si="17"/>
        <v>attachmenttype[33]</v>
      </c>
      <c r="J95" s="628">
        <f t="shared" si="18"/>
        <v>34</v>
      </c>
      <c r="K95" s="628" t="str">
        <f t="shared" si="19"/>
        <v/>
      </c>
      <c r="L95" s="628" t="str">
        <f t="shared" si="20"/>
        <v/>
      </c>
      <c r="M95" s="628" t="str">
        <f t="shared" si="21"/>
        <v/>
      </c>
      <c r="N95" s="628">
        <f t="shared" si="22"/>
        <v>34</v>
      </c>
    </row>
    <row r="96" spans="1:14" ht="13.5" customHeight="1" x14ac:dyDescent="0.2">
      <c r="A96" s="624" t="str">
        <f t="shared" si="15"/>
        <v>Auxiliar4</v>
      </c>
      <c r="B96" s="624"/>
      <c r="C96" s="624"/>
      <c r="D96" s="624" t="str">
        <f t="shared" si="16"/>
        <v>AA34</v>
      </c>
      <c r="E96" s="624" t="str">
        <f>IF(N95="",IF(J95="j",_xlfn.CONCAT("Load"," ",Results!$C$39,".sim"),IF(K95="k",_xlfn.CONCAT("Load"," ",Results!$C$31,".sim"),"")),"Get Data")</f>
        <v>Get Data</v>
      </c>
      <c r="F96" s="624" t="str">
        <f t="shared" si="23"/>
        <v>Line</v>
      </c>
      <c r="G96" s="624"/>
      <c r="H96" s="624"/>
      <c r="I96" s="624" t="str">
        <f t="shared" si="17"/>
        <v>attachmenttype[34]</v>
      </c>
      <c r="J96" s="628">
        <f t="shared" si="18"/>
        <v>35</v>
      </c>
      <c r="K96" s="628" t="str">
        <f t="shared" si="19"/>
        <v/>
      </c>
      <c r="L96" s="628" t="str">
        <f t="shared" si="20"/>
        <v/>
      </c>
      <c r="M96" s="628" t="str">
        <f t="shared" si="21"/>
        <v/>
      </c>
      <c r="N96" s="628">
        <f t="shared" si="22"/>
        <v>35</v>
      </c>
    </row>
    <row r="97" spans="1:14" ht="13.5" customHeight="1" x14ac:dyDescent="0.2">
      <c r="A97" s="624" t="str">
        <f t="shared" si="15"/>
        <v>Auxiliar4</v>
      </c>
      <c r="B97" s="624"/>
      <c r="C97" s="624"/>
      <c r="D97" s="624" t="str">
        <f t="shared" si="16"/>
        <v>AA35</v>
      </c>
      <c r="E97" s="624" t="str">
        <f>IF(N96="",IF(J96="j",_xlfn.CONCAT("Load"," ",Results!$C$39,".sim"),IF(K96="k",_xlfn.CONCAT("Load"," ",Results!$C$31,".sim"),"")),"Get Data")</f>
        <v>Get Data</v>
      </c>
      <c r="F97" s="624" t="str">
        <f t="shared" si="23"/>
        <v>Line</v>
      </c>
      <c r="G97" s="624"/>
      <c r="H97" s="624"/>
      <c r="I97" s="624" t="str">
        <f t="shared" si="17"/>
        <v>attachmenttype[35]</v>
      </c>
      <c r="J97" s="628">
        <f t="shared" si="18"/>
        <v>36</v>
      </c>
      <c r="K97" s="628" t="str">
        <f t="shared" si="19"/>
        <v/>
      </c>
      <c r="L97" s="628" t="str">
        <f t="shared" si="20"/>
        <v/>
      </c>
      <c r="M97" s="628" t="str">
        <f t="shared" si="21"/>
        <v/>
      </c>
      <c r="N97" s="628">
        <f t="shared" si="22"/>
        <v>36</v>
      </c>
    </row>
    <row r="98" spans="1:14" ht="13.5" customHeight="1" x14ac:dyDescent="0.2">
      <c r="A98" s="624" t="str">
        <f t="shared" si="15"/>
        <v>Auxiliar4</v>
      </c>
      <c r="B98" s="624"/>
      <c r="C98" s="624"/>
      <c r="D98" s="624" t="str">
        <f t="shared" si="16"/>
        <v>AA36</v>
      </c>
      <c r="E98" s="624" t="str">
        <f>IF(N97="",IF(J97="j",_xlfn.CONCAT("Load"," ",Results!$C$39,".sim"),IF(K97="k",_xlfn.CONCAT("Load"," ",Results!$C$31,".sim"),"")),"Get Data")</f>
        <v>Get Data</v>
      </c>
      <c r="F98" s="624" t="str">
        <f t="shared" si="23"/>
        <v>Line</v>
      </c>
      <c r="G98" s="624"/>
      <c r="H98" s="624"/>
      <c r="I98" s="624" t="str">
        <f t="shared" si="17"/>
        <v>attachmenttype[36]</v>
      </c>
      <c r="J98" s="628">
        <f t="shared" si="18"/>
        <v>37</v>
      </c>
      <c r="K98" s="628" t="str">
        <f t="shared" si="19"/>
        <v/>
      </c>
      <c r="L98" s="628" t="str">
        <f t="shared" si="20"/>
        <v/>
      </c>
      <c r="M98" s="628" t="str">
        <f t="shared" si="21"/>
        <v/>
      </c>
      <c r="N98" s="628">
        <f t="shared" si="22"/>
        <v>37</v>
      </c>
    </row>
    <row r="99" spans="1:14" ht="13.5" customHeight="1" x14ac:dyDescent="0.2">
      <c r="A99" s="624" t="str">
        <f t="shared" si="15"/>
        <v>Auxiliar4</v>
      </c>
      <c r="B99" s="624"/>
      <c r="C99" s="624"/>
      <c r="D99" s="624" t="str">
        <f t="shared" si="16"/>
        <v>AA37</v>
      </c>
      <c r="E99" s="624" t="str">
        <f>IF(N98="",IF(J98="j",_xlfn.CONCAT("Load"," ",Results!$C$39,".sim"),IF(K98="k",_xlfn.CONCAT("Load"," ",Results!$C$31,".sim"),"")),"Get Data")</f>
        <v>Get Data</v>
      </c>
      <c r="F99" s="624" t="str">
        <f t="shared" si="23"/>
        <v>Line</v>
      </c>
      <c r="G99" s="624"/>
      <c r="H99" s="624"/>
      <c r="I99" s="624" t="str">
        <f t="shared" si="17"/>
        <v>attachmenttype[37]</v>
      </c>
      <c r="J99" s="628">
        <f t="shared" si="18"/>
        <v>38</v>
      </c>
      <c r="K99" s="628" t="str">
        <f t="shared" si="19"/>
        <v/>
      </c>
      <c r="L99" s="628" t="str">
        <f t="shared" si="20"/>
        <v/>
      </c>
      <c r="M99" s="628" t="str">
        <f t="shared" si="21"/>
        <v/>
      </c>
      <c r="N99" s="628">
        <f t="shared" si="22"/>
        <v>38</v>
      </c>
    </row>
    <row r="100" spans="1:14" ht="13.5" customHeight="1" x14ac:dyDescent="0.2">
      <c r="A100" s="624" t="str">
        <f t="shared" si="15"/>
        <v>Auxiliar4</v>
      </c>
      <c r="B100" s="624"/>
      <c r="C100" s="624"/>
      <c r="D100" s="624" t="str">
        <f t="shared" si="16"/>
        <v>AA38</v>
      </c>
      <c r="E100" s="624" t="str">
        <f>IF(N99="",IF(J99="j",_xlfn.CONCAT("Load"," ",Results!$C$39,".sim"),IF(K99="k",_xlfn.CONCAT("Load"," ",Results!$C$31,".sim"),"")),"Get Data")</f>
        <v>Get Data</v>
      </c>
      <c r="F100" s="624" t="str">
        <f t="shared" si="23"/>
        <v>Line</v>
      </c>
      <c r="G100" s="624"/>
      <c r="H100" s="624"/>
      <c r="I100" s="624" t="str">
        <f t="shared" si="17"/>
        <v>attachmenttype[38]</v>
      </c>
      <c r="J100" s="628">
        <f t="shared" si="18"/>
        <v>39</v>
      </c>
      <c r="K100" s="628" t="str">
        <f t="shared" si="19"/>
        <v/>
      </c>
      <c r="L100" s="628" t="str">
        <f t="shared" si="20"/>
        <v/>
      </c>
      <c r="M100" s="628" t="str">
        <f t="shared" si="21"/>
        <v/>
      </c>
      <c r="N100" s="628">
        <f t="shared" si="22"/>
        <v>39</v>
      </c>
    </row>
    <row r="101" spans="1:14" ht="13.5" customHeight="1" x14ac:dyDescent="0.2">
      <c r="A101" s="624" t="str">
        <f t="shared" si="15"/>
        <v>Auxiliar4</v>
      </c>
      <c r="B101" s="624"/>
      <c r="C101" s="624"/>
      <c r="D101" s="624" t="str">
        <f t="shared" si="16"/>
        <v>AA39</v>
      </c>
      <c r="E101" s="624" t="str">
        <f>IF(N100="",IF(J100="j",_xlfn.CONCAT("Load"," ",Results!$C$39,".sim"),IF(K100="k",_xlfn.CONCAT("Load"," ",Results!$C$31,".sim"),"")),"Get Data")</f>
        <v>Get Data</v>
      </c>
      <c r="F101" s="624" t="str">
        <f t="shared" si="23"/>
        <v>Line</v>
      </c>
      <c r="G101" s="624"/>
      <c r="H101" s="624"/>
      <c r="I101" s="624" t="str">
        <f t="shared" si="17"/>
        <v>attachmenttype[39]</v>
      </c>
      <c r="J101" s="628">
        <f t="shared" si="18"/>
        <v>40</v>
      </c>
      <c r="K101" s="628" t="str">
        <f t="shared" si="19"/>
        <v/>
      </c>
      <c r="L101" s="628" t="str">
        <f t="shared" si="20"/>
        <v/>
      </c>
      <c r="M101" s="628" t="str">
        <f t="shared" si="21"/>
        <v/>
      </c>
      <c r="N101" s="628">
        <f t="shared" si="22"/>
        <v>40</v>
      </c>
    </row>
    <row r="102" spans="1:14" ht="13.5" customHeight="1" x14ac:dyDescent="0.2">
      <c r="A102" s="624" t="str">
        <f t="shared" si="15"/>
        <v>Auxiliar4</v>
      </c>
      <c r="B102" s="624"/>
      <c r="C102" s="624"/>
      <c r="D102" s="624" t="str">
        <f t="shared" si="16"/>
        <v>AA40</v>
      </c>
      <c r="E102" s="624" t="str">
        <f>IF(N101="",IF(J101="j",_xlfn.CONCAT("Load"," ",Results!$C$39,".sim"),IF(K101="k",_xlfn.CONCAT("Load"," ",Results!$C$31,".sim"),"")),"Get Data")</f>
        <v>Get Data</v>
      </c>
      <c r="F102" s="624" t="str">
        <f t="shared" si="23"/>
        <v>Line</v>
      </c>
      <c r="G102" s="624"/>
      <c r="H102" s="624"/>
      <c r="I102" s="624" t="str">
        <f t="shared" si="17"/>
        <v>attachmenttype[40]</v>
      </c>
      <c r="J102" s="628">
        <f t="shared" si="18"/>
        <v>41</v>
      </c>
      <c r="K102" s="628" t="str">
        <f t="shared" si="19"/>
        <v/>
      </c>
      <c r="L102" s="628" t="str">
        <f t="shared" si="20"/>
        <v/>
      </c>
      <c r="M102" s="628" t="str">
        <f t="shared" si="21"/>
        <v/>
      </c>
      <c r="N102" s="628">
        <f t="shared" si="22"/>
        <v>41</v>
      </c>
    </row>
    <row r="103" spans="1:14" ht="13.5" customHeight="1" x14ac:dyDescent="0.2">
      <c r="A103" s="624" t="str">
        <f t="shared" si="15"/>
        <v>Auxiliar4</v>
      </c>
      <c r="B103" s="624"/>
      <c r="C103" s="624"/>
      <c r="D103" s="624" t="str">
        <f t="shared" si="16"/>
        <v>AA41</v>
      </c>
      <c r="E103" s="624" t="str">
        <f>IF(N102="",IF(J102="j",_xlfn.CONCAT("Load"," ",Results!$C$39,".sim"),IF(K102="k",_xlfn.CONCAT("Load"," ",Results!$C$31,".sim"),"")),"Get Data")</f>
        <v>Get Data</v>
      </c>
      <c r="F103" s="624" t="str">
        <f t="shared" si="23"/>
        <v>Line</v>
      </c>
      <c r="G103" s="624"/>
      <c r="H103" s="624"/>
      <c r="I103" s="624" t="str">
        <f t="shared" si="17"/>
        <v>attachmenttype[41]</v>
      </c>
      <c r="J103" s="628">
        <f t="shared" si="18"/>
        <v>42</v>
      </c>
      <c r="K103" s="628" t="str">
        <f t="shared" si="19"/>
        <v/>
      </c>
      <c r="L103" s="628" t="str">
        <f t="shared" si="20"/>
        <v/>
      </c>
      <c r="M103" s="628" t="str">
        <f t="shared" si="21"/>
        <v/>
      </c>
      <c r="N103" s="628">
        <f t="shared" si="22"/>
        <v>42</v>
      </c>
    </row>
    <row r="104" spans="1:14" ht="13.5" customHeight="1" x14ac:dyDescent="0.2">
      <c r="A104" s="624" t="str">
        <f t="shared" si="15"/>
        <v>Auxiliar4</v>
      </c>
      <c r="B104" s="624"/>
      <c r="C104" s="624"/>
      <c r="D104" s="624" t="str">
        <f t="shared" si="16"/>
        <v>AA42</v>
      </c>
      <c r="E104" s="624" t="str">
        <f>IF(N103="",IF(J103="j",_xlfn.CONCAT("Load"," ",Results!$C$39,".sim"),IF(K103="k",_xlfn.CONCAT("Load"," ",Results!$C$31,".sim"),"")),"Get Data")</f>
        <v>Get Data</v>
      </c>
      <c r="F104" s="624" t="str">
        <f t="shared" si="23"/>
        <v>Line</v>
      </c>
      <c r="G104" s="624"/>
      <c r="H104" s="624"/>
      <c r="I104" s="624" t="str">
        <f t="shared" si="17"/>
        <v>attachmenttype[42]</v>
      </c>
      <c r="J104" s="628">
        <f t="shared" si="18"/>
        <v>43</v>
      </c>
      <c r="K104" s="628" t="str">
        <f t="shared" si="19"/>
        <v/>
      </c>
      <c r="L104" s="628" t="str">
        <f t="shared" si="20"/>
        <v/>
      </c>
      <c r="M104" s="628" t="str">
        <f t="shared" si="21"/>
        <v/>
      </c>
      <c r="N104" s="628">
        <f t="shared" si="22"/>
        <v>43</v>
      </c>
    </row>
    <row r="105" spans="1:14" ht="13.5" customHeight="1" x14ac:dyDescent="0.2">
      <c r="A105" s="624" t="str">
        <f t="shared" si="15"/>
        <v>Auxiliar4</v>
      </c>
      <c r="B105" s="624"/>
      <c r="C105" s="624"/>
      <c r="D105" s="624" t="str">
        <f t="shared" si="16"/>
        <v>AA43</v>
      </c>
      <c r="E105" s="624" t="str">
        <f>IF(N104="",IF(J104="j",_xlfn.CONCAT("Load"," ",Results!$C$39,".sim"),IF(K104="k",_xlfn.CONCAT("Load"," ",Results!$C$31,".sim"),"")),"Get Data")</f>
        <v>Get Data</v>
      </c>
      <c r="F105" s="624" t="str">
        <f t="shared" si="23"/>
        <v>Line</v>
      </c>
      <c r="G105" s="624"/>
      <c r="H105" s="624"/>
      <c r="I105" s="624" t="str">
        <f t="shared" si="17"/>
        <v>attachmenttype[43]</v>
      </c>
      <c r="J105" s="628">
        <f t="shared" si="18"/>
        <v>44</v>
      </c>
      <c r="K105" s="628" t="str">
        <f t="shared" si="19"/>
        <v/>
      </c>
      <c r="L105" s="628" t="str">
        <f t="shared" si="20"/>
        <v/>
      </c>
      <c r="M105" s="628" t="str">
        <f t="shared" si="21"/>
        <v/>
      </c>
      <c r="N105" s="628">
        <f t="shared" si="22"/>
        <v>44</v>
      </c>
    </row>
    <row r="106" spans="1:14" ht="13.5" customHeight="1" x14ac:dyDescent="0.2">
      <c r="A106" s="624" t="str">
        <f t="shared" si="15"/>
        <v>Auxiliar4</v>
      </c>
      <c r="B106" s="624"/>
      <c r="C106" s="624"/>
      <c r="D106" s="624" t="str">
        <f t="shared" si="16"/>
        <v>AA44</v>
      </c>
      <c r="E106" s="624" t="str">
        <f>IF(N105="",IF(J105="j",_xlfn.CONCAT("Load"," ",Results!$C$39,".sim"),IF(K105="k",_xlfn.CONCAT("Load"," ",Results!$C$31,".sim"),"")),"Get Data")</f>
        <v>Get Data</v>
      </c>
      <c r="F106" s="624" t="str">
        <f t="shared" si="23"/>
        <v>Line</v>
      </c>
      <c r="G106" s="624"/>
      <c r="H106" s="624"/>
      <c r="I106" s="624" t="str">
        <f t="shared" si="17"/>
        <v>attachmenttype[44]</v>
      </c>
      <c r="J106" s="628">
        <f t="shared" si="18"/>
        <v>45</v>
      </c>
      <c r="K106" s="628" t="str">
        <f t="shared" si="19"/>
        <v/>
      </c>
      <c r="L106" s="628" t="str">
        <f t="shared" si="20"/>
        <v/>
      </c>
      <c r="M106" s="628" t="str">
        <f t="shared" si="21"/>
        <v/>
      </c>
      <c r="N106" s="628">
        <f t="shared" si="22"/>
        <v>45</v>
      </c>
    </row>
    <row r="107" spans="1:14" ht="13.5" customHeight="1" x14ac:dyDescent="0.2">
      <c r="A107" s="624" t="str">
        <f t="shared" si="15"/>
        <v>Auxiliar4</v>
      </c>
      <c r="B107" s="624"/>
      <c r="C107" s="624"/>
      <c r="D107" s="624" t="str">
        <f t="shared" si="16"/>
        <v>AA45</v>
      </c>
      <c r="E107" s="624" t="str">
        <f>IF(N106="",IF(J106="j",_xlfn.CONCAT("Load"," ",Results!$C$39,".sim"),IF(K106="k",_xlfn.CONCAT("Load"," ",Results!$C$31,".sim"),"")),"Get Data")</f>
        <v>Get Data</v>
      </c>
      <c r="F107" s="624" t="str">
        <f t="shared" si="23"/>
        <v>Line</v>
      </c>
      <c r="G107" s="624"/>
      <c r="H107" s="624"/>
      <c r="I107" s="624" t="str">
        <f t="shared" si="17"/>
        <v>attachmenttype[45]</v>
      </c>
      <c r="J107" s="628">
        <f t="shared" si="18"/>
        <v>46</v>
      </c>
      <c r="K107" s="628" t="str">
        <f t="shared" si="19"/>
        <v/>
      </c>
      <c r="L107" s="628" t="str">
        <f t="shared" si="20"/>
        <v/>
      </c>
      <c r="M107" s="628" t="str">
        <f t="shared" si="21"/>
        <v/>
      </c>
      <c r="N107" s="628">
        <f t="shared" si="22"/>
        <v>46</v>
      </c>
    </row>
    <row r="108" spans="1:14" ht="13.5" customHeight="1" x14ac:dyDescent="0.2">
      <c r="A108" s="624" t="str">
        <f t="shared" si="15"/>
        <v>Auxiliar4</v>
      </c>
      <c r="B108" s="622"/>
      <c r="C108" s="622"/>
      <c r="D108" s="624" t="str">
        <f t="shared" si="16"/>
        <v>AA46</v>
      </c>
      <c r="E108" s="624" t="str">
        <f>IF(N107="",IF(J107="j",_xlfn.CONCAT("Load"," ",Results!$C$39,".sim"),IF(K107="k",_xlfn.CONCAT("Load"," ",Results!$C$31,".sim"),"")),"Get Data")</f>
        <v>Get Data</v>
      </c>
      <c r="F108" s="624" t="str">
        <f t="shared" si="23"/>
        <v>Line</v>
      </c>
      <c r="G108" s="622"/>
      <c r="H108" s="622"/>
      <c r="I108" s="624" t="str">
        <f t="shared" si="17"/>
        <v>attachmenttype[46]</v>
      </c>
      <c r="J108" s="628">
        <f t="shared" si="18"/>
        <v>47</v>
      </c>
      <c r="K108" s="628" t="str">
        <f t="shared" si="19"/>
        <v/>
      </c>
      <c r="L108" s="628" t="str">
        <f t="shared" si="20"/>
        <v/>
      </c>
      <c r="M108" s="628" t="str">
        <f t="shared" si="21"/>
        <v/>
      </c>
      <c r="N108" s="628">
        <f t="shared" si="22"/>
        <v>47</v>
      </c>
    </row>
    <row r="109" spans="1:14" ht="13.5" customHeight="1" x14ac:dyDescent="0.2">
      <c r="A109" s="624" t="str">
        <f t="shared" si="15"/>
        <v>Auxiliar4</v>
      </c>
      <c r="B109" s="622"/>
      <c r="C109" s="622"/>
      <c r="D109" s="624" t="str">
        <f t="shared" si="16"/>
        <v>AA47</v>
      </c>
      <c r="E109" s="624" t="str">
        <f>IF(N108="",IF(J108="j",_xlfn.CONCAT("Load"," ",Results!$C$39,".sim"),IF(K108="k",_xlfn.CONCAT("Load"," ",Results!$C$31,".sim"),"")),"Get Data")</f>
        <v>Get Data</v>
      </c>
      <c r="F109" s="624" t="str">
        <f t="shared" si="23"/>
        <v>Line</v>
      </c>
      <c r="G109" s="622"/>
      <c r="H109" s="622"/>
      <c r="I109" s="624" t="str">
        <f t="shared" si="17"/>
        <v>attachmenttype[47]</v>
      </c>
      <c r="J109" s="628">
        <f t="shared" si="18"/>
        <v>48</v>
      </c>
      <c r="K109" s="628" t="str">
        <f t="shared" si="19"/>
        <v/>
      </c>
      <c r="L109" s="628" t="str">
        <f t="shared" si="20"/>
        <v/>
      </c>
      <c r="M109" s="628" t="str">
        <f t="shared" si="21"/>
        <v/>
      </c>
      <c r="N109" s="628">
        <f t="shared" si="22"/>
        <v>48</v>
      </c>
    </row>
    <row r="110" spans="1:14" ht="13.5" customHeight="1" x14ac:dyDescent="0.2">
      <c r="A110" s="624" t="str">
        <f t="shared" si="15"/>
        <v>Auxiliar4</v>
      </c>
      <c r="B110" s="622"/>
      <c r="C110" s="622"/>
      <c r="D110" s="624" t="str">
        <f t="shared" si="16"/>
        <v>AA48</v>
      </c>
      <c r="E110" s="624" t="str">
        <f>IF(N109="",IF(J109="j",_xlfn.CONCAT("Load"," ",Results!$C$39,".sim"),IF(K109="k",_xlfn.CONCAT("Load"," ",Results!$C$31,".sim"),"")),"Get Data")</f>
        <v>Get Data</v>
      </c>
      <c r="F110" s="624" t="str">
        <f t="shared" si="23"/>
        <v>Line</v>
      </c>
      <c r="G110" s="622"/>
      <c r="H110" s="622"/>
      <c r="I110" s="624" t="str">
        <f t="shared" si="17"/>
        <v>attachmenttype[48]</v>
      </c>
      <c r="J110" s="628">
        <f t="shared" si="18"/>
        <v>49</v>
      </c>
      <c r="K110" s="628" t="str">
        <f t="shared" si="19"/>
        <v/>
      </c>
      <c r="L110" s="628" t="str">
        <f t="shared" si="20"/>
        <v/>
      </c>
      <c r="M110" s="628" t="str">
        <f t="shared" si="21"/>
        <v/>
      </c>
      <c r="N110" s="628">
        <f t="shared" si="22"/>
        <v>49</v>
      </c>
    </row>
    <row r="111" spans="1:14" ht="13.5" customHeight="1" x14ac:dyDescent="0.2">
      <c r="A111" s="624" t="str">
        <f t="shared" si="15"/>
        <v>Auxiliar4</v>
      </c>
      <c r="B111" s="622"/>
      <c r="C111" s="622"/>
      <c r="D111" s="624" t="str">
        <f t="shared" si="16"/>
        <v>AA49</v>
      </c>
      <c r="E111" s="624" t="str">
        <f>IF(N110="",IF(J110="j",_xlfn.CONCAT("Load"," ",Results!$C$39,".sim"),IF(K110="k",_xlfn.CONCAT("Load"," ",Results!$C$31,".sim"),"")),"Get Data")</f>
        <v>Get Data</v>
      </c>
      <c r="F111" s="624" t="str">
        <f t="shared" si="23"/>
        <v>Line</v>
      </c>
      <c r="G111" s="622"/>
      <c r="H111" s="622"/>
      <c r="I111" s="624" t="str">
        <f t="shared" si="17"/>
        <v>attachmenttype[49]</v>
      </c>
      <c r="J111" s="628">
        <f t="shared" si="18"/>
        <v>50</v>
      </c>
      <c r="K111" s="628" t="str">
        <f t="shared" si="19"/>
        <v/>
      </c>
      <c r="L111" s="628" t="str">
        <f t="shared" si="20"/>
        <v/>
      </c>
      <c r="M111" s="628" t="str">
        <f t="shared" si="21"/>
        <v/>
      </c>
      <c r="N111" s="628">
        <f t="shared" si="22"/>
        <v>50</v>
      </c>
    </row>
    <row r="112" spans="1:14" ht="13.5" customHeight="1" x14ac:dyDescent="0.2">
      <c r="A112" s="624" t="str">
        <f t="shared" si="15"/>
        <v>Auxiliar4</v>
      </c>
      <c r="B112" s="622"/>
      <c r="C112" s="622"/>
      <c r="D112" s="624" t="str">
        <f t="shared" si="16"/>
        <v>AA50</v>
      </c>
      <c r="E112" s="624" t="str">
        <f>IF(N111="",IF(J111="j",_xlfn.CONCAT("Load"," ",Results!$C$39,".sim"),IF(K111="k",_xlfn.CONCAT("Load"," ",Results!$C$31,".sim"),"")),"Get Data")</f>
        <v>Get Data</v>
      </c>
      <c r="F112" s="624" t="str">
        <f t="shared" si="23"/>
        <v>Line</v>
      </c>
      <c r="G112" s="622"/>
      <c r="H112" s="622"/>
      <c r="I112" s="624" t="str">
        <f t="shared" si="17"/>
        <v>attachmenttype[50]</v>
      </c>
      <c r="J112" s="628">
        <f t="shared" si="18"/>
        <v>51</v>
      </c>
      <c r="K112" s="628" t="str">
        <f t="shared" si="19"/>
        <v/>
      </c>
      <c r="L112" s="628" t="str">
        <f t="shared" si="20"/>
        <v/>
      </c>
      <c r="M112" s="628" t="str">
        <f t="shared" si="21"/>
        <v/>
      </c>
      <c r="N112" s="628">
        <f t="shared" si="22"/>
        <v>51</v>
      </c>
    </row>
    <row r="113" spans="1:14" ht="13.5" customHeight="1" x14ac:dyDescent="0.2">
      <c r="A113" s="624" t="str">
        <f t="shared" si="15"/>
        <v>Auxiliar4</v>
      </c>
      <c r="B113" s="622"/>
      <c r="C113" s="622"/>
      <c r="D113" s="624" t="str">
        <f t="shared" si="16"/>
        <v>AA51</v>
      </c>
      <c r="E113" s="624" t="str">
        <f>IF(N112="",IF(J112="j",_xlfn.CONCAT("Load"," ",Results!$C$39,".sim"),IF(K112="k",_xlfn.CONCAT("Load"," ",Results!$C$31,".sim"),"")),"Get Data")</f>
        <v>Get Data</v>
      </c>
      <c r="F113" s="624" t="str">
        <f t="shared" si="23"/>
        <v>Line</v>
      </c>
      <c r="G113" s="622"/>
      <c r="H113" s="622"/>
      <c r="I113" s="624" t="str">
        <f t="shared" si="17"/>
        <v>attachmenttype[51]</v>
      </c>
      <c r="J113" s="628">
        <f t="shared" si="18"/>
        <v>52</v>
      </c>
      <c r="K113" s="628" t="str">
        <f t="shared" si="19"/>
        <v/>
      </c>
      <c r="L113" s="628" t="str">
        <f t="shared" si="20"/>
        <v/>
      </c>
      <c r="M113" s="628" t="str">
        <f t="shared" si="21"/>
        <v/>
      </c>
      <c r="N113" s="628">
        <f t="shared" si="22"/>
        <v>52</v>
      </c>
    </row>
    <row r="114" spans="1:14" ht="13.5" customHeight="1" x14ac:dyDescent="0.2">
      <c r="A114" s="624" t="str">
        <f t="shared" si="15"/>
        <v>Auxiliar4</v>
      </c>
      <c r="B114" s="622"/>
      <c r="C114" s="622"/>
      <c r="D114" s="624" t="str">
        <f t="shared" si="16"/>
        <v>AA52</v>
      </c>
      <c r="E114" s="624" t="str">
        <f>IF(N113="",IF(J113="j",_xlfn.CONCAT("Load"," ",Results!$C$39,".sim"),IF(K113="k",_xlfn.CONCAT("Load"," ",Results!$C$31,".sim"),"")),"Get Data")</f>
        <v>Get Data</v>
      </c>
      <c r="F114" s="624" t="str">
        <f t="shared" si="23"/>
        <v>Line</v>
      </c>
      <c r="G114" s="622"/>
      <c r="H114" s="622"/>
      <c r="I114" s="624" t="str">
        <f t="shared" si="17"/>
        <v>attachmenttype[52]</v>
      </c>
    </row>
  </sheetData>
  <dataConsolidate link="1"/>
  <mergeCells count="2">
    <mergeCell ref="J61:N61"/>
    <mergeCell ref="K5:L5"/>
  </mergeCells>
  <phoneticPr fontId="25" type="noConversion"/>
  <dataValidations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2 C59 C61" formula="1"/>
    <ignoredError sqref="C33 H33" evalError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3"/>
  <sheetViews>
    <sheetView showGridLines="0" workbookViewId="0"/>
  </sheetViews>
  <sheetFormatPr defaultColWidth="0" defaultRowHeight="12.75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240" customWidth="1"/>
    <col min="9" max="9" width="5.7109375" style="240" customWidth="1"/>
    <col min="10" max="10" width="2.7109375" style="84" customWidth="1"/>
    <col min="11" max="15" width="9.140625" style="84" customWidth="1"/>
    <col min="16" max="16384" width="9.140625" style="84" hidden="1"/>
  </cols>
  <sheetData>
    <row r="1" spans="1:10" ht="15" customHeight="1" thickBot="1" x14ac:dyDescent="0.25">
      <c r="D1" s="455" t="s">
        <v>1788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J3" s="275"/>
    </row>
    <row r="4" spans="1:10" ht="15" customHeight="1" x14ac:dyDescent="0.2">
      <c r="A4" s="276" t="s">
        <v>367</v>
      </c>
      <c r="B4" s="336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1860</v>
      </c>
      <c r="F7" s="274"/>
      <c r="H7" s="312" t="s">
        <v>1821</v>
      </c>
      <c r="I7" s="264">
        <f>COUNTA(tab_new_bs_curve_lan[IndependentValue])</f>
        <v>27</v>
      </c>
      <c r="J7" s="85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94</v>
      </c>
      <c r="J8" s="85"/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  <c r="J9" s="85"/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script_table_2nd_lan_start_row + 2*I7 - 1</f>
        <v>147</v>
      </c>
      <c r="J10" s="85"/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  <c r="J11" s="85"/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script_table_2nd_hid_start_row + 2*I11 - 1</f>
        <v>146</v>
      </c>
      <c r="J12" s="265"/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  <c r="J13" s="265"/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I14" s="265"/>
      <c r="J14" s="265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265"/>
      <c r="J15" s="265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65"/>
      <c r="J16" s="265"/>
    </row>
    <row r="17" spans="1:10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I17" s="265"/>
      <c r="J17" s="265"/>
    </row>
    <row r="18" spans="1:10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177">
        <f>Values!C25/1000</f>
        <v>0.28000000000000003</v>
      </c>
      <c r="F18" s="292"/>
      <c r="I18" s="265"/>
      <c r="J18" s="265"/>
    </row>
    <row r="19" spans="1:10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265"/>
      <c r="J19" s="265"/>
    </row>
    <row r="20" spans="1:10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265"/>
      <c r="J20" s="265"/>
    </row>
    <row r="21" spans="1:10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J21" s="265"/>
    </row>
    <row r="22" spans="1:10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J22" s="265"/>
    </row>
    <row r="23" spans="1:10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IF(ISBLANK((INDEX(D:D,SUM(104, I7),1))), "A curva de Lançamento NÃO foi inserida!", "A curva de Lançamento foi inserida!"))</f>
        <v>A curva de Lançamento NÃO foi inserida!</v>
      </c>
      <c r="J23" s="265"/>
    </row>
    <row r="24" spans="1:10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J24" s="265"/>
    </row>
    <row r="25" spans="1:10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J25" s="265"/>
    </row>
    <row r="26" spans="1:10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IF(ISBLANK((INDEX(D:D,SUM(104, I7, I9),1))), "A curva de Teste NÃO foi inserida!", "A curva de Teste foi inserida!"))</f>
        <v>A curva de Teste NÃO foi inserida!</v>
      </c>
      <c r="J26" s="265"/>
    </row>
    <row r="27" spans="1:10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J27" s="265"/>
    </row>
    <row r="28" spans="1:10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IF(ISBLANK((INDEX(D:D,SUM(104, I7, I9, I11),1))), "A curva de Operação NÃO foi inserida!", "A curva de Operação foi inserida!"))</f>
        <v>A curva de Operação NÃO foi inserida!</v>
      </c>
      <c r="J29" s="265"/>
    </row>
    <row r="30" spans="1:10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J30" s="265"/>
    </row>
    <row r="31" spans="1:10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J31" s="265"/>
    </row>
    <row r="32" spans="1:10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J32" s="265"/>
    </row>
    <row r="33" spans="1:10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84"/>
      <c r="I33" s="84"/>
      <c r="J33" s="265"/>
    </row>
    <row r="34" spans="1:10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84"/>
      <c r="I34" s="84"/>
      <c r="J34" s="265"/>
    </row>
    <row r="35" spans="1:10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84"/>
      <c r="I35" s="84"/>
      <c r="J35" s="265"/>
    </row>
    <row r="36" spans="1:10" ht="15" customHeight="1" x14ac:dyDescent="0.2">
      <c r="A36" s="172"/>
      <c r="B36" s="173" t="s">
        <v>373</v>
      </c>
      <c r="C36" s="288" t="str">
        <f>IF(Values!$A$66="","Select Line","Select ZR_Vertebra")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84"/>
      <c r="I36" s="84"/>
      <c r="J36" s="265"/>
    </row>
    <row r="37" spans="1:10" ht="15" customHeight="1" x14ac:dyDescent="0.2">
      <c r="A37" s="172"/>
      <c r="B37" s="173" t="s">
        <v>373</v>
      </c>
      <c r="C37" s="288" t="str">
        <f>IF(Values!$A$66="","Select Line","Select ZR_Vertebra")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J37" s="265"/>
    </row>
    <row r="38" spans="1:10" ht="15" customHeight="1" x14ac:dyDescent="0.2">
      <c r="A38" s="172"/>
      <c r="B38" s="173" t="s">
        <v>373</v>
      </c>
      <c r="C38" s="288" t="str">
        <f>IF(Values!$A$66="","Select Line","Select ZR_Vertebra")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J38" s="265"/>
    </row>
    <row r="39" spans="1:10" ht="15" customHeight="1" x14ac:dyDescent="0.2">
      <c r="A39" s="172"/>
      <c r="B39" s="173" t="s">
        <v>373</v>
      </c>
      <c r="C39" s="288" t="str">
        <f>IF(Values!$A$66="","Select Line","Select ZR_Vertebra")</f>
        <v>Select Line</v>
      </c>
      <c r="D39" s="176" t="str">
        <f>IF(Values!$A$66="","NumberOfSections =","EIx =")</f>
        <v>NumberOfSections =</v>
      </c>
      <c r="E39" s="177" t="str">
        <f>IF(Values!$A$66="",H$20,Values!C73)</f>
        <v>7</v>
      </c>
      <c r="F39" s="292"/>
      <c r="J39" s="265"/>
    </row>
    <row r="40" spans="1:10" ht="15" customHeight="1" x14ac:dyDescent="0.2">
      <c r="A40" s="172"/>
      <c r="B40" s="173" t="s">
        <v>373</v>
      </c>
      <c r="C40" s="288" t="str">
        <f>IF(Values!$A$66="","Select Line","Select ZR_Vertebra")</f>
        <v>Select Line</v>
      </c>
      <c r="D40" s="176" t="str">
        <f>IF(Values!$A$66="","NumberOfSections =","EA =")</f>
        <v>NumberOfSections =</v>
      </c>
      <c r="E40" s="177" t="str">
        <f>IF(Values!$A$66="",H$20,Values!C74)</f>
        <v>7</v>
      </c>
      <c r="F40" s="292"/>
      <c r="J40" s="265"/>
    </row>
    <row r="41" spans="1:10" ht="15" customHeight="1" x14ac:dyDescent="0.2">
      <c r="A41" s="172"/>
      <c r="B41" s="173" t="s">
        <v>373</v>
      </c>
      <c r="C41" s="288" t="str">
        <f>IF(Values!$A$66="","Select Line","Select ZR_Vertebra")</f>
        <v>Select Line</v>
      </c>
      <c r="D41" s="176" t="str">
        <f>IF(Values!$A$66="","NumberOfSections =","xMinRadius =")</f>
        <v>NumberOfSections =</v>
      </c>
      <c r="E41" s="177" t="str">
        <f>IF(Values!$A$66="",H$20,Values!C26)</f>
        <v>7</v>
      </c>
      <c r="F41" s="292"/>
      <c r="J41" s="265"/>
    </row>
    <row r="42" spans="1:10" ht="15" customHeight="1" x14ac:dyDescent="0.2">
      <c r="A42" s="172"/>
      <c r="B42" s="173" t="s">
        <v>373</v>
      </c>
      <c r="C42" s="288" t="str">
        <f>IF(Values!$A$66="","Select Line","Select ZR_Vertebra")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IF(Values!$A$66="",H$20,Values!C71/1000)</f>
        <v>7</v>
      </c>
      <c r="F42" s="292"/>
      <c r="J42" s="265"/>
    </row>
    <row r="43" spans="1:10" ht="15" customHeight="1" x14ac:dyDescent="0.2">
      <c r="A43" s="172"/>
      <c r="B43" s="173" t="s">
        <v>373</v>
      </c>
      <c r="C43" s="288" t="str">
        <f>IF(Values!$A$66="","Select Line","Select ZR_Vertebra")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IF(Values!$A$66="",H$20,Values!C71/1000)</f>
        <v>7</v>
      </c>
      <c r="F43" s="292"/>
      <c r="J43" s="265"/>
    </row>
    <row r="44" spans="1:10" ht="15" customHeight="1" x14ac:dyDescent="0.2">
      <c r="A44" s="172"/>
      <c r="B44" s="173" t="s">
        <v>373</v>
      </c>
      <c r="C44" s="288" t="str">
        <f>IF(Values!$A$66="","Select Line","Select ZR_Vertebra")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J44" s="265"/>
    </row>
    <row r="45" spans="1:10" ht="15" customHeight="1" x14ac:dyDescent="0.2">
      <c r="A45" s="172"/>
      <c r="B45" s="173" t="s">
        <v>373</v>
      </c>
      <c r="C45" s="288" t="str">
        <f>IF(Values!$A$66="","Select Line","Select ZR_Vertebra")</f>
        <v>Select Line</v>
      </c>
      <c r="D45" s="176" t="str">
        <f>IF(Values!$A$66="","NumberOfSections =","GJ =")</f>
        <v>NumberOfSections =</v>
      </c>
      <c r="E45" s="177" t="str">
        <f>IF(Values!$A$66="",H$20,Values!C75)</f>
        <v>7</v>
      </c>
      <c r="F45" s="292"/>
      <c r="J45" s="265"/>
    </row>
    <row r="46" spans="1:10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J46" s="265"/>
    </row>
    <row r="47" spans="1:10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J47" s="265"/>
    </row>
    <row r="48" spans="1:10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J48" s="265"/>
    </row>
    <row r="49" spans="1:10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J49" s="265"/>
    </row>
    <row r="50" spans="1:10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J50" s="265"/>
    </row>
    <row r="51" spans="1:10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J51" s="265"/>
    </row>
    <row r="52" spans="1:10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J52" s="265"/>
    </row>
    <row r="53" spans="1:10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J53" s="265"/>
    </row>
    <row r="54" spans="1:10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J54" s="265"/>
    </row>
    <row r="55" spans="1:10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J55" s="265"/>
    </row>
    <row r="56" spans="1:10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J56" s="265"/>
    </row>
    <row r="57" spans="1:10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J57" s="265"/>
    </row>
    <row r="58" spans="1:10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J58" s="265"/>
    </row>
    <row r="59" spans="1:10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J59" s="265"/>
    </row>
    <row r="60" spans="1:10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J60" s="265"/>
    </row>
    <row r="61" spans="1:10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J61" s="265"/>
    </row>
    <row r="62" spans="1:10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J62" s="265"/>
    </row>
    <row r="63" spans="1:10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J63" s="265"/>
    </row>
    <row r="64" spans="1:10" ht="15" customHeight="1" x14ac:dyDescent="0.2">
      <c r="A64" s="172"/>
      <c r="B64" s="173"/>
      <c r="C64" s="173" t="s">
        <v>373</v>
      </c>
      <c r="D64" s="174" t="s">
        <v>398</v>
      </c>
      <c r="E64" s="175">
        <f>Values!C18/1000</f>
        <v>4.21</v>
      </c>
      <c r="F64" s="292"/>
      <c r="J64" s="265"/>
    </row>
    <row r="65" spans="1:10" ht="15" customHeight="1" x14ac:dyDescent="0.2">
      <c r="A65" s="172"/>
      <c r="B65" s="173"/>
      <c r="C65" s="173" t="s">
        <v>373</v>
      </c>
      <c r="D65" s="176" t="str">
        <f>IF(Values!$A$66="", "LineType[7] =", "Attachmentz[1] =")</f>
        <v>LineType[7] =</v>
      </c>
      <c r="E65" s="177" t="str">
        <f>IF(Values!$A$66="", "Conector", 0)</f>
        <v>Conector</v>
      </c>
      <c r="F65" s="292"/>
      <c r="J65" s="265"/>
    </row>
    <row r="66" spans="1:10" ht="15" customHeight="1" x14ac:dyDescent="0.2">
      <c r="A66" s="172"/>
      <c r="B66" s="173"/>
      <c r="C66" s="173" t="s">
        <v>373</v>
      </c>
      <c r="D66" s="176" t="str">
        <f>IF(AND(Values!$A$66="",NOT(Values!$A$53="")), "LineType[8] =", "Attachmentz[1] =")</f>
        <v>Attachmentz[1] =</v>
      </c>
      <c r="E66" s="177">
        <f>IF(AND(Values!$A$66="",NOT(Values!$A$53="")), "Adaptador", 0)</f>
        <v>0</v>
      </c>
      <c r="F66" s="292"/>
      <c r="J66" s="265"/>
    </row>
    <row r="67" spans="1:10" ht="15" customHeight="1" x14ac:dyDescent="0.2">
      <c r="A67" s="172"/>
      <c r="B67" s="173"/>
      <c r="C67" s="173" t="s">
        <v>373</v>
      </c>
      <c r="D67" s="176" t="str">
        <f>IF(Values!$A$66="","Attachmentz[1] =","Length[7] =")</f>
        <v>Attachmentz[1] =</v>
      </c>
      <c r="E67" s="177">
        <f>IF(Values!$A$66="",0, Values!C64/1000)</f>
        <v>0</v>
      </c>
      <c r="F67" s="292"/>
      <c r="J67" s="265"/>
    </row>
    <row r="68" spans="1:10" ht="15" customHeight="1" x14ac:dyDescent="0.2">
      <c r="A68" s="172"/>
      <c r="B68" s="173"/>
      <c r="C68" s="173" t="s">
        <v>373</v>
      </c>
      <c r="D68" s="176" t="str">
        <f>IF(Values!$A$66="", "Length[7] =", "Length[8] =")</f>
        <v>Length[7] =</v>
      </c>
      <c r="E68" s="177">
        <f xml:space="preserve"> Values!C38/1000</f>
        <v>1.7909999999999999</v>
      </c>
      <c r="F68" s="292"/>
      <c r="J68" s="265"/>
    </row>
    <row r="69" spans="1:10" ht="15" customHeight="1" x14ac:dyDescent="0.2">
      <c r="A69" s="172"/>
      <c r="B69" s="173"/>
      <c r="C69" s="173" t="s">
        <v>373</v>
      </c>
      <c r="D69" s="176" t="str" cm="1">
        <f t="array" ref="D69">_xlfn.IFS(AND(Values!$A$66="",NOT(Values!$A$53="")), "Length[8] =", AND(NOT(Values!$A$66=""),NOT(Values!$A$53="")),"Length[9] =",TRUE, "Attachmentz[1] =")</f>
        <v>Attachmentz[1] =</v>
      </c>
      <c r="E69" s="177" cm="1">
        <f t="array" ref="E69">_xlfn.IFS(AND(Values!$A$66="",NOT(Values!$A$53="")), Values!C51/1000, AND(NOT(Values!$A$66=""),NOT(Values!$A$53="")),Values!C51/1000,TRUE,0)</f>
        <v>0</v>
      </c>
      <c r="F69" s="292"/>
      <c r="J69" s="265"/>
    </row>
    <row r="70" spans="1:10" ht="15" customHeight="1" x14ac:dyDescent="0.2">
      <c r="A70" s="172"/>
      <c r="B70" s="178"/>
      <c r="C70" s="173" t="s">
        <v>373</v>
      </c>
      <c r="D70" s="174" t="s">
        <v>399</v>
      </c>
      <c r="E70" s="177">
        <f>E67+E68+E69</f>
        <v>1.7909999999999999</v>
      </c>
      <c r="F70" s="292"/>
      <c r="J70" s="265"/>
    </row>
    <row r="71" spans="1:10" ht="15" customHeight="1" x14ac:dyDescent="0.2">
      <c r="A71" s="295"/>
      <c r="B71" s="178"/>
      <c r="C71" s="178" t="s">
        <v>373</v>
      </c>
      <c r="D71" s="176" t="s">
        <v>400</v>
      </c>
      <c r="E71" s="300">
        <f>'MCV e Guindaste'!C26</f>
        <v>0.83899999999999997</v>
      </c>
      <c r="F71" s="292"/>
      <c r="J71" s="265"/>
    </row>
    <row r="72" spans="1:10" ht="15" customHeight="1" x14ac:dyDescent="0.2">
      <c r="A72" s="295"/>
      <c r="B72" s="178"/>
      <c r="C72" s="178" t="s">
        <v>373</v>
      </c>
      <c r="D72" s="176" t="s">
        <v>401</v>
      </c>
      <c r="E72" s="300">
        <f>'MCV e Guindaste'!C25</f>
        <v>2.0369999999999999</v>
      </c>
      <c r="F72" s="292"/>
      <c r="J72" s="265"/>
    </row>
    <row r="73" spans="1:10" ht="15" customHeight="1" x14ac:dyDescent="0.2">
      <c r="A73" s="295"/>
      <c r="B73" s="178"/>
      <c r="C73" s="178" t="s">
        <v>373</v>
      </c>
      <c r="D73" s="176" t="s">
        <v>402</v>
      </c>
      <c r="E73" s="300">
        <f>'MCV e Guindaste'!C28</f>
        <v>60</v>
      </c>
      <c r="F73" s="292"/>
      <c r="J73" s="265"/>
    </row>
    <row r="74" spans="1:10" ht="15" customHeight="1" x14ac:dyDescent="0.2">
      <c r="A74" s="295"/>
      <c r="B74" s="178"/>
      <c r="C74" s="178" t="s">
        <v>403</v>
      </c>
      <c r="D74" s="178" t="s">
        <v>404</v>
      </c>
      <c r="E74" s="300">
        <f>'MCV e Guindaste'!C24</f>
        <v>-6.800000000000006E-2</v>
      </c>
      <c r="F74" s="292"/>
      <c r="J74" s="265"/>
    </row>
    <row r="75" spans="1:10" ht="15" customHeight="1" x14ac:dyDescent="0.2">
      <c r="A75" s="295"/>
      <c r="B75" s="178"/>
      <c r="C75" s="178" t="s">
        <v>403</v>
      </c>
      <c r="D75" s="178" t="s">
        <v>405</v>
      </c>
      <c r="E75" s="300">
        <f>'MCV e Guindaste'!C23</f>
        <v>2.5389999999999997</v>
      </c>
      <c r="F75" s="292"/>
      <c r="J75" s="265"/>
    </row>
    <row r="76" spans="1:10" ht="15" customHeight="1" x14ac:dyDescent="0.2">
      <c r="A76" s="295"/>
      <c r="B76" s="178"/>
      <c r="C76" s="178" t="s">
        <v>403</v>
      </c>
      <c r="D76" s="178" t="s">
        <v>406</v>
      </c>
      <c r="E76" s="301">
        <f>'MCV e Guindaste'!O18</f>
        <v>2296.6880000000001</v>
      </c>
      <c r="F76" s="292"/>
      <c r="J76" s="265"/>
    </row>
    <row r="77" spans="1:10" ht="15" customHeight="1" x14ac:dyDescent="0.2">
      <c r="A77" s="295"/>
      <c r="B77" s="178"/>
      <c r="C77" s="178" t="s">
        <v>388</v>
      </c>
      <c r="D77" s="176" t="s">
        <v>407</v>
      </c>
      <c r="E77" s="301" t="str">
        <f>IF(TRIM('MCV e Guindaste'!B6)="","MCV",SUBSTITUTE(TRIM('MCV e Guindaste'!B6)," ","_"))</f>
        <v>P7000048060_/_'DU700154300_Rev._C</v>
      </c>
      <c r="F77" s="292"/>
      <c r="J77" s="265"/>
    </row>
    <row r="78" spans="1:10" ht="15" customHeight="1" x14ac:dyDescent="0.2">
      <c r="A78" s="172"/>
      <c r="B78" s="173"/>
      <c r="C78" s="288" t="str">
        <f>IF(Values!$A$53="","Select Line","Select Adaptador")</f>
        <v>Select Line</v>
      </c>
      <c r="D78" s="176" t="str">
        <f>IF(Values!$A$53="","NumberOfSections =","Name =")</f>
        <v>NumberOfSections =</v>
      </c>
      <c r="E78" s="177" t="str">
        <f>IF(TRIM(Values!$A$53)="",H$20,SUBSTITUTE(TRIM(Values!$A$53)," ","_"))</f>
        <v>7</v>
      </c>
      <c r="F78" s="292"/>
      <c r="J78" s="265"/>
    </row>
    <row r="79" spans="1:10" ht="15" customHeight="1" x14ac:dyDescent="0.2">
      <c r="A79" s="295"/>
      <c r="B79" s="178"/>
      <c r="C79" s="178" t="s">
        <v>386</v>
      </c>
      <c r="D79" s="176" t="s">
        <v>407</v>
      </c>
      <c r="E79" s="301" t="str">
        <f>IF(TRIM(Values!$A$40)="","Conector",SUBSTITUTE(TRIM(Values!$A$40)," ","_"))</f>
        <v>CB-EF1522543-00-04</v>
      </c>
      <c r="F79" s="292"/>
      <c r="J79" s="265"/>
    </row>
    <row r="80" spans="1:10" ht="15" customHeight="1" x14ac:dyDescent="0.2">
      <c r="A80" s="172"/>
      <c r="B80" s="173"/>
      <c r="C80" s="288" t="str">
        <f>IF(Values!$A$66="","Select Line","Select ZR_Vertebra")</f>
        <v>Select Line</v>
      </c>
      <c r="D80" s="176" t="str">
        <f>IF(Values!$A$66="","NumberOfSections =","Name =")</f>
        <v>NumberOfSections =</v>
      </c>
      <c r="E80" s="177" t="str">
        <f>IF(TRIM(Values!$A$66)="",H$20,SUBSTITUTE(TRIM(Values!$A$66)," ","_"))</f>
        <v>7</v>
      </c>
      <c r="F80" s="292"/>
      <c r="J80" s="265"/>
    </row>
    <row r="81" spans="1:10" ht="15" customHeight="1" x14ac:dyDescent="0.2">
      <c r="A81" s="295"/>
      <c r="B81" s="178"/>
      <c r="C81" s="178" t="s">
        <v>385</v>
      </c>
      <c r="D81" s="176" t="s">
        <v>407</v>
      </c>
      <c r="E81" s="301" t="str">
        <f>IF(TRIM(Values!$A$20)="","Vértebra",SUBSTITUTE(TRIM(Values!$A$20)," ","_"))</f>
        <v>CB-BR1522543-00-01</v>
      </c>
      <c r="F81" s="292"/>
      <c r="J81" s="265"/>
    </row>
    <row r="82" spans="1:10" ht="15" customHeight="1" x14ac:dyDescent="0.2">
      <c r="A82" s="295"/>
      <c r="B82" s="178"/>
      <c r="C82" s="178" t="s">
        <v>374</v>
      </c>
      <c r="D82" s="176" t="s">
        <v>407</v>
      </c>
      <c r="E82" s="301" t="str">
        <f>IF(TRIM(Values!$A$5)="","Linha",SUBSTITUTE(TRIM(Values!$A$5)," ","_"))</f>
        <v>WSI_152.2547-RD-4042-X</v>
      </c>
      <c r="F82" s="292"/>
      <c r="J82" s="265"/>
    </row>
    <row r="83" spans="1:10" ht="15" customHeight="1" x14ac:dyDescent="0.2">
      <c r="A83" s="295"/>
      <c r="B83" s="178"/>
      <c r="C83" s="178" t="s">
        <v>408</v>
      </c>
      <c r="D83" s="176" t="s">
        <v>409</v>
      </c>
      <c r="E83" s="300" t="s">
        <v>410</v>
      </c>
      <c r="F83" s="292"/>
      <c r="J83" s="265"/>
    </row>
    <row r="84" spans="1:10" ht="15" customHeight="1" x14ac:dyDescent="0.2">
      <c r="A84" s="295"/>
      <c r="B84" s="178"/>
      <c r="C84" s="178" t="s">
        <v>408</v>
      </c>
      <c r="D84" s="176" t="s">
        <v>411</v>
      </c>
      <c r="E84" s="302">
        <v>4</v>
      </c>
      <c r="F84" s="292"/>
      <c r="J84" s="265"/>
    </row>
    <row r="85" spans="1:10" ht="15" customHeight="1" x14ac:dyDescent="0.2">
      <c r="A85" s="295"/>
      <c r="B85" s="178"/>
      <c r="C85" s="178" t="s">
        <v>408</v>
      </c>
      <c r="D85" s="176" t="s">
        <v>412</v>
      </c>
      <c r="E85" s="300">
        <v>0</v>
      </c>
      <c r="F85" s="292"/>
      <c r="J85" s="265"/>
    </row>
    <row r="86" spans="1:10" ht="15" customHeight="1" x14ac:dyDescent="0.2">
      <c r="A86" s="295"/>
      <c r="B86" s="178"/>
      <c r="C86" s="178" t="s">
        <v>408</v>
      </c>
      <c r="D86" s="176" t="s">
        <v>413</v>
      </c>
      <c r="E86" s="300">
        <f>'MCV e Guindaste'!P21</f>
        <v>2301</v>
      </c>
      <c r="F86" s="292"/>
      <c r="J86" s="265"/>
    </row>
    <row r="87" spans="1:10" ht="15" customHeight="1" x14ac:dyDescent="0.2">
      <c r="A87" s="295"/>
      <c r="B87" s="178"/>
      <c r="C87" s="178" t="s">
        <v>408</v>
      </c>
      <c r="D87" s="176" t="s">
        <v>414</v>
      </c>
      <c r="E87" s="296">
        <f>IF('MCV e Guindaste'!N22="",E85,'MCV e Guindaste'!N22)</f>
        <v>5</v>
      </c>
      <c r="F87" s="292"/>
      <c r="J87" s="265"/>
    </row>
    <row r="88" spans="1:10" ht="15" customHeight="1" x14ac:dyDescent="0.2">
      <c r="A88" s="295"/>
      <c r="B88" s="178"/>
      <c r="C88" s="178" t="s">
        <v>408</v>
      </c>
      <c r="D88" s="176" t="s">
        <v>415</v>
      </c>
      <c r="E88" s="296">
        <f>'MCV e Guindaste'!P22</f>
        <v>2301</v>
      </c>
      <c r="F88" s="292"/>
      <c r="J88" s="265"/>
    </row>
    <row r="89" spans="1:10" ht="15" customHeight="1" x14ac:dyDescent="0.2">
      <c r="A89" s="295"/>
      <c r="B89" s="178"/>
      <c r="C89" s="178" t="s">
        <v>408</v>
      </c>
      <c r="D89" s="176" t="s">
        <v>416</v>
      </c>
      <c r="E89" s="296">
        <f>IF('MCV e Guindaste'!N23="",E87,'MCV e Guindaste'!N23)</f>
        <v>10</v>
      </c>
      <c r="F89" s="292"/>
      <c r="J89" s="265"/>
    </row>
    <row r="90" spans="1:10" ht="15" customHeight="1" x14ac:dyDescent="0.2">
      <c r="A90" s="295"/>
      <c r="B90" s="178"/>
      <c r="C90" s="178" t="s">
        <v>408</v>
      </c>
      <c r="D90" s="176" t="s">
        <v>417</v>
      </c>
      <c r="E90" s="296">
        <f>'MCV e Guindaste'!P23</f>
        <v>2301</v>
      </c>
      <c r="F90" s="292"/>
      <c r="J90" s="265"/>
    </row>
    <row r="91" spans="1:10" ht="15" customHeight="1" x14ac:dyDescent="0.2">
      <c r="A91" s="295"/>
      <c r="B91" s="178"/>
      <c r="C91" s="178" t="s">
        <v>408</v>
      </c>
      <c r="D91" s="176" t="s">
        <v>418</v>
      </c>
      <c r="E91" s="296">
        <f>IF('MCV e Guindaste'!N24="",E89,'MCV e Guindaste'!N24)</f>
        <v>15</v>
      </c>
      <c r="F91" s="292"/>
      <c r="J91" s="265"/>
    </row>
    <row r="92" spans="1:10" ht="15" customHeight="1" x14ac:dyDescent="0.2">
      <c r="A92" s="295"/>
      <c r="B92" s="178"/>
      <c r="C92" s="178" t="s">
        <v>408</v>
      </c>
      <c r="D92" s="176" t="s">
        <v>419</v>
      </c>
      <c r="E92" s="296">
        <f>'MCV e Guindaste'!P24</f>
        <v>2301</v>
      </c>
      <c r="F92" s="292"/>
      <c r="J92" s="265"/>
    </row>
    <row r="93" spans="1:10" ht="15" customHeight="1" x14ac:dyDescent="0.2">
      <c r="A93" s="295"/>
      <c r="B93" s="178" t="str">
        <f>IF($B$4="Umbilical","Select Line","")</f>
        <v/>
      </c>
      <c r="C93" s="178" t="str">
        <f>IF($B$4="Umbilical",_xlfn.CONCAT("Select ",E82),"Select Stiffness_Lançamento")</f>
        <v>Select Stiffness_Lançamento</v>
      </c>
      <c r="D93" s="176" t="str">
        <f>IF($B$4="Umbilical","EIx=","NumberOfRows =")</f>
        <v>NumberOfRows =</v>
      </c>
      <c r="E93" s="303">
        <f>IF($B$4="Umbilical", Values!C14, I7)</f>
        <v>27</v>
      </c>
      <c r="F93" s="292"/>
      <c r="J93" s="265"/>
    </row>
    <row r="94" spans="1:10" ht="15" customHeight="1" x14ac:dyDescent="0.2">
      <c r="A94" s="295"/>
      <c r="B94" s="178"/>
      <c r="C94" s="178" t="str">
        <f>IF($B$4="Umbilical",_xlfn.CONCAT("Select ",E83),"Select Stiffness_Teste")</f>
        <v>Select Stiffness_Teste</v>
      </c>
      <c r="D94" s="176" t="str">
        <f t="shared" ref="D94:D95" si="0">IF($B$4="Umbilical","EIx=","NumberOfRows =")</f>
        <v>NumberOfRows =</v>
      </c>
      <c r="E94" s="303">
        <f>IF($B$4="Umbilical", Values!C15, I9)</f>
        <v>0</v>
      </c>
      <c r="F94" s="292"/>
      <c r="J94" s="265"/>
    </row>
    <row r="95" spans="1:10" ht="15" customHeight="1" x14ac:dyDescent="0.2">
      <c r="A95" s="295"/>
      <c r="B95" s="178"/>
      <c r="C95" s="178" t="str">
        <f>IF($B$4="Umbilical",_xlfn.CONCAT("Select ",E84),"Select Stiffness_Operação")</f>
        <v>Select Stiffness_Operação</v>
      </c>
      <c r="D95" s="176" t="str">
        <f t="shared" si="0"/>
        <v>NumberOfRows =</v>
      </c>
      <c r="E95" s="303">
        <f>IF($B$4="Umbilical", Values!C16, I11)</f>
        <v>0</v>
      </c>
      <c r="F95" s="292"/>
      <c r="J95" s="265"/>
    </row>
    <row r="96" spans="1:10" ht="15" customHeight="1" x14ac:dyDescent="0.2">
      <c r="A96" s="295"/>
      <c r="B96" s="178"/>
      <c r="C96" s="178" t="s">
        <v>1803</v>
      </c>
      <c r="D96" s="176" t="s">
        <v>420</v>
      </c>
      <c r="E96" s="302">
        <f>I13</f>
        <v>3</v>
      </c>
      <c r="F96" s="292"/>
      <c r="J96" s="265"/>
    </row>
    <row r="97" spans="1:10" ht="15" customHeight="1" x14ac:dyDescent="0.2">
      <c r="A97" s="295"/>
      <c r="B97" s="178"/>
      <c r="C97" s="178" t="s">
        <v>1803</v>
      </c>
      <c r="D97" s="176" t="s">
        <v>421</v>
      </c>
      <c r="E97" s="304">
        <f>'Bending Stiffness'!W19</f>
        <v>0.34965034965034969</v>
      </c>
      <c r="F97" s="292"/>
      <c r="J97" s="265"/>
    </row>
    <row r="98" spans="1:10" ht="15" customHeight="1" x14ac:dyDescent="0.2">
      <c r="A98" s="295"/>
      <c r="B98" s="178"/>
      <c r="C98" s="178" t="s">
        <v>1803</v>
      </c>
      <c r="D98" s="176" t="s">
        <v>422</v>
      </c>
      <c r="E98" s="304">
        <f>'Bending Stiffness'!W20</f>
        <v>1.3496503496503496</v>
      </c>
      <c r="F98" s="292"/>
      <c r="J98" s="265"/>
    </row>
    <row r="99" spans="1:10" ht="15" customHeight="1" x14ac:dyDescent="0.2">
      <c r="A99" s="295"/>
      <c r="B99" s="178"/>
      <c r="C99" s="178" t="s">
        <v>1803</v>
      </c>
      <c r="D99" s="176" t="s">
        <v>423</v>
      </c>
      <c r="E99" s="294">
        <f>'Bending Stiffness'!X19</f>
        <v>0.01</v>
      </c>
      <c r="F99" s="292"/>
      <c r="J99" s="265"/>
    </row>
    <row r="100" spans="1:10" ht="15" customHeight="1" x14ac:dyDescent="0.2">
      <c r="A100" s="295"/>
      <c r="B100" s="178"/>
      <c r="C100" s="178" t="s">
        <v>1803</v>
      </c>
      <c r="D100" s="176" t="s">
        <v>424</v>
      </c>
      <c r="E100" s="302">
        <f>'Bending Stiffness'!X20</f>
        <v>25474.780317225832</v>
      </c>
      <c r="F100" s="292"/>
      <c r="J100" s="265"/>
    </row>
    <row r="101" spans="1:10" ht="15" customHeight="1" x14ac:dyDescent="0.2">
      <c r="A101" s="295"/>
      <c r="B101" s="178"/>
      <c r="C101" s="178" t="s">
        <v>425</v>
      </c>
      <c r="D101" s="178" t="s">
        <v>406</v>
      </c>
      <c r="E101" s="300">
        <f>'MCV e Guindaste'!O17</f>
        <v>2301</v>
      </c>
      <c r="F101" s="292"/>
      <c r="J101" s="265"/>
    </row>
    <row r="102" spans="1:10" ht="15" customHeight="1" x14ac:dyDescent="0.2">
      <c r="A102" s="295"/>
      <c r="B102" s="178"/>
      <c r="C102" s="178" t="s">
        <v>426</v>
      </c>
      <c r="D102" s="176" t="s">
        <v>391</v>
      </c>
      <c r="E102" s="300">
        <f>('MCV e Guindaste'!O17-5)*(-1)</f>
        <v>-2296</v>
      </c>
      <c r="F102" s="292"/>
      <c r="J102" s="265"/>
    </row>
    <row r="103" spans="1:10" ht="15" customHeight="1" thickBot="1" x14ac:dyDescent="0.25">
      <c r="A103" s="305"/>
      <c r="B103" s="306"/>
      <c r="C103" s="307"/>
      <c r="D103" s="308" t="s">
        <v>427</v>
      </c>
      <c r="E103" s="309" t="str">
        <f>_xlfn.CONCAT(Results!$C$31,".dat")</f>
        <v>Estatico.dat</v>
      </c>
      <c r="F103" s="292"/>
      <c r="J103" s="265"/>
    </row>
    <row r="104" spans="1:10" ht="15" customHeight="1" x14ac:dyDescent="0.2">
      <c r="J104" s="265"/>
    </row>
    <row r="105" spans="1:10" ht="15" customHeight="1" x14ac:dyDescent="0.2">
      <c r="J105" s="265"/>
    </row>
    <row r="106" spans="1:10" ht="15" customHeight="1" x14ac:dyDescent="0.2">
      <c r="J106" s="265"/>
    </row>
    <row r="107" spans="1:10" ht="15" customHeight="1" x14ac:dyDescent="0.2">
      <c r="J107" s="265"/>
    </row>
    <row r="108" spans="1:10" ht="15" customHeight="1" x14ac:dyDescent="0.2">
      <c r="J108" s="265"/>
    </row>
    <row r="109" spans="1:10" ht="15" customHeight="1" x14ac:dyDescent="0.2">
      <c r="J109" s="265"/>
    </row>
    <row r="110" spans="1:10" ht="15" customHeight="1" x14ac:dyDescent="0.2">
      <c r="J110" s="265"/>
    </row>
    <row r="111" spans="1:10" ht="15" customHeight="1" x14ac:dyDescent="0.2">
      <c r="J111" s="265"/>
    </row>
    <row r="112" spans="1:10" ht="15" customHeight="1" x14ac:dyDescent="0.2">
      <c r="J112" s="265"/>
    </row>
    <row r="113" spans="10:10" ht="15" customHeight="1" x14ac:dyDescent="0.2">
      <c r="J113" s="265"/>
    </row>
    <row r="114" spans="10:10" ht="15" customHeight="1" x14ac:dyDescent="0.2">
      <c r="J114" s="265"/>
    </row>
    <row r="115" spans="10:10" ht="15" customHeight="1" x14ac:dyDescent="0.2">
      <c r="J115" s="265"/>
    </row>
    <row r="116" spans="10:10" ht="15" customHeight="1" x14ac:dyDescent="0.2">
      <c r="J116" s="265"/>
    </row>
    <row r="117" spans="10:10" ht="15" customHeight="1" x14ac:dyDescent="0.2">
      <c r="J117" s="265"/>
    </row>
    <row r="118" spans="10:10" ht="15" customHeight="1" x14ac:dyDescent="0.2">
      <c r="J118" s="265"/>
    </row>
    <row r="119" spans="10:10" ht="15" customHeight="1" x14ac:dyDescent="0.2">
      <c r="J119" s="265"/>
    </row>
    <row r="120" spans="10:10" ht="15" customHeight="1" x14ac:dyDescent="0.2">
      <c r="J120" s="265"/>
    </row>
    <row r="121" spans="10:10" ht="15" customHeight="1" x14ac:dyDescent="0.2">
      <c r="J121" s="265"/>
    </row>
    <row r="122" spans="10:10" ht="15" customHeight="1" x14ac:dyDescent="0.2">
      <c r="J122" s="265"/>
    </row>
    <row r="123" spans="10:10" ht="15" customHeight="1" x14ac:dyDescent="0.2">
      <c r="J123" s="265"/>
    </row>
    <row r="124" spans="10:10" ht="15" customHeight="1" x14ac:dyDescent="0.2">
      <c r="J124" s="265"/>
    </row>
    <row r="125" spans="10:10" ht="15" customHeight="1" x14ac:dyDescent="0.2">
      <c r="J125" s="265"/>
    </row>
    <row r="126" spans="10:10" ht="15" customHeight="1" x14ac:dyDescent="0.2">
      <c r="J126" s="265"/>
    </row>
    <row r="127" spans="10:10" ht="15" customHeight="1" x14ac:dyDescent="0.2">
      <c r="J127" s="265"/>
    </row>
    <row r="128" spans="10:10" ht="15" customHeight="1" x14ac:dyDescent="0.2">
      <c r="J128" s="265"/>
    </row>
    <row r="129" spans="6:10" ht="15" customHeight="1" x14ac:dyDescent="0.2">
      <c r="J129" s="265"/>
    </row>
    <row r="130" spans="6:10" ht="15" customHeight="1" x14ac:dyDescent="0.2">
      <c r="J130" s="265"/>
    </row>
    <row r="131" spans="6:10" ht="15" customHeight="1" x14ac:dyDescent="0.2">
      <c r="J131" s="265"/>
    </row>
    <row r="132" spans="6:10" ht="15" customHeight="1" x14ac:dyDescent="0.2">
      <c r="J132" s="265"/>
    </row>
    <row r="133" spans="6:10" ht="15" customHeight="1" x14ac:dyDescent="0.2">
      <c r="J133" s="265"/>
    </row>
    <row r="134" spans="6:10" ht="15" customHeight="1" x14ac:dyDescent="0.2">
      <c r="J134" s="265"/>
    </row>
    <row r="135" spans="6:10" ht="15" customHeight="1" x14ac:dyDescent="0.2">
      <c r="J135" s="265"/>
    </row>
    <row r="136" spans="6:10" ht="15" customHeight="1" x14ac:dyDescent="0.2">
      <c r="J136" s="265"/>
    </row>
    <row r="137" spans="6:10" ht="15" customHeight="1" x14ac:dyDescent="0.2">
      <c r="J137" s="265"/>
    </row>
    <row r="138" spans="6:10" ht="15" customHeight="1" x14ac:dyDescent="0.2">
      <c r="J138" s="265"/>
    </row>
    <row r="139" spans="6:10" ht="15" customHeight="1" x14ac:dyDescent="0.2">
      <c r="F139" s="85"/>
      <c r="J139" s="265"/>
    </row>
    <row r="140" spans="6:10" x14ac:dyDescent="0.2">
      <c r="J140" s="265"/>
    </row>
    <row r="141" spans="6:10" x14ac:dyDescent="0.2">
      <c r="J141" s="265"/>
    </row>
    <row r="142" spans="6:10" x14ac:dyDescent="0.2">
      <c r="J142" s="265"/>
    </row>
    <row r="143" spans="6:10" x14ac:dyDescent="0.2">
      <c r="J143" s="85"/>
    </row>
  </sheetData>
  <dataConsolidate/>
  <conditionalFormatting sqref="H23">
    <cfRule type="containsText" dxfId="178" priority="5" operator="containsText" text="Lançamento foi">
      <formula>NOT(ISERROR(SEARCH("Lançamento foi",H23)))</formula>
    </cfRule>
    <cfRule type="containsText" dxfId="177" priority="8" operator="containsText" text="Lançamento NÃO foi">
      <formula>NOT(ISERROR(SEARCH("Lançamento NÃO foi",H23)))</formula>
    </cfRule>
  </conditionalFormatting>
  <conditionalFormatting sqref="H26">
    <cfRule type="containsText" dxfId="176" priority="2" operator="containsText" text="Teste foi">
      <formula>NOT(ISERROR(SEARCH("Teste foi",H26)))</formula>
    </cfRule>
    <cfRule type="containsText" dxfId="175" priority="7" operator="containsText" text="Teste NÃO foi">
      <formula>NOT(ISERROR(SEARCH("Teste NÃO foi",H26)))</formula>
    </cfRule>
  </conditionalFormatting>
  <conditionalFormatting sqref="H29">
    <cfRule type="containsText" dxfId="174" priority="1" operator="containsText" text="Operação foi">
      <formula>NOT(ISERROR(SEARCH("Operação foi",H29)))</formula>
    </cfRule>
    <cfRule type="containsText" dxfId="173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4:B84 A85:C86 E85:E86 D86 A6:E12 A16:E35 A56:E63 A83:E83 A71:E81 H16:H18 E93:E95 C93:C103 A87:B103 D97:E103 D93:D96" xr:uid="{00000000-0002-0000-0500-000001000000}"/>
    <dataValidation allowBlank="1" showErrorMessage="1" prompt="O conteúdo desta célula pode estar oculto, porém não deve ser alterado." sqref="C84:E84 D85 D95:D96 E87:E96 C87:D95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98 E100 E11 E17 E19 E26 E28 E97" evalError="1"/>
    <ignoredError sqref="E60:E61" formula="1"/>
    <ignoredError sqref="E10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3</xdr:col>
                    <xdr:colOff>1981200</xdr:colOff>
                    <xdr:row>2</xdr:row>
                    <xdr:rowOff>38100</xdr:rowOff>
                  </from>
                  <to>
                    <xdr:col>10</xdr:col>
                    <xdr:colOff>238125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1:O315"/>
  <sheetViews>
    <sheetView workbookViewId="0"/>
  </sheetViews>
  <sheetFormatPr defaultColWidth="0" defaultRowHeight="13.5" customHeight="1" x14ac:dyDescent="0.2"/>
  <cols>
    <col min="1" max="1" width="15.7109375" style="318" customWidth="1"/>
    <col min="2" max="2" width="7.7109375" style="318" customWidth="1"/>
    <col min="3" max="3" width="79.7109375" style="318" customWidth="1"/>
    <col min="4" max="4" width="7.7109375" style="318" customWidth="1"/>
    <col min="5" max="8" width="20.7109375" style="318" customWidth="1"/>
    <col min="9" max="9" width="40.7109375" style="34" customWidth="1"/>
    <col min="10" max="10" width="6.7109375" style="34" customWidth="1"/>
    <col min="11" max="14" width="16.7109375" style="34" customWidth="1"/>
    <col min="15" max="15" width="2.7109375" style="34" customWidth="1"/>
    <col min="16" max="17" width="9.140625" style="34" hidden="1" customWidth="1"/>
    <col min="18" max="16384" width="9.140625" style="34" hidden="1"/>
  </cols>
  <sheetData>
    <row r="1" spans="1:12" ht="13.5" customHeight="1" x14ac:dyDescent="0.2">
      <c r="A1" s="199"/>
      <c r="B1" s="199"/>
      <c r="C1" s="199"/>
      <c r="D1" s="199"/>
      <c r="E1" s="199"/>
      <c r="F1" s="199"/>
      <c r="G1" s="199"/>
      <c r="H1" s="199"/>
    </row>
    <row r="2" spans="1:12" ht="13.5" customHeight="1" x14ac:dyDescent="0.2">
      <c r="A2" s="34"/>
      <c r="B2" s="34"/>
      <c r="C2" s="34"/>
      <c r="D2" s="34"/>
      <c r="E2" s="34"/>
      <c r="F2" s="34"/>
      <c r="G2" s="34"/>
      <c r="H2" s="34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374"/>
      <c r="B5" s="202"/>
      <c r="C5" s="202"/>
      <c r="D5" s="202"/>
      <c r="E5" s="203" t="str">
        <f>CONCATENATE("Load ",Results!C31,".sim")</f>
        <v>Load Estatico.sim</v>
      </c>
      <c r="F5" s="202"/>
      <c r="G5" s="202"/>
      <c r="H5" s="202"/>
      <c r="I5" s="202"/>
      <c r="K5" s="756" t="s">
        <v>1650</v>
      </c>
      <c r="L5" s="758"/>
    </row>
    <row r="6" spans="1:12" ht="13.5" customHeight="1" thickTop="1" x14ac:dyDescent="0.2">
      <c r="A6" s="238" t="s">
        <v>2</v>
      </c>
      <c r="B6" s="238" t="s">
        <v>1711</v>
      </c>
      <c r="C6" s="238" t="s">
        <v>1624</v>
      </c>
      <c r="D6" s="238" t="str">
        <f>SUBSTITUTE(B6, "B", "C")</f>
        <v>C26</v>
      </c>
      <c r="E6" s="238" t="s">
        <v>1624</v>
      </c>
      <c r="F6" s="239"/>
      <c r="G6" s="238"/>
      <c r="H6" s="239"/>
      <c r="I6" s="239"/>
      <c r="K6" s="460" t="s">
        <v>487</v>
      </c>
      <c r="L6" s="574" t="s">
        <v>511</v>
      </c>
    </row>
    <row r="7" spans="1:12" ht="13.5" customHeight="1" x14ac:dyDescent="0.2">
      <c r="A7" s="200" t="s">
        <v>2</v>
      </c>
      <c r="B7" s="238" t="s">
        <v>1712</v>
      </c>
      <c r="C7" s="200" t="str">
        <f>CONCATENATE(I7," - ",F7)</f>
        <v>Rotation 2 - P7000048060_/_'DU700154300_Rev._C</v>
      </c>
      <c r="D7" s="238" t="str">
        <f t="shared" ref="D7:D16" si="0">SUBSTITUTE(B7, "B", "C")</f>
        <v>C27</v>
      </c>
      <c r="E7" s="200" t="s">
        <v>445</v>
      </c>
      <c r="F7" s="211" t="str">
        <f>'2nd_Post_Processing'!$L$8</f>
        <v>P7000048060_/_'DU700154300_Rev._C</v>
      </c>
      <c r="G7" s="200"/>
      <c r="H7" s="200"/>
      <c r="I7" s="200" t="s">
        <v>448</v>
      </c>
      <c r="K7" s="461" t="s">
        <v>305</v>
      </c>
      <c r="L7" s="372" t="s">
        <v>1925</v>
      </c>
    </row>
    <row r="8" spans="1:12" ht="13.5" customHeight="1" x14ac:dyDescent="0.2">
      <c r="A8" s="200" t="s">
        <v>2</v>
      </c>
      <c r="B8" s="238" t="s">
        <v>1713</v>
      </c>
      <c r="C8" s="200" t="str">
        <f t="shared" ref="C8" si="1">CONCATENATE(I8," - ",F8)</f>
        <v>Depth - Environment</v>
      </c>
      <c r="D8" s="238" t="str">
        <f t="shared" si="0"/>
        <v>C28</v>
      </c>
      <c r="E8" s="200" t="s">
        <v>442</v>
      </c>
      <c r="F8" s="200" t="s">
        <v>443</v>
      </c>
      <c r="G8" s="200"/>
      <c r="H8" s="200"/>
      <c r="I8" s="200" t="s">
        <v>444</v>
      </c>
      <c r="K8" s="461" t="s">
        <v>1285</v>
      </c>
      <c r="L8" s="575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201" t="s">
        <v>2</v>
      </c>
      <c r="B9" s="238" t="s">
        <v>1714</v>
      </c>
      <c r="C9" s="372" t="str">
        <f>CONCATENATE(I9," - ",F9, 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37"/>
      <c r="K9" s="462" t="s">
        <v>1293</v>
      </c>
      <c r="L9" s="372" t="s">
        <v>1293</v>
      </c>
    </row>
    <row r="10" spans="1:12" ht="13.5" customHeight="1" x14ac:dyDescent="0.2">
      <c r="A10" s="200" t="s">
        <v>2</v>
      </c>
      <c r="B10" s="238" t="s">
        <v>1715</v>
      </c>
      <c r="C10" s="200" t="str">
        <f>CONCATENATE(I10," - ",F10," - ",G10)</f>
        <v>End Ez-Force - Line - End B</v>
      </c>
      <c r="D10" s="238" t="str">
        <f t="shared" si="0"/>
        <v>C30</v>
      </c>
      <c r="E10" s="200" t="s">
        <v>445</v>
      </c>
      <c r="F10" s="200" t="str">
        <f>'2nd_Post_Processing'!$L$6</f>
        <v>Line</v>
      </c>
      <c r="G10" s="200" t="s">
        <v>446</v>
      </c>
      <c r="H10" s="200"/>
      <c r="I10" s="200" t="s">
        <v>451</v>
      </c>
      <c r="K10" s="462" t="s">
        <v>1653</v>
      </c>
      <c r="L10" s="372" t="s">
        <v>1290</v>
      </c>
    </row>
    <row r="11" spans="1:12" ht="13.5" customHeight="1" x14ac:dyDescent="0.2">
      <c r="A11" s="200" t="s">
        <v>2</v>
      </c>
      <c r="B11" s="238" t="s">
        <v>1716</v>
      </c>
      <c r="C11" s="200" t="str">
        <f>CONCATENATE(I11," - ",F11," - ",G11)</f>
        <v>End Ex-Force - Line - End B</v>
      </c>
      <c r="D11" s="238" t="str">
        <f t="shared" si="0"/>
        <v>C31</v>
      </c>
      <c r="E11" s="200" t="s">
        <v>445</v>
      </c>
      <c r="F11" s="200" t="str">
        <f>'2nd_Post_Processing'!$L$6</f>
        <v>Line</v>
      </c>
      <c r="G11" s="200" t="s">
        <v>446</v>
      </c>
      <c r="H11" s="200"/>
      <c r="I11" s="200" t="s">
        <v>450</v>
      </c>
      <c r="J11" s="37"/>
      <c r="K11" s="462" t="s">
        <v>1654</v>
      </c>
      <c r="L11" s="372" t="s">
        <v>509</v>
      </c>
    </row>
    <row r="12" spans="1:12" ht="13.5" customHeight="1" x14ac:dyDescent="0.2">
      <c r="A12" s="200" t="s">
        <v>2</v>
      </c>
      <c r="B12" s="238" t="s">
        <v>164</v>
      </c>
      <c r="C12" s="200" t="str">
        <f>CONCATENATE(I12," - ",F12," - ",G12)</f>
        <v>End Ey-Moment - Line - End B</v>
      </c>
      <c r="D12" s="238" t="str">
        <f t="shared" si="0"/>
        <v>C32</v>
      </c>
      <c r="E12" s="200" t="s">
        <v>445</v>
      </c>
      <c r="F12" s="200" t="str">
        <f>'2nd_Post_Processing'!$L$6</f>
        <v>Line</v>
      </c>
      <c r="G12" s="200" t="s">
        <v>446</v>
      </c>
      <c r="H12" s="200"/>
      <c r="I12" s="200" t="s">
        <v>449</v>
      </c>
      <c r="J12" s="37"/>
      <c r="K12" s="462" t="s">
        <v>1655</v>
      </c>
      <c r="L12" s="372" t="s">
        <v>510</v>
      </c>
    </row>
    <row r="13" spans="1:12" ht="13.5" customHeight="1" x14ac:dyDescent="0.2">
      <c r="A13" s="200" t="s">
        <v>2</v>
      </c>
      <c r="B13" s="238" t="s">
        <v>1717</v>
      </c>
      <c r="C13" s="200" t="str">
        <f>CONCATENATE(I13," - ",F13)</f>
        <v>Bend Radius - Line</v>
      </c>
      <c r="D13" s="238" t="str">
        <f t="shared" si="0"/>
        <v>C33</v>
      </c>
      <c r="E13" s="200" t="s">
        <v>439</v>
      </c>
      <c r="F13" s="200" t="str">
        <f>'2nd_Post_Processing'!$L$6</f>
        <v>Line</v>
      </c>
      <c r="G13" s="200"/>
      <c r="H13" s="200" t="s">
        <v>440</v>
      </c>
      <c r="I13" s="200" t="s">
        <v>441</v>
      </c>
    </row>
    <row r="14" spans="1:12" ht="13.5" customHeight="1" x14ac:dyDescent="0.2">
      <c r="A14" s="200" t="s">
        <v>2</v>
      </c>
      <c r="B14" s="238" t="s">
        <v>1718</v>
      </c>
      <c r="C14" s="200" t="str">
        <f t="shared" ref="C14:C24" si="2">CONCATENATE(I14," - ",F14)</f>
        <v>Bend Radius - Stiffener1</v>
      </c>
      <c r="D14" s="238" t="str">
        <f t="shared" si="0"/>
        <v>C34</v>
      </c>
      <c r="E14" s="200" t="s">
        <v>439</v>
      </c>
      <c r="F14" s="200" t="str">
        <f>'2nd_Post_Processing'!$L$7</f>
        <v>Stiffener1</v>
      </c>
      <c r="G14" s="200"/>
      <c r="H14" s="200" t="s">
        <v>440</v>
      </c>
      <c r="I14" s="200" t="s">
        <v>441</v>
      </c>
    </row>
    <row r="15" spans="1:12" ht="13.5" customHeight="1" x14ac:dyDescent="0.2">
      <c r="A15" s="200" t="s">
        <v>2</v>
      </c>
      <c r="B15" s="238" t="s">
        <v>1719</v>
      </c>
      <c r="C15" s="200" t="str">
        <f t="shared" si="2"/>
        <v>Bend Moment - Stiffener1</v>
      </c>
      <c r="D15" s="238" t="str">
        <f t="shared" si="0"/>
        <v>C35</v>
      </c>
      <c r="E15" s="200" t="s">
        <v>463</v>
      </c>
      <c r="F15" s="200" t="str">
        <f>'2nd_Post_Processing'!$L$7</f>
        <v>Stiffener1</v>
      </c>
      <c r="G15" s="200"/>
      <c r="H15" s="200" t="s">
        <v>440</v>
      </c>
      <c r="I15" s="200" t="s">
        <v>464</v>
      </c>
    </row>
    <row r="16" spans="1:12" ht="13.5" customHeight="1" x14ac:dyDescent="0.2">
      <c r="A16" s="201" t="s">
        <v>2</v>
      </c>
      <c r="B16" s="238" t="s">
        <v>225</v>
      </c>
      <c r="C16" s="200" t="str">
        <f t="shared" si="2"/>
        <v>Shear Force - Stiffener1</v>
      </c>
      <c r="D16" s="238" t="str">
        <f t="shared" si="0"/>
        <v>C36</v>
      </c>
      <c r="E16" s="200" t="s">
        <v>463</v>
      </c>
      <c r="F16" s="200" t="str">
        <f>'2nd_Post_Processing'!$L$7</f>
        <v>Stiffener1</v>
      </c>
      <c r="G16" s="201"/>
      <c r="H16" s="200" t="s">
        <v>440</v>
      </c>
      <c r="I16" s="200" t="s">
        <v>466</v>
      </c>
    </row>
    <row r="17" spans="1:10" ht="13.5" customHeight="1" x14ac:dyDescent="0.2">
      <c r="A17" s="200" t="s">
        <v>2</v>
      </c>
      <c r="B17" s="238" t="s">
        <v>1720</v>
      </c>
      <c r="C17" s="372" t="str">
        <f>CONCATENATE(I17," - ",F17)</f>
        <v>EndBZ - Cabrestante 1</v>
      </c>
      <c r="D17" s="238" t="str">
        <f>SUBSTITUTE(B17, "B", "C")</f>
        <v>C37</v>
      </c>
      <c r="E17" s="200" t="s">
        <v>442</v>
      </c>
      <c r="F17" s="200" t="str">
        <f>'2nd_Post_Processing'!$L$11</f>
        <v>Cabrestante 1</v>
      </c>
      <c r="G17" s="200"/>
      <c r="H17" s="200"/>
      <c r="I17" s="200" t="s">
        <v>452</v>
      </c>
    </row>
    <row r="18" spans="1:10" ht="13.5" customHeight="1" x14ac:dyDescent="0.2">
      <c r="A18" s="200" t="s">
        <v>2</v>
      </c>
      <c r="B18" s="238" t="s">
        <v>1721</v>
      </c>
      <c r="C18" s="372" t="str">
        <f>CONCATENATE(I18," - ",F18)</f>
        <v>EndBZ - Cabrestante 2</v>
      </c>
      <c r="D18" s="238" t="str">
        <f>SUBSTITUTE(B18, "B", "C")</f>
        <v>C38</v>
      </c>
      <c r="E18" s="200" t="s">
        <v>442</v>
      </c>
      <c r="F18" s="210" t="str">
        <f>'2nd_Post_Processing'!$L$12</f>
        <v>Cabrestante 2</v>
      </c>
      <c r="G18" s="200"/>
      <c r="H18" s="200"/>
      <c r="I18" s="200" t="s">
        <v>452</v>
      </c>
    </row>
    <row r="19" spans="1:10" ht="13.5" customHeight="1" x14ac:dyDescent="0.2">
      <c r="A19" s="201" t="s">
        <v>2</v>
      </c>
      <c r="B19" s="238" t="s">
        <v>175</v>
      </c>
      <c r="C19" s="372" t="str">
        <f>CONCATENATE(I19," - ",F19)</f>
        <v>StageValue[1] - A/R</v>
      </c>
      <c r="D19" s="238" t="str">
        <f>SUBSTITUTE(B19, "B", "C")</f>
        <v>C39</v>
      </c>
      <c r="E19" s="201" t="s">
        <v>442</v>
      </c>
      <c r="F19" s="200" t="str">
        <f>'2nd_Post_Processing'!$L$9</f>
        <v>A/R</v>
      </c>
      <c r="G19" s="201"/>
      <c r="H19" s="201"/>
      <c r="I19" s="201" t="s">
        <v>465</v>
      </c>
      <c r="J19" s="37"/>
    </row>
    <row r="20" spans="1:10" ht="13.5" customHeight="1" x14ac:dyDescent="0.2">
      <c r="A20" s="201" t="s">
        <v>2</v>
      </c>
      <c r="B20" s="238" t="s">
        <v>1722</v>
      </c>
      <c r="C20" s="372" t="str">
        <f>CONCATENATE(I20," - ",F20)</f>
        <v>Length - Cabrestante 1</v>
      </c>
      <c r="D20" s="238" t="str">
        <f>SUBSTITUTE(B20, "B", "C")</f>
        <v>C40</v>
      </c>
      <c r="E20" s="200" t="s">
        <v>445</v>
      </c>
      <c r="F20" s="200" t="str">
        <f>'2nd_Post_Processing'!$L$11</f>
        <v>Cabrestante 1</v>
      </c>
      <c r="G20" s="201"/>
      <c r="H20" s="200"/>
      <c r="I20" s="200" t="s">
        <v>379</v>
      </c>
      <c r="J20" s="37"/>
    </row>
    <row r="21" spans="1:10" ht="13.5" customHeight="1" x14ac:dyDescent="0.2">
      <c r="A21" s="201" t="s">
        <v>2</v>
      </c>
      <c r="B21" s="238" t="s">
        <v>2198</v>
      </c>
      <c r="C21" s="372" t="str">
        <f>CONCATENATE(I21," - ",F21)</f>
        <v>Length - Cabrestante 2</v>
      </c>
      <c r="D21" s="238" t="str">
        <f>SUBSTITUTE(B21, "B", "C")</f>
        <v>C41</v>
      </c>
      <c r="E21" s="200" t="s">
        <v>445</v>
      </c>
      <c r="F21" s="200" t="str">
        <f>'2nd_Post_Processing'!$L$12</f>
        <v>Cabrestante 2</v>
      </c>
      <c r="G21" s="201"/>
      <c r="H21" s="200"/>
      <c r="I21" s="200" t="s">
        <v>379</v>
      </c>
    </row>
    <row r="22" spans="1:10" ht="13.5" customHeight="1" x14ac:dyDescent="0.2">
      <c r="A22" s="200" t="s">
        <v>453</v>
      </c>
      <c r="B22" s="200" t="s">
        <v>455</v>
      </c>
      <c r="C22" s="200" t="str">
        <f t="shared" si="2"/>
        <v>X - Line</v>
      </c>
      <c r="D22" s="200" t="s">
        <v>456</v>
      </c>
      <c r="E22" s="200" t="s">
        <v>454</v>
      </c>
      <c r="F22" s="200" t="str">
        <f>'2nd_Post_Processing'!$L$6</f>
        <v>Line</v>
      </c>
      <c r="G22" s="200"/>
      <c r="H22" s="200" t="s">
        <v>440</v>
      </c>
      <c r="I22" s="200" t="s">
        <v>457</v>
      </c>
    </row>
    <row r="23" spans="1:10" ht="13.5" customHeight="1" x14ac:dyDescent="0.2">
      <c r="A23" s="200" t="s">
        <v>453</v>
      </c>
      <c r="B23" s="200" t="s">
        <v>458</v>
      </c>
      <c r="C23" s="200" t="str">
        <f t="shared" si="2"/>
        <v>Vertical Seabed Clearance - Line</v>
      </c>
      <c r="D23" s="200" t="s">
        <v>459</v>
      </c>
      <c r="E23" s="200" t="s">
        <v>454</v>
      </c>
      <c r="F23" s="200" t="str">
        <f>'2nd_Post_Processing'!$L$6</f>
        <v>Line</v>
      </c>
      <c r="G23" s="200"/>
      <c r="H23" s="200" t="s">
        <v>440</v>
      </c>
      <c r="I23" s="200" t="s">
        <v>460</v>
      </c>
      <c r="J23" s="37"/>
    </row>
    <row r="24" spans="1:10" ht="13.5" customHeight="1" x14ac:dyDescent="0.2">
      <c r="A24" s="200" t="s">
        <v>453</v>
      </c>
      <c r="B24" s="200" t="s">
        <v>461</v>
      </c>
      <c r="C24" s="200" t="str">
        <f t="shared" si="2"/>
        <v>Vertical Seabed Clearance - Stiffener1</v>
      </c>
      <c r="D24" s="200" t="s">
        <v>462</v>
      </c>
      <c r="E24" s="200" t="s">
        <v>454</v>
      </c>
      <c r="F24" s="200" t="str">
        <f>'2nd_Post_Processing'!$L$7</f>
        <v>Stiffener1</v>
      </c>
      <c r="G24" s="200"/>
      <c r="H24" s="200" t="s">
        <v>440</v>
      </c>
      <c r="I24" s="200" t="s">
        <v>460</v>
      </c>
    </row>
    <row r="25" spans="1:10" ht="13.5" customHeight="1" x14ac:dyDescent="0.2">
      <c r="A25" s="374"/>
      <c r="B25" s="202"/>
      <c r="C25" s="202"/>
      <c r="D25" s="202"/>
      <c r="E25" s="203" t="str">
        <f>CONCATENATE("Load ",Results!C32,".sim")</f>
        <v>Load Dinamico.sim</v>
      </c>
      <c r="F25" s="202"/>
      <c r="G25" s="202"/>
      <c r="H25" s="202"/>
      <c r="I25" s="202"/>
    </row>
    <row r="26" spans="1:10" ht="13.5" customHeight="1" x14ac:dyDescent="0.2">
      <c r="A26" s="200" t="s">
        <v>2</v>
      </c>
      <c r="B26" s="200" t="s">
        <v>218</v>
      </c>
      <c r="C26" s="200" t="str">
        <f>CONCATENATE(I26," - ",F26)</f>
        <v>StageValue[3] - A/R</v>
      </c>
      <c r="D26" s="200" t="str">
        <f>SUBSTITUTE(B26, "H", "I")</f>
        <v>I26</v>
      </c>
      <c r="E26" s="200" t="s">
        <v>442</v>
      </c>
      <c r="F26" s="200" t="str">
        <f>'2nd_Post_Processing'!$L$9</f>
        <v>A/R</v>
      </c>
      <c r="G26" s="200"/>
      <c r="H26" s="200"/>
      <c r="I26" s="200" t="s">
        <v>467</v>
      </c>
      <c r="J26" s="219">
        <f>Data!$I$27</f>
        <v>0</v>
      </c>
    </row>
    <row r="27" spans="1:10" ht="13.5" customHeight="1" x14ac:dyDescent="0.2">
      <c r="A27" s="200" t="s">
        <v>2</v>
      </c>
      <c r="B27" s="200" t="s">
        <v>233</v>
      </c>
      <c r="C27" s="200" t="str">
        <f>CONCATENATE(I27," - ",F27)</f>
        <v>NumberOfAttachments - Line</v>
      </c>
      <c r="D27" s="200" t="str">
        <f t="shared" ref="D27:D33" si="3">SUBSTITUTE(B27, "H", "I")</f>
        <v>I27</v>
      </c>
      <c r="E27" s="200" t="s">
        <v>442</v>
      </c>
      <c r="F27" s="200" t="str">
        <f>'2nd_Post_Processing'!$L$6</f>
        <v>Line</v>
      </c>
      <c r="G27" s="200"/>
      <c r="H27" s="200"/>
      <c r="I27" s="200" t="s">
        <v>469</v>
      </c>
      <c r="J27" s="37"/>
    </row>
    <row r="28" spans="1:10" ht="13.5" customHeight="1" x14ac:dyDescent="0.2">
      <c r="A28" s="200" t="s">
        <v>2</v>
      </c>
      <c r="B28" s="200" t="s">
        <v>1723</v>
      </c>
      <c r="C28" s="200" t="str">
        <f>CONCATENATE(I28," - ",F28)</f>
        <v>Bend Radius - Line</v>
      </c>
      <c r="D28" s="200" t="str">
        <f t="shared" si="3"/>
        <v>I28</v>
      </c>
      <c r="E28" s="200" t="s">
        <v>439</v>
      </c>
      <c r="F28" s="200" t="str">
        <f>'2nd_Post_Processing'!$L$6</f>
        <v>Line</v>
      </c>
      <c r="G28" s="200"/>
      <c r="H28" s="375" t="s">
        <v>1922</v>
      </c>
      <c r="I28" s="200" t="s">
        <v>441</v>
      </c>
    </row>
    <row r="29" spans="1:10" ht="13.5" customHeight="1" x14ac:dyDescent="0.2">
      <c r="A29" s="200" t="s">
        <v>2</v>
      </c>
      <c r="B29" s="200" t="s">
        <v>220</v>
      </c>
      <c r="C29" s="200" t="str">
        <f>CONCATENATE(I29," - ",F29)</f>
        <v>Bend Radius - Stiffener1</v>
      </c>
      <c r="D29" s="200" t="str">
        <f t="shared" si="3"/>
        <v>I29</v>
      </c>
      <c r="E29" s="200" t="s">
        <v>439</v>
      </c>
      <c r="F29" s="200" t="str">
        <f>'2nd_Post_Processing'!$L$7</f>
        <v>Stiffener1</v>
      </c>
      <c r="G29" s="200"/>
      <c r="H29" s="375" t="s">
        <v>1922</v>
      </c>
      <c r="I29" s="200" t="s">
        <v>441</v>
      </c>
      <c r="J29" s="37"/>
    </row>
    <row r="30" spans="1:10" ht="13.5" customHeight="1" x14ac:dyDescent="0.2">
      <c r="A30" s="200" t="s">
        <v>2</v>
      </c>
      <c r="B30" s="200" t="s">
        <v>1724</v>
      </c>
      <c r="C30" s="200" t="str">
        <f>_xlfn.CONCAT(I30," - ",F30)</f>
        <v>Bend Moment - Stiffener1</v>
      </c>
      <c r="D30" s="200" t="str">
        <f t="shared" si="3"/>
        <v>I30</v>
      </c>
      <c r="E30" s="200" t="s">
        <v>463</v>
      </c>
      <c r="F30" s="200" t="str">
        <f>'2nd_Post_Processing'!$L$7</f>
        <v>Stiffener1</v>
      </c>
      <c r="G30" s="200"/>
      <c r="H30" s="200" t="s">
        <v>471</v>
      </c>
      <c r="I30" s="200" t="s">
        <v>464</v>
      </c>
      <c r="J30" s="37"/>
    </row>
    <row r="31" spans="1:10" ht="13.5" customHeight="1" x14ac:dyDescent="0.2">
      <c r="A31" s="200" t="s">
        <v>2</v>
      </c>
      <c r="B31" s="200" t="s">
        <v>1725</v>
      </c>
      <c r="C31" s="200" t="str">
        <f>_xlfn.CONCAT(I31," - ",F31)</f>
        <v>Shear Force - Stiffener1</v>
      </c>
      <c r="D31" s="200" t="str">
        <f t="shared" si="3"/>
        <v>I31</v>
      </c>
      <c r="E31" s="200" t="s">
        <v>463</v>
      </c>
      <c r="F31" s="200" t="str">
        <f>'2nd_Post_Processing'!$L$7</f>
        <v>Stiffener1</v>
      </c>
      <c r="G31" s="200"/>
      <c r="H31" s="200" t="s">
        <v>471</v>
      </c>
      <c r="I31" s="200" t="s">
        <v>466</v>
      </c>
      <c r="J31" s="37"/>
    </row>
    <row r="32" spans="1:10" ht="13.5" customHeight="1" x14ac:dyDescent="0.2">
      <c r="A32" s="200" t="s">
        <v>2</v>
      </c>
      <c r="B32" s="200" t="s">
        <v>1726</v>
      </c>
      <c r="C32" s="200" t="str">
        <f t="shared" ref="C32:C33" si="4">CONCATENATE(I32," - ",F32)</f>
        <v>Tension - Cabrestante 1</v>
      </c>
      <c r="D32" s="200" t="str">
        <f t="shared" si="3"/>
        <v>I32</v>
      </c>
      <c r="E32" s="200" t="s">
        <v>470</v>
      </c>
      <c r="F32" s="200" t="str">
        <f>'2nd_Post_Processing'!$L$11</f>
        <v>Cabrestante 1</v>
      </c>
      <c r="G32" s="200"/>
      <c r="H32" s="200" t="s">
        <v>471</v>
      </c>
      <c r="I32" s="200" t="s">
        <v>472</v>
      </c>
      <c r="J32" s="37"/>
    </row>
    <row r="33" spans="1:14" ht="13.5" customHeight="1" x14ac:dyDescent="0.2">
      <c r="A33" s="200" t="s">
        <v>2</v>
      </c>
      <c r="B33" s="200" t="s">
        <v>1727</v>
      </c>
      <c r="C33" s="200" t="str">
        <f t="shared" si="4"/>
        <v>Tension - Cabrestante 2</v>
      </c>
      <c r="D33" s="200" t="str">
        <f t="shared" si="3"/>
        <v>I33</v>
      </c>
      <c r="E33" s="200" t="s">
        <v>470</v>
      </c>
      <c r="F33" s="210" t="str">
        <f>'2nd_Post_Processing'!$L$12</f>
        <v>Cabrestante 2</v>
      </c>
      <c r="G33" s="200"/>
      <c r="H33" s="200" t="s">
        <v>471</v>
      </c>
      <c r="I33" s="200" t="s">
        <v>472</v>
      </c>
      <c r="J33" s="37"/>
    </row>
    <row r="34" spans="1:14" ht="13.5" customHeight="1" x14ac:dyDescent="0.2">
      <c r="A34" s="200" t="s">
        <v>473</v>
      </c>
      <c r="B34" s="200" t="s">
        <v>172</v>
      </c>
      <c r="C34" s="200" t="str">
        <f>CONCATENATE(E34," - ",F34," - ",G34," - ",H34," - ",I34)</f>
        <v>Linked Statistics - Line - End B - 0 to 32 - End Ex-Force,End Ez-Force,End Ey-Moment</v>
      </c>
      <c r="D34" s="200" t="s">
        <v>232</v>
      </c>
      <c r="E34" s="200" t="s">
        <v>474</v>
      </c>
      <c r="F34" s="200" t="str">
        <f>'2nd_Post_Processing'!$L$6</f>
        <v>Line</v>
      </c>
      <c r="G34" s="200" t="s">
        <v>446</v>
      </c>
      <c r="H34" s="200" t="s">
        <v>468</v>
      </c>
      <c r="I34" s="200" t="s">
        <v>475</v>
      </c>
      <c r="J34" s="58"/>
      <c r="K34" s="58"/>
      <c r="L34" s="58"/>
      <c r="M34" s="58"/>
      <c r="N34" s="58"/>
    </row>
    <row r="35" spans="1:14" ht="13.5" customHeight="1" x14ac:dyDescent="0.2">
      <c r="A35" s="200" t="s">
        <v>473</v>
      </c>
      <c r="B35" s="372" t="s">
        <v>1848</v>
      </c>
      <c r="C35" s="372" t="str">
        <f t="shared" ref="C35:C36" si="5">CONCATENATE(E35," - ",F35," - ",G35," - ",H35," - ",I35)</f>
        <v>Time History - Line - Touchdown - Whole Simulation - Arc Length</v>
      </c>
      <c r="D35" s="372" t="s">
        <v>1853</v>
      </c>
      <c r="E35" s="372" t="s">
        <v>476</v>
      </c>
      <c r="F35" s="200" t="str">
        <f>'2nd_Post_Processing'!$L$6</f>
        <v>Line</v>
      </c>
      <c r="G35" s="200" t="s">
        <v>477</v>
      </c>
      <c r="H35" s="200" t="s">
        <v>471</v>
      </c>
      <c r="I35" s="200" t="s">
        <v>478</v>
      </c>
      <c r="J35" s="58"/>
      <c r="K35" s="58"/>
      <c r="L35" s="58"/>
      <c r="M35" s="58"/>
      <c r="N35" s="58"/>
    </row>
    <row r="36" spans="1:14" ht="13.5" customHeight="1" x14ac:dyDescent="0.2">
      <c r="A36" s="200" t="s">
        <v>473</v>
      </c>
      <c r="B36" s="372" t="s">
        <v>1849</v>
      </c>
      <c r="C36" s="372" t="str">
        <f t="shared" si="5"/>
        <v>Time History - Stiffener1 - Touchdown - Whole Simulation - Arc Length</v>
      </c>
      <c r="D36" s="372" t="s">
        <v>1852</v>
      </c>
      <c r="E36" s="372" t="s">
        <v>476</v>
      </c>
      <c r="F36" s="200" t="str">
        <f>'2nd_Post_Processing'!$L$7</f>
        <v>Stiffener1</v>
      </c>
      <c r="G36" s="200" t="s">
        <v>477</v>
      </c>
      <c r="H36" s="200" t="s">
        <v>471</v>
      </c>
      <c r="I36" s="200" t="s">
        <v>478</v>
      </c>
      <c r="J36" s="58"/>
      <c r="K36" s="58"/>
      <c r="L36" s="58"/>
      <c r="M36" s="58"/>
      <c r="N36" s="58"/>
    </row>
    <row r="37" spans="1:14" ht="13.5" customHeight="1" x14ac:dyDescent="0.2">
      <c r="A37" s="200" t="s">
        <v>473</v>
      </c>
      <c r="B37" s="372" t="s">
        <v>1850</v>
      </c>
      <c r="C37" s="372" t="str">
        <f>CONCATENATE(E37," - ",H37,)</f>
        <v>Sample Times - Whole Simulation</v>
      </c>
      <c r="D37" s="372" t="s">
        <v>1851</v>
      </c>
      <c r="E37" s="372" t="s">
        <v>479</v>
      </c>
      <c r="F37" s="200"/>
      <c r="G37" s="200"/>
      <c r="H37" s="200" t="s">
        <v>471</v>
      </c>
      <c r="I37" s="200"/>
      <c r="J37" s="37"/>
    </row>
    <row r="38" spans="1:14" ht="13.5" customHeight="1" x14ac:dyDescent="0.2">
      <c r="A38" s="200" t="s">
        <v>473</v>
      </c>
      <c r="B38" s="200" t="s">
        <v>1847</v>
      </c>
      <c r="C38" s="200" t="e">
        <f>CONCATENATE(E38," - ",F38," - ",G38," - ",H38," - ",I38)</f>
        <v>#VALUE!</v>
      </c>
      <c r="D38" s="200" t="s">
        <v>1846</v>
      </c>
      <c r="E38" s="200" t="s">
        <v>474</v>
      </c>
      <c r="F38" s="200" t="str">
        <f>'2nd_Post_Processing'!$L$6</f>
        <v>Line</v>
      </c>
      <c r="G38" s="200" t="s">
        <v>446</v>
      </c>
      <c r="H38" s="372" t="e">
        <f>_xlfn.CONCAT(Auxiliar1!O5-0.001, " to ", Auxiliar1!O5+0.001)</f>
        <v>#VALUE!</v>
      </c>
      <c r="I38" s="200" t="s">
        <v>475</v>
      </c>
      <c r="J38" s="571"/>
    </row>
    <row r="39" spans="1:14" ht="13.5" customHeight="1" x14ac:dyDescent="0.2">
      <c r="A39" s="204"/>
      <c r="B39" s="204"/>
      <c r="C39" s="204"/>
      <c r="D39" s="204"/>
      <c r="E39" s="203" t="str">
        <f>CONCATENATE("Load ",Results!C33,".sim")</f>
        <v>Load Caso3ii_lançamento.sim</v>
      </c>
      <c r="F39" s="204"/>
      <c r="G39" s="204"/>
      <c r="H39" s="204"/>
      <c r="I39" s="204"/>
      <c r="J39" s="571"/>
    </row>
    <row r="40" spans="1:14" ht="13.5" customHeight="1" x14ac:dyDescent="0.2">
      <c r="A40" s="200" t="s">
        <v>473</v>
      </c>
      <c r="B40" s="201" t="s">
        <v>1750</v>
      </c>
      <c r="C40" s="200" t="str">
        <f>CONCATENATE(E40," - ",F40," - ",G40," - ",H40," - ",I40)</f>
        <v>Linked Statistics - Line - End B - 0 to 152,15 - End Ex-Force,End Ez-Force,End Ey-Moment</v>
      </c>
      <c r="D40" s="201" t="s">
        <v>1751</v>
      </c>
      <c r="E40" s="201" t="s">
        <v>474</v>
      </c>
      <c r="F40" s="200" t="str">
        <f>'2nd_Post_Processing'!$L$6</f>
        <v>Line</v>
      </c>
      <c r="G40" s="201" t="s">
        <v>446</v>
      </c>
      <c r="H40" s="375" t="s">
        <v>1920</v>
      </c>
      <c r="I40" s="201" t="s">
        <v>475</v>
      </c>
      <c r="J40" s="573"/>
    </row>
    <row r="41" spans="1:14" ht="13.5" customHeight="1" x14ac:dyDescent="0.2">
      <c r="A41" s="200" t="s">
        <v>473</v>
      </c>
      <c r="B41" s="201" t="s">
        <v>1845</v>
      </c>
      <c r="C41" s="200" t="str">
        <f>CONCATENATE(E41," - ",F41," - ",G41," - ",H41," - ",I41)</f>
        <v>Linked Statistics - Line - End B - 0 to 182,15 - End Ex-Force,End Ez-Force,End Ey-Moment</v>
      </c>
      <c r="D41" s="201" t="s">
        <v>1858</v>
      </c>
      <c r="E41" s="201" t="s">
        <v>474</v>
      </c>
      <c r="F41" s="200" t="str">
        <f>'2nd_Post_Processing'!$L$6</f>
        <v>Line</v>
      </c>
      <c r="G41" s="201" t="s">
        <v>446</v>
      </c>
      <c r="H41" s="375" t="s">
        <v>1921</v>
      </c>
      <c r="I41" s="201" t="s">
        <v>475</v>
      </c>
      <c r="J41" s="369"/>
    </row>
    <row r="42" spans="1:14" ht="13.5" customHeight="1" x14ac:dyDescent="0.2">
      <c r="A42" s="204"/>
      <c r="B42" s="204"/>
      <c r="C42" s="204"/>
      <c r="D42" s="204"/>
      <c r="E42" s="203" t="str">
        <f>CONCATENATE("Load ",Results!C34,".sim")</f>
        <v>Load Caso4_lançamento_comflut.sim</v>
      </c>
      <c r="F42" s="204"/>
      <c r="G42" s="204"/>
      <c r="H42" s="204"/>
      <c r="I42" s="204"/>
      <c r="J42" s="338"/>
    </row>
    <row r="43" spans="1:14" ht="13.5" customHeight="1" x14ac:dyDescent="0.2">
      <c r="A43" s="200" t="s">
        <v>473</v>
      </c>
      <c r="B43" s="201" t="s">
        <v>1757</v>
      </c>
      <c r="C43" s="200" t="str">
        <f>CONCATENATE(E43," - ",F43," - ",G43," - ",H43," - ",I43)</f>
        <v>Linked Statistics - Line - End B - 0 to 50 - End Ex-Force,End Ez-Force,End Ey-Moment</v>
      </c>
      <c r="D43" s="201" t="s">
        <v>1758</v>
      </c>
      <c r="E43" s="201" t="s">
        <v>474</v>
      </c>
      <c r="F43" s="200" t="str">
        <f>'2nd_Post_Processing'!$L$6</f>
        <v>Line</v>
      </c>
      <c r="G43" s="201" t="s">
        <v>446</v>
      </c>
      <c r="H43" s="375" t="s">
        <v>1923</v>
      </c>
      <c r="I43" s="201" t="s">
        <v>475</v>
      </c>
      <c r="J43" s="338"/>
    </row>
    <row r="44" spans="1:14" ht="13.5" customHeight="1" x14ac:dyDescent="0.2">
      <c r="A44" s="204"/>
      <c r="B44" s="204"/>
      <c r="C44" s="204"/>
      <c r="D44" s="204"/>
      <c r="E44" s="203" t="str">
        <f>CONCATENATE("Load ",Results!C35,".sim")</f>
        <v>Load Caso4_lançamento_semflut.sim</v>
      </c>
      <c r="F44" s="204"/>
      <c r="G44" s="204"/>
      <c r="H44" s="204"/>
      <c r="I44" s="204"/>
      <c r="J44" s="338"/>
    </row>
    <row r="45" spans="1:14" ht="13.5" customHeight="1" x14ac:dyDescent="0.2">
      <c r="A45" s="200" t="s">
        <v>473</v>
      </c>
      <c r="B45" s="201" t="s">
        <v>1854</v>
      </c>
      <c r="C45" s="200" t="str">
        <f>CONCATENATE(E45," - ",F45," - ",G45," - ",H45," - ",I45)</f>
        <v>Linked Statistics - Line - End B - 0 to 50 - End Ex-Force,End Ez-Force,End Ey-Moment</v>
      </c>
      <c r="D45" s="201" t="s">
        <v>1857</v>
      </c>
      <c r="E45" s="201" t="s">
        <v>474</v>
      </c>
      <c r="F45" s="200" t="str">
        <f>'2nd_Post_Processing'!$L$6</f>
        <v>Line</v>
      </c>
      <c r="G45" s="201" t="s">
        <v>446</v>
      </c>
      <c r="H45" s="375" t="s">
        <v>1923</v>
      </c>
      <c r="I45" s="201" t="s">
        <v>475</v>
      </c>
      <c r="J45" s="571"/>
    </row>
    <row r="46" spans="1:14" ht="13.5" customHeight="1" x14ac:dyDescent="0.2">
      <c r="A46" s="204"/>
      <c r="B46" s="204"/>
      <c r="C46" s="204"/>
      <c r="D46" s="204"/>
      <c r="E46" s="203" t="str">
        <f>CONCATENATE("Load ",Results!C36,".sim")</f>
        <v>Load Caso4_teste_comflut.sim</v>
      </c>
      <c r="F46" s="204"/>
      <c r="G46" s="204"/>
      <c r="H46" s="204"/>
      <c r="I46" s="204"/>
      <c r="J46" s="571"/>
    </row>
    <row r="47" spans="1:14" ht="13.5" customHeight="1" x14ac:dyDescent="0.2">
      <c r="A47" s="200" t="s">
        <v>473</v>
      </c>
      <c r="B47" s="201" t="s">
        <v>1759</v>
      </c>
      <c r="C47" s="200" t="str">
        <f>CONCATENATE(E47," - ",F47," - ",G47," - ",H47," - ",I47)</f>
        <v>Linked Statistics - Line - End B - 0 to 50 - End Ex-Force,End Ez-Force,End Ey-Moment</v>
      </c>
      <c r="D47" s="201" t="s">
        <v>1760</v>
      </c>
      <c r="E47" s="201" t="s">
        <v>474</v>
      </c>
      <c r="F47" s="200" t="str">
        <f>'2nd_Post_Processing'!$L$6</f>
        <v>Line</v>
      </c>
      <c r="G47" s="201" t="s">
        <v>446</v>
      </c>
      <c r="H47" s="375" t="s">
        <v>1923</v>
      </c>
      <c r="I47" s="201" t="s">
        <v>475</v>
      </c>
      <c r="J47" s="571"/>
    </row>
    <row r="48" spans="1:14" ht="13.5" customHeight="1" x14ac:dyDescent="0.2">
      <c r="A48" s="204"/>
      <c r="B48" s="204"/>
      <c r="C48" s="204"/>
      <c r="D48" s="204"/>
      <c r="E48" s="203" t="str">
        <f>CONCATENATE("Load ",Results!C37,".sim")</f>
        <v>Load Caso4_teste_semflut.sim</v>
      </c>
      <c r="F48" s="204"/>
      <c r="G48" s="204"/>
      <c r="H48" s="204"/>
      <c r="I48" s="204"/>
      <c r="J48" s="571"/>
    </row>
    <row r="49" spans="1:10" ht="13.5" customHeight="1" x14ac:dyDescent="0.2">
      <c r="A49" s="200" t="s">
        <v>473</v>
      </c>
      <c r="B49" s="201" t="s">
        <v>1855</v>
      </c>
      <c r="C49" s="200" t="str">
        <f>CONCATENATE(E49," - ",F49," - ",G49," - ",H49," - ",I49)</f>
        <v>Linked Statistics - Line - End B - 0 to 50 - End Ex-Force,End Ez-Force,End Ey-Moment</v>
      </c>
      <c r="D49" s="201" t="s">
        <v>1856</v>
      </c>
      <c r="E49" s="201" t="s">
        <v>474</v>
      </c>
      <c r="F49" s="200" t="str">
        <f>'2nd_Post_Processing'!$L$6</f>
        <v>Line</v>
      </c>
      <c r="G49" s="201" t="s">
        <v>446</v>
      </c>
      <c r="H49" s="375" t="s">
        <v>1923</v>
      </c>
      <c r="I49" s="201" t="s">
        <v>475</v>
      </c>
      <c r="J49" s="338"/>
    </row>
    <row r="50" spans="1:10" s="58" customFormat="1" ht="13.5" customHeight="1" x14ac:dyDescent="0.2">
      <c r="A50" s="204"/>
      <c r="B50" s="204"/>
      <c r="C50" s="204"/>
      <c r="D50" s="204"/>
      <c r="E50" s="203" t="str">
        <f>CONCATENATE("Load ",Results!C38,".sim")</f>
        <v>Load Caso5_operação_semflut.sim</v>
      </c>
      <c r="F50" s="204"/>
      <c r="G50" s="204"/>
      <c r="H50" s="204"/>
      <c r="I50" s="204"/>
    </row>
    <row r="51" spans="1:10" s="58" customFormat="1" ht="13.5" customHeight="1" x14ac:dyDescent="0.2">
      <c r="A51" s="200" t="s">
        <v>473</v>
      </c>
      <c r="B51" s="201" t="s">
        <v>1752</v>
      </c>
      <c r="C51" s="200" t="str">
        <f>CONCATENATE(E51," - ",F51," - ",G51," - ",H51," - ",I51)</f>
        <v>Linked Statistics - Line - End B - 0 to 50 - End Ex-Force,End Ez-Force,End Ey-Moment</v>
      </c>
      <c r="D51" s="201" t="s">
        <v>1753</v>
      </c>
      <c r="E51" s="201" t="s">
        <v>474</v>
      </c>
      <c r="F51" s="200" t="str">
        <f>'2nd_Post_Processing'!$L$6</f>
        <v>Line</v>
      </c>
      <c r="G51" s="201" t="s">
        <v>446</v>
      </c>
      <c r="H51" s="375" t="s">
        <v>1923</v>
      </c>
      <c r="I51" s="201" t="s">
        <v>475</v>
      </c>
    </row>
    <row r="52" spans="1:10" s="58" customFormat="1" ht="13.5" customHeight="1" x14ac:dyDescent="0.2">
      <c r="A52" s="204"/>
      <c r="B52" s="204"/>
      <c r="C52" s="204"/>
      <c r="D52" s="204"/>
      <c r="E52" s="203" t="str">
        <f>CONCATENATE("Load ",Results!C41,".sim")</f>
        <v>Load Hmax.sim</v>
      </c>
      <c r="F52" s="204"/>
      <c r="G52" s="204"/>
      <c r="H52" s="204"/>
      <c r="I52" s="204"/>
    </row>
    <row r="53" spans="1:10" s="58" customFormat="1" ht="13.5" customHeight="1" x14ac:dyDescent="0.2">
      <c r="A53" s="201" t="s">
        <v>2</v>
      </c>
      <c r="B53" s="201" t="s">
        <v>1731</v>
      </c>
      <c r="C53" s="200" t="str">
        <f t="shared" ref="C53:C54" si="6">CONCATENATE(I53," - ",F53)</f>
        <v>Bend Radius - Line</v>
      </c>
      <c r="D53" s="201" t="str">
        <f>SUBSTITUTE(B53, "N", "O")</f>
        <v>O75</v>
      </c>
      <c r="E53" s="201" t="s">
        <v>439</v>
      </c>
      <c r="F53" s="200" t="str">
        <f>'2nd_Post_Processing'!$L$6</f>
        <v>Line</v>
      </c>
      <c r="G53" s="201"/>
      <c r="H53" s="200" t="s">
        <v>440</v>
      </c>
      <c r="I53" s="201" t="s">
        <v>441</v>
      </c>
    </row>
    <row r="54" spans="1:10" s="58" customFormat="1" ht="13.5" customHeight="1" x14ac:dyDescent="0.2">
      <c r="A54" s="201" t="s">
        <v>2</v>
      </c>
      <c r="B54" s="201" t="s">
        <v>1732</v>
      </c>
      <c r="C54" s="200" t="str">
        <f t="shared" si="6"/>
        <v>Bend Radius - Stiffener1</v>
      </c>
      <c r="D54" s="201" t="str">
        <f t="shared" ref="D54:D61" si="7">SUBSTITUTE(B54, "N", "O")</f>
        <v>O76</v>
      </c>
      <c r="E54" s="201" t="s">
        <v>439</v>
      </c>
      <c r="F54" s="200" t="str">
        <f>'2nd_Post_Processing'!$L$7</f>
        <v>Stiffener1</v>
      </c>
      <c r="G54" s="201"/>
      <c r="H54" s="200" t="s">
        <v>440</v>
      </c>
      <c r="I54" s="201" t="s">
        <v>441</v>
      </c>
    </row>
    <row r="55" spans="1:10" s="58" customFormat="1" ht="13.5" customHeight="1" x14ac:dyDescent="0.2">
      <c r="A55" s="201" t="s">
        <v>2</v>
      </c>
      <c r="B55" s="201" t="s">
        <v>1733</v>
      </c>
      <c r="C55" s="200" t="str">
        <f>CONCATENATE(I55," - ",F55)</f>
        <v>Rotation 2 - P7000048060_/_'DU700154300_Rev._C</v>
      </c>
      <c r="D55" s="201" t="str">
        <f t="shared" si="7"/>
        <v>O77</v>
      </c>
      <c r="E55" s="201" t="s">
        <v>445</v>
      </c>
      <c r="F55" s="211" t="str">
        <f>'2nd_Post_Processing'!$L$8</f>
        <v>P7000048060_/_'DU700154300_Rev._C</v>
      </c>
      <c r="G55" s="201"/>
      <c r="H55" s="200"/>
      <c r="I55" s="201" t="s">
        <v>448</v>
      </c>
    </row>
    <row r="56" spans="1:10" s="58" customFormat="1" ht="13.5" customHeight="1" x14ac:dyDescent="0.2">
      <c r="A56" s="201" t="s">
        <v>2</v>
      </c>
      <c r="B56" s="201" t="s">
        <v>1739</v>
      </c>
      <c r="C56" s="201" t="str">
        <f>_xlfn.CONCAT("Vertical Seabed Clearance Max ",G56," - ",F56)</f>
        <v>Vertical Seabed Clearance Max 0 to 0 - Line</v>
      </c>
      <c r="D56" s="201" t="str">
        <f>SUBSTITUTE(B56, "N", "O")</f>
        <v>O83</v>
      </c>
      <c r="E56" s="201" t="s">
        <v>463</v>
      </c>
      <c r="F56" s="200" t="str">
        <f>'2nd_Post_Processing'!$L$6</f>
        <v>Line</v>
      </c>
      <c r="G56" s="373" t="str">
        <f>_xlfn.CONCAT(hmax_dist_flange_cabrestante1," to ", hmax_dist_flange_cabrestante2)</f>
        <v>0 to 0</v>
      </c>
      <c r="H56" s="200" t="s">
        <v>440</v>
      </c>
      <c r="I56" s="201" t="s">
        <v>460</v>
      </c>
    </row>
    <row r="57" spans="1:10" s="58" customFormat="1" ht="13.5" customHeight="1" x14ac:dyDescent="0.2">
      <c r="A57" s="201" t="s">
        <v>2</v>
      </c>
      <c r="B57" s="201" t="s">
        <v>1734</v>
      </c>
      <c r="C57" s="200" t="str">
        <f>CONCATENATE(I57," - ",F57," - ",G57)</f>
        <v>X - Line - End B</v>
      </c>
      <c r="D57" s="201" t="str">
        <f t="shared" si="7"/>
        <v>O78</v>
      </c>
      <c r="E57" s="201" t="s">
        <v>445</v>
      </c>
      <c r="F57" s="200" t="str">
        <f>'2nd_Post_Processing'!$L$6</f>
        <v>Line</v>
      </c>
      <c r="G57" s="201" t="s">
        <v>446</v>
      </c>
      <c r="H57" s="200"/>
      <c r="I57" s="201" t="s">
        <v>457</v>
      </c>
    </row>
    <row r="58" spans="1:10" s="58" customFormat="1" ht="13.5" customHeight="1" x14ac:dyDescent="0.2">
      <c r="A58" s="201" t="s">
        <v>2</v>
      </c>
      <c r="B58" s="201" t="s">
        <v>1735</v>
      </c>
      <c r="C58" s="200" t="str">
        <f>CONCATENATE(I58," - ",F58," - ",G58)</f>
        <v>X - Line - Touchdown</v>
      </c>
      <c r="D58" s="201" t="str">
        <f t="shared" si="7"/>
        <v>O79</v>
      </c>
      <c r="E58" s="201" t="s">
        <v>445</v>
      </c>
      <c r="F58" s="200" t="str">
        <f>'2nd_Post_Processing'!$L$6</f>
        <v>Line</v>
      </c>
      <c r="G58" s="201" t="s">
        <v>477</v>
      </c>
      <c r="H58" s="200"/>
      <c r="I58" s="201" t="s">
        <v>457</v>
      </c>
    </row>
    <row r="59" spans="1:10" s="58" customFormat="1" ht="13.5" customHeight="1" x14ac:dyDescent="0.2">
      <c r="A59" s="201" t="s">
        <v>2</v>
      </c>
      <c r="B59" s="201" t="s">
        <v>1736</v>
      </c>
      <c r="C59" s="200" t="str">
        <f>CONCATENATE(I59," - ",F59," - ",G59)</f>
        <v>Arc Length - Line - End B</v>
      </c>
      <c r="D59" s="201" t="str">
        <f t="shared" si="7"/>
        <v>O80</v>
      </c>
      <c r="E59" s="201" t="s">
        <v>445</v>
      </c>
      <c r="F59" s="200" t="str">
        <f>'2nd_Post_Processing'!$L$6</f>
        <v>Line</v>
      </c>
      <c r="G59" s="201" t="s">
        <v>446</v>
      </c>
      <c r="H59" s="200"/>
      <c r="I59" s="201" t="s">
        <v>478</v>
      </c>
    </row>
    <row r="60" spans="1:10" s="58" customFormat="1" ht="13.5" customHeight="1" x14ac:dyDescent="0.2">
      <c r="A60" s="201" t="s">
        <v>2</v>
      </c>
      <c r="B60" s="201" t="s">
        <v>1737</v>
      </c>
      <c r="C60" s="200" t="str">
        <f>CONCATENATE(I60," - ",F60," - ",G60)</f>
        <v>Arc Length - Line - Touchdown</v>
      </c>
      <c r="D60" s="201" t="str">
        <f t="shared" si="7"/>
        <v>O81</v>
      </c>
      <c r="E60" s="201" t="s">
        <v>445</v>
      </c>
      <c r="F60" s="200" t="str">
        <f>'2nd_Post_Processing'!$L$6</f>
        <v>Line</v>
      </c>
      <c r="G60" s="201" t="s">
        <v>477</v>
      </c>
      <c r="H60" s="200"/>
      <c r="I60" s="201" t="s">
        <v>478</v>
      </c>
    </row>
    <row r="61" spans="1:10" s="58" customFormat="1" ht="13.5" customHeight="1" x14ac:dyDescent="0.2">
      <c r="A61" s="201" t="s">
        <v>2</v>
      </c>
      <c r="B61" s="201" t="s">
        <v>1738</v>
      </c>
      <c r="C61" s="200" t="str">
        <f>CONCATENATE(I61," - ",F61," - ",G61)</f>
        <v>Z - Line - End B</v>
      </c>
      <c r="D61" s="201" t="str">
        <f t="shared" si="7"/>
        <v>O82</v>
      </c>
      <c r="E61" s="201" t="s">
        <v>445</v>
      </c>
      <c r="F61" s="200" t="str">
        <f>'2nd_Post_Processing'!$L$6</f>
        <v>Line</v>
      </c>
      <c r="G61" s="201" t="s">
        <v>446</v>
      </c>
      <c r="H61" s="200"/>
      <c r="I61" s="201" t="s">
        <v>447</v>
      </c>
    </row>
    <row r="62" spans="1:10" s="58" customFormat="1" ht="13.5" customHeight="1" x14ac:dyDescent="0.2">
      <c r="A62" s="204"/>
      <c r="B62" s="204"/>
      <c r="C62" s="204"/>
      <c r="D62" s="204"/>
      <c r="E62" s="203" t="str">
        <f>CONCATENATE("Load ",Results!C42,".sim")</f>
        <v>Load Dinamico.sim</v>
      </c>
      <c r="F62" s="204"/>
      <c r="G62" s="204"/>
      <c r="H62" s="204"/>
      <c r="I62" s="204"/>
    </row>
    <row r="63" spans="1:10" s="58" customFormat="1" ht="13.5" customHeight="1" x14ac:dyDescent="0.2">
      <c r="A63" s="201" t="s">
        <v>2</v>
      </c>
      <c r="B63" s="201" t="s">
        <v>1877</v>
      </c>
      <c r="C63" s="200" t="str">
        <f t="shared" ref="C63:C70" si="8">CONCATENATE(I63," - ",F63)</f>
        <v>StageValue[1] - A/R</v>
      </c>
      <c r="D63" s="201" t="str">
        <f>SUBSTITUTE(B63, "N", "O")</f>
        <v>O6</v>
      </c>
      <c r="E63" s="201" t="s">
        <v>442</v>
      </c>
      <c r="F63" s="200" t="str">
        <f>'2nd_Post_Processing'!$L$9</f>
        <v>A/R</v>
      </c>
      <c r="G63" s="201"/>
      <c r="H63" s="201"/>
      <c r="I63" s="201" t="s">
        <v>465</v>
      </c>
    </row>
    <row r="64" spans="1:10" s="58" customFormat="1" ht="13.5" customHeight="1" x14ac:dyDescent="0.2">
      <c r="A64" s="201" t="s">
        <v>2</v>
      </c>
      <c r="B64" s="201" t="s">
        <v>1878</v>
      </c>
      <c r="C64" s="200" t="str">
        <f t="shared" si="8"/>
        <v>StageValue[3] - A/R</v>
      </c>
      <c r="D64" s="201" t="str">
        <f t="shared" ref="D64:D70" si="9">SUBSTITUTE(B64, "N", "O")</f>
        <v>O7</v>
      </c>
      <c r="E64" s="201" t="s">
        <v>442</v>
      </c>
      <c r="F64" s="200" t="str">
        <f>'2nd_Post_Processing'!$L$9</f>
        <v>A/R</v>
      </c>
      <c r="G64" s="201"/>
      <c r="H64" s="201"/>
      <c r="I64" s="201" t="s">
        <v>467</v>
      </c>
    </row>
    <row r="65" spans="1:12" s="58" customFormat="1" ht="13.5" customHeight="1" x14ac:dyDescent="0.2">
      <c r="A65" s="201" t="s">
        <v>2</v>
      </c>
      <c r="B65" s="201" t="s">
        <v>1879</v>
      </c>
      <c r="C65" s="200" t="str">
        <f t="shared" si="8"/>
        <v>Bend Radius - Line</v>
      </c>
      <c r="D65" s="201" t="str">
        <f t="shared" si="9"/>
        <v>O8</v>
      </c>
      <c r="E65" s="201" t="s">
        <v>439</v>
      </c>
      <c r="F65" s="200" t="str">
        <f>'2nd_Post_Processing'!$L$6</f>
        <v>Line</v>
      </c>
      <c r="G65" s="201"/>
      <c r="H65" s="201" t="s">
        <v>471</v>
      </c>
      <c r="I65" s="201" t="s">
        <v>441</v>
      </c>
    </row>
    <row r="66" spans="1:12" s="58" customFormat="1" ht="13.5" customHeight="1" x14ac:dyDescent="0.2">
      <c r="A66" s="201" t="s">
        <v>2</v>
      </c>
      <c r="B66" s="201" t="s">
        <v>1880</v>
      </c>
      <c r="C66" s="200" t="str">
        <f t="shared" si="8"/>
        <v>Bend Radius - Stiffener1</v>
      </c>
      <c r="D66" s="201" t="str">
        <f t="shared" si="9"/>
        <v>O9</v>
      </c>
      <c r="E66" s="201" t="s">
        <v>439</v>
      </c>
      <c r="F66" s="200" t="str">
        <f>'2nd_Post_Processing'!$L$7</f>
        <v>Stiffener1</v>
      </c>
      <c r="G66" s="201"/>
      <c r="H66" s="201" t="s">
        <v>471</v>
      </c>
      <c r="I66" s="201" t="s">
        <v>441</v>
      </c>
    </row>
    <row r="67" spans="1:12" s="58" customFormat="1" ht="13.5" customHeight="1" x14ac:dyDescent="0.2">
      <c r="A67" s="201" t="s">
        <v>2</v>
      </c>
      <c r="B67" s="201" t="s">
        <v>1881</v>
      </c>
      <c r="C67" s="200" t="str">
        <f t="shared" si="8"/>
        <v>Tension - Cabrestante 1</v>
      </c>
      <c r="D67" s="201" t="str">
        <f t="shared" si="9"/>
        <v>O10</v>
      </c>
      <c r="E67" s="201" t="s">
        <v>470</v>
      </c>
      <c r="F67" s="200" t="str">
        <f>'2nd_Post_Processing'!$L$11</f>
        <v>Cabrestante 1</v>
      </c>
      <c r="G67" s="201"/>
      <c r="H67" s="201" t="s">
        <v>471</v>
      </c>
      <c r="I67" s="201" t="s">
        <v>472</v>
      </c>
    </row>
    <row r="68" spans="1:12" s="58" customFormat="1" ht="13.5" customHeight="1" x14ac:dyDescent="0.2">
      <c r="A68" s="201" t="s">
        <v>2</v>
      </c>
      <c r="B68" s="201" t="s">
        <v>1882</v>
      </c>
      <c r="C68" s="200" t="str">
        <f t="shared" si="8"/>
        <v>Tension - Cabrestante 2</v>
      </c>
      <c r="D68" s="201" t="str">
        <f t="shared" si="9"/>
        <v>O11</v>
      </c>
      <c r="E68" s="201" t="s">
        <v>470</v>
      </c>
      <c r="F68" s="210" t="str">
        <f>'2nd_Post_Processing'!$L$12</f>
        <v>Cabrestante 2</v>
      </c>
      <c r="G68" s="201"/>
      <c r="H68" s="201" t="s">
        <v>471</v>
      </c>
      <c r="I68" s="201" t="s">
        <v>472</v>
      </c>
    </row>
    <row r="69" spans="1:12" s="58" customFormat="1" ht="13.5" customHeight="1" x14ac:dyDescent="0.2">
      <c r="A69" s="201" t="s">
        <v>2</v>
      </c>
      <c r="B69" s="201" t="s">
        <v>1883</v>
      </c>
      <c r="C69" s="200" t="str">
        <f t="shared" si="8"/>
        <v>Bend Moment - Stiffener1</v>
      </c>
      <c r="D69" s="201" t="str">
        <f t="shared" si="9"/>
        <v>O12</v>
      </c>
      <c r="E69" s="201" t="s">
        <v>463</v>
      </c>
      <c r="F69" s="200" t="str">
        <f>'2nd_Post_Processing'!$L$7</f>
        <v>Stiffener1</v>
      </c>
      <c r="G69" s="201"/>
      <c r="H69" s="201" t="s">
        <v>471</v>
      </c>
      <c r="I69" s="201" t="s">
        <v>464</v>
      </c>
    </row>
    <row r="70" spans="1:12" ht="13.5" customHeight="1" x14ac:dyDescent="0.2">
      <c r="A70" s="201" t="s">
        <v>2</v>
      </c>
      <c r="B70" s="201" t="s">
        <v>1884</v>
      </c>
      <c r="C70" s="200" t="str">
        <f t="shared" si="8"/>
        <v>Shear Force - Stiffener1</v>
      </c>
      <c r="D70" s="201" t="str">
        <f t="shared" si="9"/>
        <v>O13</v>
      </c>
      <c r="E70" s="201" t="s">
        <v>463</v>
      </c>
      <c r="F70" s="200" t="str">
        <f>'2nd_Post_Processing'!$L$7</f>
        <v>Stiffener1</v>
      </c>
      <c r="G70" s="201"/>
      <c r="H70" s="201" t="s">
        <v>471</v>
      </c>
      <c r="I70" s="201" t="s">
        <v>466</v>
      </c>
      <c r="J70" s="37"/>
    </row>
    <row r="71" spans="1:12" ht="13.5" customHeight="1" x14ac:dyDescent="0.2">
      <c r="A71" s="200" t="s">
        <v>473</v>
      </c>
      <c r="B71" s="201" t="s">
        <v>1887</v>
      </c>
      <c r="C71" s="200" t="str">
        <f>CONCATENATE(E71," - ",F71," - ",G71," - ",H71," - ",I71)</f>
        <v>Linked Statistics - Line - End B - 0 to 32,15 - End Ex-Force,End Ez-Force,End Ey-Moment</v>
      </c>
      <c r="D71" s="201" t="s">
        <v>1888</v>
      </c>
      <c r="E71" s="201" t="s">
        <v>474</v>
      </c>
      <c r="F71" s="200" t="str">
        <f>'2nd_Post_Processing'!$L$6</f>
        <v>Line</v>
      </c>
      <c r="G71" s="201" t="s">
        <v>446</v>
      </c>
      <c r="H71" s="375" t="s">
        <v>1922</v>
      </c>
      <c r="I71" s="201" t="s">
        <v>475</v>
      </c>
      <c r="J71" s="37"/>
      <c r="L71" s="206"/>
    </row>
    <row r="72" spans="1:12" ht="13.5" customHeight="1" x14ac:dyDescent="0.2">
      <c r="A72" s="374"/>
      <c r="B72" s="202"/>
      <c r="C72" s="202"/>
      <c r="D72" s="202"/>
      <c r="E72" s="203" t="str">
        <f>CONCATENATE("Load ",Results!C39,".sim")</f>
        <v>Load Cont1.sim</v>
      </c>
      <c r="F72" s="202"/>
      <c r="G72" s="202"/>
      <c r="H72" s="202"/>
      <c r="I72" s="202"/>
      <c r="J72" s="37"/>
      <c r="L72" s="206"/>
    </row>
    <row r="73" spans="1:12" ht="13.5" customHeight="1" x14ac:dyDescent="0.2">
      <c r="A73" s="200" t="s">
        <v>2</v>
      </c>
      <c r="B73" s="200" t="s">
        <v>1740</v>
      </c>
      <c r="C73" s="200" t="str">
        <f>_xlfn.CONCAT(I73," - ",F73)</f>
        <v>Bend Moment - Stiffener1</v>
      </c>
      <c r="D73" s="200" t="str">
        <f>SUBSTITUTE(B73, "B", "C")</f>
        <v>C75</v>
      </c>
      <c r="E73" s="200" t="s">
        <v>463</v>
      </c>
      <c r="F73" s="200" t="str">
        <f>'2nd_Post_Processing'!$L$7</f>
        <v>Stiffener1</v>
      </c>
      <c r="G73" s="200"/>
      <c r="H73" s="200" t="s">
        <v>440</v>
      </c>
      <c r="I73" s="200" t="s">
        <v>464</v>
      </c>
      <c r="J73" s="37"/>
    </row>
    <row r="74" spans="1:12" ht="13.5" customHeight="1" x14ac:dyDescent="0.2">
      <c r="A74" s="200" t="s">
        <v>2</v>
      </c>
      <c r="B74" s="200" t="s">
        <v>1741</v>
      </c>
      <c r="C74" s="200" t="str">
        <f>_xlfn.CONCAT(I74," - ",F74)</f>
        <v>Shear Force - Stiffener1</v>
      </c>
      <c r="D74" s="200" t="str">
        <f t="shared" ref="D74:D77" si="10">SUBSTITUTE(B74, "B", "C")</f>
        <v>C76</v>
      </c>
      <c r="E74" s="200" t="s">
        <v>463</v>
      </c>
      <c r="F74" s="200" t="str">
        <f>'2nd_Post_Processing'!$L$7</f>
        <v>Stiffener1</v>
      </c>
      <c r="G74" s="200"/>
      <c r="H74" s="200" t="s">
        <v>440</v>
      </c>
      <c r="I74" s="200" t="s">
        <v>466</v>
      </c>
      <c r="J74" s="37"/>
    </row>
    <row r="75" spans="1:12" ht="13.5" customHeight="1" x14ac:dyDescent="0.2">
      <c r="A75" s="200" t="s">
        <v>2</v>
      </c>
      <c r="B75" s="200" t="s">
        <v>1742</v>
      </c>
      <c r="C75" s="200" t="str">
        <f>CONCATENATE(I75," - ",F75)</f>
        <v>Bend Radius - Stiffener1</v>
      </c>
      <c r="D75" s="200" t="str">
        <f t="shared" si="10"/>
        <v>C77</v>
      </c>
      <c r="E75" s="200" t="s">
        <v>439</v>
      </c>
      <c r="F75" s="200" t="str">
        <f>'2nd_Post_Processing'!$L$7</f>
        <v>Stiffener1</v>
      </c>
      <c r="G75" s="200"/>
      <c r="H75" s="200" t="s">
        <v>440</v>
      </c>
      <c r="I75" s="200" t="s">
        <v>441</v>
      </c>
      <c r="J75" s="37"/>
    </row>
    <row r="76" spans="1:12" ht="13.5" customHeight="1" x14ac:dyDescent="0.2">
      <c r="A76" s="200" t="s">
        <v>2</v>
      </c>
      <c r="B76" s="200" t="s">
        <v>1743</v>
      </c>
      <c r="C76" s="200" t="str">
        <f t="shared" ref="C76:C79" si="11">CONCATENATE(I76," - ",F76)</f>
        <v>Bend Radius - Line</v>
      </c>
      <c r="D76" s="200" t="str">
        <f t="shared" si="10"/>
        <v>C78</v>
      </c>
      <c r="E76" s="200" t="s">
        <v>439</v>
      </c>
      <c r="F76" s="200" t="str">
        <f>'2nd_Post_Processing'!$L$6</f>
        <v>Line</v>
      </c>
      <c r="G76" s="200"/>
      <c r="H76" s="200" t="s">
        <v>440</v>
      </c>
      <c r="I76" s="200" t="s">
        <v>441</v>
      </c>
      <c r="J76" s="220">
        <f>Auxiliar3!$X$2</f>
        <v>0</v>
      </c>
      <c r="L76" s="206"/>
    </row>
    <row r="77" spans="1:12" ht="13.5" customHeight="1" x14ac:dyDescent="0.2">
      <c r="A77" s="200" t="s">
        <v>2</v>
      </c>
      <c r="B77" s="200" t="s">
        <v>1744</v>
      </c>
      <c r="C77" s="200" t="str">
        <f t="shared" si="11"/>
        <v>End Ey-Moment - Line</v>
      </c>
      <c r="D77" s="200" t="str">
        <f t="shared" si="10"/>
        <v>C79</v>
      </c>
      <c r="E77" s="200" t="s">
        <v>445</v>
      </c>
      <c r="F77" s="200" t="str">
        <f>'2nd_Post_Processing'!$L$6</f>
        <v>Line</v>
      </c>
      <c r="G77" s="200" t="s">
        <v>446</v>
      </c>
      <c r="H77" s="200"/>
      <c r="I77" s="200" t="s">
        <v>449</v>
      </c>
      <c r="J77" s="37"/>
      <c r="L77" s="206"/>
    </row>
    <row r="78" spans="1:12" ht="13.5" customHeight="1" x14ac:dyDescent="0.2">
      <c r="A78" s="200" t="s">
        <v>481</v>
      </c>
      <c r="B78" s="200" t="s">
        <v>482</v>
      </c>
      <c r="C78" s="200" t="str">
        <f t="shared" si="11"/>
        <v>NumberOfAttachments - Line</v>
      </c>
      <c r="D78" s="200" t="s">
        <v>483</v>
      </c>
      <c r="E78" s="200" t="s">
        <v>442</v>
      </c>
      <c r="F78" s="200" t="str">
        <f>'2nd_Post_Processing'!$L$6</f>
        <v>Line</v>
      </c>
      <c r="G78" s="205"/>
      <c r="H78" s="205"/>
      <c r="I78" s="200" t="s">
        <v>469</v>
      </c>
      <c r="J78" s="37"/>
      <c r="L78" s="206"/>
    </row>
    <row r="79" spans="1:12" ht="13.5" customHeight="1" x14ac:dyDescent="0.2">
      <c r="A79" s="200" t="s">
        <v>481</v>
      </c>
      <c r="B79" s="200" t="s">
        <v>484</v>
      </c>
      <c r="C79" s="200" t="str">
        <f t="shared" si="11"/>
        <v>Attachmentz[] - Line</v>
      </c>
      <c r="D79" s="200" t="s">
        <v>485</v>
      </c>
      <c r="E79" s="200" t="s">
        <v>442</v>
      </c>
      <c r="F79" s="200" t="str">
        <f>'2nd_Post_Processing'!$L$6</f>
        <v>Line</v>
      </c>
      <c r="G79" s="200"/>
      <c r="H79" s="200"/>
      <c r="I79" s="200" t="str">
        <f>CONCATENATE("Attachmentz[",Auxiliar3!X2,"]")</f>
        <v>Attachmentz[]</v>
      </c>
      <c r="J79" s="37"/>
      <c r="L79" s="206"/>
    </row>
    <row r="80" spans="1:12" ht="13.5" customHeight="1" x14ac:dyDescent="0.2">
      <c r="A80" s="374"/>
      <c r="B80" s="202"/>
      <c r="C80" s="202"/>
      <c r="D80" s="202"/>
      <c r="E80" s="203" t="str">
        <f>CONCATENATE("Load ",Results!C40,".sim")</f>
        <v>Load Cont2.sim</v>
      </c>
      <c r="F80" s="202"/>
      <c r="G80" s="202"/>
      <c r="H80" s="202"/>
      <c r="I80" s="202"/>
      <c r="J80" s="37"/>
      <c r="L80" s="206"/>
    </row>
    <row r="81" spans="1:15" ht="13.5" customHeight="1" x14ac:dyDescent="0.2">
      <c r="A81" s="200" t="s">
        <v>2</v>
      </c>
      <c r="B81" s="200" t="s">
        <v>1745</v>
      </c>
      <c r="C81" s="200" t="str">
        <f>_xlfn.CONCAT(I81," - ",F81)</f>
        <v>Bend Moment - Stiffener1</v>
      </c>
      <c r="D81" s="200" t="str">
        <f>SUBSTITUTE(B81, "H", "I")</f>
        <v>I75</v>
      </c>
      <c r="E81" s="200" t="s">
        <v>463</v>
      </c>
      <c r="F81" s="200" t="str">
        <f>'2nd_Post_Processing'!$L$7</f>
        <v>Stiffener1</v>
      </c>
      <c r="G81" s="200"/>
      <c r="H81" s="200" t="s">
        <v>440</v>
      </c>
      <c r="I81" s="200" t="s">
        <v>464</v>
      </c>
      <c r="J81" s="37"/>
      <c r="L81" s="206"/>
    </row>
    <row r="82" spans="1:15" ht="13.5" customHeight="1" x14ac:dyDescent="0.2">
      <c r="A82" s="200" t="s">
        <v>2</v>
      </c>
      <c r="B82" s="200" t="s">
        <v>1746</v>
      </c>
      <c r="C82" s="200" t="str">
        <f>_xlfn.CONCAT(I82," - ",F82)</f>
        <v>Shear Force - Stiffener1</v>
      </c>
      <c r="D82" s="200" t="str">
        <f t="shared" ref="D82:D85" si="12">SUBSTITUTE(B82, "H", "I")</f>
        <v>I76</v>
      </c>
      <c r="E82" s="200" t="s">
        <v>463</v>
      </c>
      <c r="F82" s="200" t="str">
        <f>'2nd_Post_Processing'!$L$7</f>
        <v>Stiffener1</v>
      </c>
      <c r="G82" s="200"/>
      <c r="H82" s="200" t="s">
        <v>440</v>
      </c>
      <c r="I82" s="200" t="s">
        <v>466</v>
      </c>
      <c r="J82" s="37"/>
      <c r="K82" s="37"/>
      <c r="L82" s="206"/>
    </row>
    <row r="83" spans="1:15" ht="13.5" customHeight="1" x14ac:dyDescent="0.2">
      <c r="A83" s="200" t="s">
        <v>2</v>
      </c>
      <c r="B83" s="200" t="s">
        <v>1747</v>
      </c>
      <c r="C83" s="200" t="str">
        <f>CONCATENATE(I83," - ",F83)</f>
        <v>Bend Radius - Stiffener1</v>
      </c>
      <c r="D83" s="200" t="str">
        <f t="shared" si="12"/>
        <v>I77</v>
      </c>
      <c r="E83" s="200" t="s">
        <v>439</v>
      </c>
      <c r="F83" s="200" t="str">
        <f>'2nd_Post_Processing'!$L$7</f>
        <v>Stiffener1</v>
      </c>
      <c r="G83" s="200"/>
      <c r="H83" s="200" t="s">
        <v>440</v>
      </c>
      <c r="I83" s="200" t="s">
        <v>441</v>
      </c>
      <c r="J83" s="37"/>
      <c r="K83" s="612"/>
      <c r="L83" s="613"/>
      <c r="M83" s="614"/>
      <c r="N83" s="614"/>
    </row>
    <row r="84" spans="1:15" ht="13.5" customHeight="1" x14ac:dyDescent="0.2">
      <c r="A84" s="200" t="s">
        <v>2</v>
      </c>
      <c r="B84" s="200" t="s">
        <v>1748</v>
      </c>
      <c r="C84" s="200" t="str">
        <f t="shared" ref="C84:C85" si="13">CONCATENATE(I84," - ",F84)</f>
        <v>Bend Radius - Line</v>
      </c>
      <c r="D84" s="200" t="str">
        <f t="shared" si="12"/>
        <v>I78</v>
      </c>
      <c r="E84" s="200" t="s">
        <v>439</v>
      </c>
      <c r="F84" s="200" t="str">
        <f>'2nd_Post_Processing'!$L$6</f>
        <v>Line</v>
      </c>
      <c r="G84" s="200"/>
      <c r="H84" s="200" t="s">
        <v>440</v>
      </c>
      <c r="I84" s="200" t="s">
        <v>441</v>
      </c>
      <c r="J84" s="615">
        <f>Auxiliar4!$X$2</f>
        <v>0</v>
      </c>
      <c r="K84" s="612"/>
      <c r="L84" s="613"/>
      <c r="M84" s="614"/>
      <c r="N84" s="614"/>
    </row>
    <row r="85" spans="1:15" ht="13.5" customHeight="1" x14ac:dyDescent="0.2">
      <c r="A85" s="200" t="s">
        <v>2</v>
      </c>
      <c r="B85" s="200" t="s">
        <v>1749</v>
      </c>
      <c r="C85" s="200" t="str">
        <f t="shared" si="13"/>
        <v>End Ey-Moment - Line</v>
      </c>
      <c r="D85" s="200" t="str">
        <f t="shared" si="12"/>
        <v>I79</v>
      </c>
      <c r="E85" s="200" t="s">
        <v>445</v>
      </c>
      <c r="F85" s="200" t="str">
        <f>'2nd_Post_Processing'!$L$6</f>
        <v>Line</v>
      </c>
      <c r="G85" s="200" t="s">
        <v>446</v>
      </c>
      <c r="H85" s="200"/>
      <c r="I85" s="200" t="s">
        <v>449</v>
      </c>
      <c r="J85" s="773"/>
      <c r="K85" s="774"/>
      <c r="L85" s="774"/>
      <c r="M85" s="774"/>
      <c r="N85" s="775"/>
      <c r="O85" s="614"/>
    </row>
    <row r="86" spans="1:15" ht="13.5" customHeight="1" x14ac:dyDescent="0.2">
      <c r="A86" s="200" t="s">
        <v>486</v>
      </c>
      <c r="B86" s="200" t="s">
        <v>482</v>
      </c>
      <c r="C86" s="200" t="str">
        <f>CONCATENATE(I86," - ",F86)</f>
        <v>NumberOfAttachments - Line</v>
      </c>
      <c r="D86" s="200" t="s">
        <v>483</v>
      </c>
      <c r="E86" s="200" t="s">
        <v>442</v>
      </c>
      <c r="F86" s="200" t="str">
        <f>'2nd_Post_Processing'!$L$6</f>
        <v>Line</v>
      </c>
      <c r="G86" s="200"/>
      <c r="H86" s="200"/>
      <c r="I86" s="200" t="s">
        <v>469</v>
      </c>
      <c r="J86" s="207">
        <f t="shared" ref="J86:J149" si="14">IFERROR(IF(J85="",J$26+1,IF(J85=J$84,"j",J85+1)),"jj")</f>
        <v>1</v>
      </c>
      <c r="K86" s="207" t="str">
        <f t="shared" ref="K86:K149" si="15">IF((J86="jj"),IFERROR(IF(K85="",J$26+1,IF(K85=J$76,"k",K85+1)),"kk"),"")</f>
        <v/>
      </c>
      <c r="L86" s="207" t="str">
        <f>IF((K86="kk"),IFERROR(IF(L85="",2,IF(L85=J$26,"l",L85+1)),"ll"),"")</f>
        <v/>
      </c>
      <c r="M86" s="207" t="str">
        <f>IF(OR(L86="l",L86="ll"),IFERROR(IF(M85="",2,IF(M85=J$26,"m",M85+1)),"mm"),"")</f>
        <v/>
      </c>
      <c r="N86" s="208">
        <f>IF(ISNUMBER(M86),"z",IF(ISNUMBER(L86),L86,IF(ISNUMBER(K86),K86,IF(ISNUMBER(J86),J86,""))))</f>
        <v>1</v>
      </c>
    </row>
    <row r="87" spans="1:15" ht="13.5" customHeight="1" x14ac:dyDescent="0.2">
      <c r="A87" s="200" t="s">
        <v>486</v>
      </c>
      <c r="B87" s="200" t="s">
        <v>484</v>
      </c>
      <c r="C87" s="200" t="str">
        <f>_xlfn.CONCAT(I87," - ",F87)</f>
        <v>Attachmentz[] - Line</v>
      </c>
      <c r="D87" s="200" t="s">
        <v>485</v>
      </c>
      <c r="E87" s="200" t="s">
        <v>442</v>
      </c>
      <c r="F87" s="200" t="str">
        <f>'2nd_Post_Processing'!$L$6</f>
        <v>Line</v>
      </c>
      <c r="G87" s="200"/>
      <c r="H87" s="200"/>
      <c r="I87" s="200" t="str">
        <f>CONCATENATE("Attachmentz[",Auxiliar4!X2,"]")</f>
        <v>Attachmentz[]</v>
      </c>
      <c r="J87" s="207">
        <f t="shared" si="14"/>
        <v>2</v>
      </c>
      <c r="K87" s="207" t="str">
        <f t="shared" si="15"/>
        <v/>
      </c>
      <c r="L87" s="207" t="str">
        <f t="shared" ref="L87:L149" si="16">IF((K87="kk"),IFERROR(IF(L86="",2,IF(L86=J$26,"l",L86+1)),"ll"),"")</f>
        <v/>
      </c>
      <c r="M87" s="207" t="str">
        <f t="shared" ref="M87:M149" si="17">IF(OR(L87="l",L87="ll"),IFERROR(IF(M86="",2,IF(M86=J$26,"m",M86+1)),"mm"),"")</f>
        <v/>
      </c>
      <c r="N87" s="208">
        <f t="shared" ref="N87:N150" si="18">IF(ISNUMBER(M87),"z",IF(ISNUMBER(L87),L87,IF(ISNUMBER(K87),K87,IF(ISNUMBER(J87),J87,""))))</f>
        <v>2</v>
      </c>
    </row>
    <row r="88" spans="1:15" ht="13.5" customHeight="1" x14ac:dyDescent="0.2">
      <c r="A88" s="200" t="str">
        <f>IF(N86="","",IF(ISNUMBER(J86),"Auxiliar4",IF(ISNUMBER(K86),"Auxiliar3",IF(ISNUMBER(L86),"Auxiliar2",IF(ISNUMBER(M86),"Auxiliar2")))))</f>
        <v>Auxiliar4</v>
      </c>
      <c r="B88" s="200"/>
      <c r="C88" s="200"/>
      <c r="D88" s="200" t="str">
        <f>IF(N86="z",CONCATENATE("AB",M86),IF(N86="","",CONCATENATE("AA",N86)))</f>
        <v>AA1</v>
      </c>
      <c r="E88" s="200" t="str">
        <f>IF(N86="",IF(J86="j","Load Cont1.sim",IF(K86="k","Load Estatico.sim","")),"Get Data")</f>
        <v>Get Data</v>
      </c>
      <c r="F88" s="200" t="str">
        <f>'2nd_Post_Processing'!$L$6</f>
        <v>Line</v>
      </c>
      <c r="G88" s="200"/>
      <c r="H88" s="200"/>
      <c r="I88" s="200" t="str">
        <f>IF(N86="z",CONCATENATE("Attachmentz[",M86,"]"),IF(N86="","",CONCATENATE("Attachmenttype[",N86,"]")))</f>
        <v>Attachmenttype[1]</v>
      </c>
      <c r="J88" s="207">
        <f t="shared" si="14"/>
        <v>3</v>
      </c>
      <c r="K88" s="207" t="str">
        <f t="shared" si="15"/>
        <v/>
      </c>
      <c r="L88" s="207" t="str">
        <f t="shared" si="16"/>
        <v/>
      </c>
      <c r="M88" s="207" t="str">
        <f t="shared" si="17"/>
        <v/>
      </c>
      <c r="N88" s="208">
        <f t="shared" si="18"/>
        <v>3</v>
      </c>
    </row>
    <row r="89" spans="1:15" ht="13.5" customHeight="1" x14ac:dyDescent="0.2">
      <c r="A89" s="200" t="str">
        <f t="shared" ref="A89:A152" si="19">IF(N87="","",IF(ISNUMBER(J87),"Auxiliar4",IF(ISNUMBER(K87),"Auxiliar3",IF(ISNUMBER(L87),"Auxiliar2",IF(ISNUMBER(M87),"Auxiliar2")))))</f>
        <v>Auxiliar4</v>
      </c>
      <c r="B89" s="200"/>
      <c r="C89" s="200"/>
      <c r="D89" s="200" t="str">
        <f t="shared" ref="D89:D152" si="20">IF(N87="z",CONCATENATE("AB",M87),IF(N87="","",CONCATENATE("AA",N87)))</f>
        <v>AA2</v>
      </c>
      <c r="E89" s="200" t="str">
        <f t="shared" ref="E89:E152" si="21">IF(N87="",IF(J87="j","Load Cont1.sim",IF(K87="k","Load Estatico.sim","")),"Get Data")</f>
        <v>Get Data</v>
      </c>
      <c r="F89" s="200" t="str">
        <f>'2nd_Post_Processing'!$L$6</f>
        <v>Line</v>
      </c>
      <c r="G89" s="200"/>
      <c r="H89" s="200"/>
      <c r="I89" s="200" t="str">
        <f t="shared" ref="I89:I152" si="22">IF(N87="z",CONCATENATE("Attachmentz[",M87,"]"),IF(N87="","",CONCATENATE("Attachmenttype[",N87,"]")))</f>
        <v>Attachmenttype[2]</v>
      </c>
      <c r="J89" s="207">
        <f t="shared" si="14"/>
        <v>4</v>
      </c>
      <c r="K89" s="207" t="str">
        <f t="shared" si="15"/>
        <v/>
      </c>
      <c r="L89" s="207" t="str">
        <f t="shared" si="16"/>
        <v/>
      </c>
      <c r="M89" s="207" t="str">
        <f t="shared" si="17"/>
        <v/>
      </c>
      <c r="N89" s="208">
        <f t="shared" si="18"/>
        <v>4</v>
      </c>
    </row>
    <row r="90" spans="1:15" ht="13.5" customHeight="1" x14ac:dyDescent="0.2">
      <c r="A90" s="200" t="str">
        <f t="shared" si="19"/>
        <v>Auxiliar4</v>
      </c>
      <c r="B90" s="200"/>
      <c r="C90" s="200"/>
      <c r="D90" s="200" t="str">
        <f t="shared" si="20"/>
        <v>AA3</v>
      </c>
      <c r="E90" s="200" t="str">
        <f t="shared" si="21"/>
        <v>Get Data</v>
      </c>
      <c r="F90" s="200" t="str">
        <f>'2nd_Post_Processing'!$L$6</f>
        <v>Line</v>
      </c>
      <c r="G90" s="200"/>
      <c r="H90" s="200"/>
      <c r="I90" s="200" t="str">
        <f t="shared" si="22"/>
        <v>Attachmenttype[3]</v>
      </c>
      <c r="J90" s="207">
        <f t="shared" si="14"/>
        <v>5</v>
      </c>
      <c r="K90" s="207" t="str">
        <f t="shared" si="15"/>
        <v/>
      </c>
      <c r="L90" s="207" t="str">
        <f t="shared" si="16"/>
        <v/>
      </c>
      <c r="M90" s="207" t="str">
        <f t="shared" si="17"/>
        <v/>
      </c>
      <c r="N90" s="208">
        <f t="shared" si="18"/>
        <v>5</v>
      </c>
    </row>
    <row r="91" spans="1:15" ht="13.5" customHeight="1" x14ac:dyDescent="0.2">
      <c r="A91" s="200" t="str">
        <f t="shared" si="19"/>
        <v>Auxiliar4</v>
      </c>
      <c r="B91" s="200"/>
      <c r="C91" s="200"/>
      <c r="D91" s="200" t="str">
        <f t="shared" si="20"/>
        <v>AA4</v>
      </c>
      <c r="E91" s="200" t="str">
        <f t="shared" si="21"/>
        <v>Get Data</v>
      </c>
      <c r="F91" s="200" t="str">
        <f>'2nd_Post_Processing'!$L$6</f>
        <v>Line</v>
      </c>
      <c r="G91" s="200"/>
      <c r="H91" s="200"/>
      <c r="I91" s="200" t="str">
        <f t="shared" si="22"/>
        <v>Attachmenttype[4]</v>
      </c>
      <c r="J91" s="207">
        <f t="shared" si="14"/>
        <v>6</v>
      </c>
      <c r="K91" s="207" t="str">
        <f t="shared" si="15"/>
        <v/>
      </c>
      <c r="L91" s="207" t="str">
        <f t="shared" si="16"/>
        <v/>
      </c>
      <c r="M91" s="207" t="str">
        <f t="shared" si="17"/>
        <v/>
      </c>
      <c r="N91" s="208">
        <f t="shared" si="18"/>
        <v>6</v>
      </c>
    </row>
    <row r="92" spans="1:15" ht="13.5" customHeight="1" x14ac:dyDescent="0.2">
      <c r="A92" s="200" t="str">
        <f t="shared" si="19"/>
        <v>Auxiliar4</v>
      </c>
      <c r="B92" s="200"/>
      <c r="C92" s="200"/>
      <c r="D92" s="200" t="str">
        <f t="shared" si="20"/>
        <v>AA5</v>
      </c>
      <c r="E92" s="200" t="str">
        <f t="shared" si="21"/>
        <v>Get Data</v>
      </c>
      <c r="F92" s="200" t="str">
        <f>'2nd_Post_Processing'!$L$6</f>
        <v>Line</v>
      </c>
      <c r="G92" s="200"/>
      <c r="H92" s="200"/>
      <c r="I92" s="200" t="str">
        <f t="shared" si="22"/>
        <v>Attachmenttype[5]</v>
      </c>
      <c r="J92" s="207">
        <f t="shared" si="14"/>
        <v>7</v>
      </c>
      <c r="K92" s="207" t="str">
        <f t="shared" si="15"/>
        <v/>
      </c>
      <c r="L92" s="207" t="str">
        <f t="shared" si="16"/>
        <v/>
      </c>
      <c r="M92" s="207" t="str">
        <f t="shared" si="17"/>
        <v/>
      </c>
      <c r="N92" s="208">
        <f t="shared" si="18"/>
        <v>7</v>
      </c>
    </row>
    <row r="93" spans="1:15" ht="13.5" customHeight="1" x14ac:dyDescent="0.2">
      <c r="A93" s="200" t="str">
        <f t="shared" si="19"/>
        <v>Auxiliar4</v>
      </c>
      <c r="B93" s="200"/>
      <c r="C93" s="200"/>
      <c r="D93" s="200" t="str">
        <f t="shared" si="20"/>
        <v>AA6</v>
      </c>
      <c r="E93" s="200" t="str">
        <f t="shared" si="21"/>
        <v>Get Data</v>
      </c>
      <c r="F93" s="200" t="str">
        <f>'2nd_Post_Processing'!$L$6</f>
        <v>Line</v>
      </c>
      <c r="G93" s="200"/>
      <c r="H93" s="200"/>
      <c r="I93" s="200" t="str">
        <f t="shared" si="22"/>
        <v>Attachmenttype[6]</v>
      </c>
      <c r="J93" s="207">
        <f t="shared" si="14"/>
        <v>8</v>
      </c>
      <c r="K93" s="207" t="str">
        <f t="shared" si="15"/>
        <v/>
      </c>
      <c r="L93" s="207" t="str">
        <f t="shared" si="16"/>
        <v/>
      </c>
      <c r="M93" s="207" t="str">
        <f t="shared" si="17"/>
        <v/>
      </c>
      <c r="N93" s="208">
        <f t="shared" si="18"/>
        <v>8</v>
      </c>
    </row>
    <row r="94" spans="1:15" ht="13.5" customHeight="1" x14ac:dyDescent="0.2">
      <c r="A94" s="200" t="str">
        <f t="shared" si="19"/>
        <v>Auxiliar4</v>
      </c>
      <c r="B94" s="200"/>
      <c r="C94" s="200"/>
      <c r="D94" s="200" t="str">
        <f t="shared" si="20"/>
        <v>AA7</v>
      </c>
      <c r="E94" s="200" t="str">
        <f t="shared" si="21"/>
        <v>Get Data</v>
      </c>
      <c r="F94" s="200" t="str">
        <f>'2nd_Post_Processing'!$L$6</f>
        <v>Line</v>
      </c>
      <c r="G94" s="200"/>
      <c r="H94" s="200"/>
      <c r="I94" s="200" t="str">
        <f t="shared" si="22"/>
        <v>Attachmenttype[7]</v>
      </c>
      <c r="J94" s="207">
        <f t="shared" si="14"/>
        <v>9</v>
      </c>
      <c r="K94" s="207" t="str">
        <f t="shared" si="15"/>
        <v/>
      </c>
      <c r="L94" s="207" t="str">
        <f t="shared" si="16"/>
        <v/>
      </c>
      <c r="M94" s="207" t="str">
        <f t="shared" si="17"/>
        <v/>
      </c>
      <c r="N94" s="208">
        <f t="shared" si="18"/>
        <v>9</v>
      </c>
    </row>
    <row r="95" spans="1:15" ht="13.5" customHeight="1" x14ac:dyDescent="0.2">
      <c r="A95" s="200" t="str">
        <f t="shared" si="19"/>
        <v>Auxiliar4</v>
      </c>
      <c r="B95" s="200"/>
      <c r="C95" s="200"/>
      <c r="D95" s="200" t="str">
        <f t="shared" si="20"/>
        <v>AA8</v>
      </c>
      <c r="E95" s="200" t="str">
        <f t="shared" si="21"/>
        <v>Get Data</v>
      </c>
      <c r="F95" s="200" t="str">
        <f>'2nd_Post_Processing'!$L$6</f>
        <v>Line</v>
      </c>
      <c r="G95" s="200"/>
      <c r="H95" s="200"/>
      <c r="I95" s="200" t="str">
        <f t="shared" si="22"/>
        <v>Attachmenttype[8]</v>
      </c>
      <c r="J95" s="207">
        <f t="shared" si="14"/>
        <v>10</v>
      </c>
      <c r="K95" s="207" t="str">
        <f t="shared" si="15"/>
        <v/>
      </c>
      <c r="L95" s="207" t="str">
        <f t="shared" si="16"/>
        <v/>
      </c>
      <c r="M95" s="207" t="str">
        <f t="shared" si="17"/>
        <v/>
      </c>
      <c r="N95" s="208">
        <f t="shared" si="18"/>
        <v>10</v>
      </c>
    </row>
    <row r="96" spans="1:15" ht="13.5" customHeight="1" x14ac:dyDescent="0.2">
      <c r="A96" s="200" t="str">
        <f t="shared" si="19"/>
        <v>Auxiliar4</v>
      </c>
      <c r="B96" s="200"/>
      <c r="C96" s="200"/>
      <c r="D96" s="200" t="str">
        <f t="shared" si="20"/>
        <v>AA9</v>
      </c>
      <c r="E96" s="200" t="str">
        <f t="shared" si="21"/>
        <v>Get Data</v>
      </c>
      <c r="F96" s="200" t="str">
        <f>'2nd_Post_Processing'!$L$6</f>
        <v>Line</v>
      </c>
      <c r="G96" s="200"/>
      <c r="H96" s="200"/>
      <c r="I96" s="200" t="str">
        <f t="shared" si="22"/>
        <v>Attachmenttype[9]</v>
      </c>
      <c r="J96" s="207">
        <f t="shared" si="14"/>
        <v>11</v>
      </c>
      <c r="K96" s="207" t="str">
        <f t="shared" si="15"/>
        <v/>
      </c>
      <c r="L96" s="207" t="str">
        <f t="shared" si="16"/>
        <v/>
      </c>
      <c r="M96" s="207" t="str">
        <f t="shared" si="17"/>
        <v/>
      </c>
      <c r="N96" s="208">
        <f t="shared" si="18"/>
        <v>11</v>
      </c>
    </row>
    <row r="97" spans="1:14" ht="13.5" customHeight="1" x14ac:dyDescent="0.2">
      <c r="A97" s="200" t="str">
        <f t="shared" si="19"/>
        <v>Auxiliar4</v>
      </c>
      <c r="B97" s="200"/>
      <c r="C97" s="200"/>
      <c r="D97" s="200" t="str">
        <f t="shared" si="20"/>
        <v>AA10</v>
      </c>
      <c r="E97" s="200" t="str">
        <f t="shared" si="21"/>
        <v>Get Data</v>
      </c>
      <c r="F97" s="200" t="str">
        <f>'2nd_Post_Processing'!$L$6</f>
        <v>Line</v>
      </c>
      <c r="G97" s="200"/>
      <c r="H97" s="200"/>
      <c r="I97" s="200" t="str">
        <f t="shared" si="22"/>
        <v>Attachmenttype[10]</v>
      </c>
      <c r="J97" s="207">
        <f t="shared" si="14"/>
        <v>12</v>
      </c>
      <c r="K97" s="207" t="str">
        <f t="shared" si="15"/>
        <v/>
      </c>
      <c r="L97" s="207" t="str">
        <f t="shared" si="16"/>
        <v/>
      </c>
      <c r="M97" s="207" t="str">
        <f t="shared" si="17"/>
        <v/>
      </c>
      <c r="N97" s="208">
        <f t="shared" si="18"/>
        <v>12</v>
      </c>
    </row>
    <row r="98" spans="1:14" ht="13.5" customHeight="1" x14ac:dyDescent="0.2">
      <c r="A98" s="200" t="str">
        <f t="shared" si="19"/>
        <v>Auxiliar4</v>
      </c>
      <c r="B98" s="200"/>
      <c r="C98" s="200"/>
      <c r="D98" s="200" t="str">
        <f t="shared" si="20"/>
        <v>AA11</v>
      </c>
      <c r="E98" s="200" t="str">
        <f t="shared" si="21"/>
        <v>Get Data</v>
      </c>
      <c r="F98" s="200" t="str">
        <f>'2nd_Post_Processing'!$L$6</f>
        <v>Line</v>
      </c>
      <c r="G98" s="200"/>
      <c r="H98" s="200"/>
      <c r="I98" s="200" t="str">
        <f t="shared" si="22"/>
        <v>Attachmenttype[11]</v>
      </c>
      <c r="J98" s="207">
        <f t="shared" si="14"/>
        <v>13</v>
      </c>
      <c r="K98" s="207" t="str">
        <f t="shared" si="15"/>
        <v/>
      </c>
      <c r="L98" s="207" t="str">
        <f t="shared" si="16"/>
        <v/>
      </c>
      <c r="M98" s="207" t="str">
        <f t="shared" si="17"/>
        <v/>
      </c>
      <c r="N98" s="208">
        <f t="shared" si="18"/>
        <v>13</v>
      </c>
    </row>
    <row r="99" spans="1:14" ht="13.5" customHeight="1" x14ac:dyDescent="0.2">
      <c r="A99" s="200" t="str">
        <f t="shared" si="19"/>
        <v>Auxiliar4</v>
      </c>
      <c r="B99" s="200"/>
      <c r="C99" s="200"/>
      <c r="D99" s="200" t="str">
        <f t="shared" si="20"/>
        <v>AA12</v>
      </c>
      <c r="E99" s="200" t="str">
        <f t="shared" si="21"/>
        <v>Get Data</v>
      </c>
      <c r="F99" s="200" t="str">
        <f>'2nd_Post_Processing'!$L$6</f>
        <v>Line</v>
      </c>
      <c r="G99" s="200"/>
      <c r="H99" s="200"/>
      <c r="I99" s="200" t="str">
        <f t="shared" si="22"/>
        <v>Attachmenttype[12]</v>
      </c>
      <c r="J99" s="207">
        <f t="shared" si="14"/>
        <v>14</v>
      </c>
      <c r="K99" s="207" t="str">
        <f t="shared" si="15"/>
        <v/>
      </c>
      <c r="L99" s="207" t="str">
        <f t="shared" si="16"/>
        <v/>
      </c>
      <c r="M99" s="207" t="str">
        <f t="shared" si="17"/>
        <v/>
      </c>
      <c r="N99" s="208">
        <f t="shared" si="18"/>
        <v>14</v>
      </c>
    </row>
    <row r="100" spans="1:14" ht="13.5" customHeight="1" x14ac:dyDescent="0.2">
      <c r="A100" s="200" t="str">
        <f t="shared" si="19"/>
        <v>Auxiliar4</v>
      </c>
      <c r="B100" s="200"/>
      <c r="C100" s="200"/>
      <c r="D100" s="200" t="str">
        <f t="shared" si="20"/>
        <v>AA13</v>
      </c>
      <c r="E100" s="200" t="str">
        <f t="shared" si="21"/>
        <v>Get Data</v>
      </c>
      <c r="F100" s="200" t="str">
        <f>'2nd_Post_Processing'!$L$6</f>
        <v>Line</v>
      </c>
      <c r="G100" s="200"/>
      <c r="H100" s="200"/>
      <c r="I100" s="200" t="str">
        <f t="shared" si="22"/>
        <v>Attachmenttype[13]</v>
      </c>
      <c r="J100" s="207">
        <f t="shared" si="14"/>
        <v>15</v>
      </c>
      <c r="K100" s="207" t="str">
        <f t="shared" si="15"/>
        <v/>
      </c>
      <c r="L100" s="207" t="str">
        <f t="shared" si="16"/>
        <v/>
      </c>
      <c r="M100" s="207" t="str">
        <f t="shared" si="17"/>
        <v/>
      </c>
      <c r="N100" s="208">
        <f t="shared" si="18"/>
        <v>15</v>
      </c>
    </row>
    <row r="101" spans="1:14" ht="13.5" customHeight="1" x14ac:dyDescent="0.2">
      <c r="A101" s="200" t="str">
        <f t="shared" si="19"/>
        <v>Auxiliar4</v>
      </c>
      <c r="B101" s="200"/>
      <c r="C101" s="200"/>
      <c r="D101" s="200" t="str">
        <f t="shared" si="20"/>
        <v>AA14</v>
      </c>
      <c r="E101" s="200" t="str">
        <f t="shared" si="21"/>
        <v>Get Data</v>
      </c>
      <c r="F101" s="200" t="str">
        <f>'2nd_Post_Processing'!$L$6</f>
        <v>Line</v>
      </c>
      <c r="G101" s="200"/>
      <c r="H101" s="200"/>
      <c r="I101" s="200" t="str">
        <f t="shared" si="22"/>
        <v>Attachmenttype[14]</v>
      </c>
      <c r="J101" s="207">
        <f t="shared" si="14"/>
        <v>16</v>
      </c>
      <c r="K101" s="207" t="str">
        <f t="shared" si="15"/>
        <v/>
      </c>
      <c r="L101" s="207" t="str">
        <f t="shared" si="16"/>
        <v/>
      </c>
      <c r="M101" s="207" t="str">
        <f t="shared" si="17"/>
        <v/>
      </c>
      <c r="N101" s="208">
        <f t="shared" si="18"/>
        <v>16</v>
      </c>
    </row>
    <row r="102" spans="1:14" ht="13.5" customHeight="1" x14ac:dyDescent="0.2">
      <c r="A102" s="200" t="str">
        <f t="shared" si="19"/>
        <v>Auxiliar4</v>
      </c>
      <c r="B102" s="200"/>
      <c r="C102" s="200"/>
      <c r="D102" s="200" t="str">
        <f t="shared" si="20"/>
        <v>AA15</v>
      </c>
      <c r="E102" s="200" t="str">
        <f t="shared" si="21"/>
        <v>Get Data</v>
      </c>
      <c r="F102" s="200" t="str">
        <f>'2nd_Post_Processing'!$L$6</f>
        <v>Line</v>
      </c>
      <c r="G102" s="200"/>
      <c r="H102" s="200"/>
      <c r="I102" s="200" t="str">
        <f t="shared" si="22"/>
        <v>Attachmenttype[15]</v>
      </c>
      <c r="J102" s="207">
        <f t="shared" si="14"/>
        <v>17</v>
      </c>
      <c r="K102" s="207" t="str">
        <f t="shared" si="15"/>
        <v/>
      </c>
      <c r="L102" s="207" t="str">
        <f t="shared" si="16"/>
        <v/>
      </c>
      <c r="M102" s="207" t="str">
        <f t="shared" si="17"/>
        <v/>
      </c>
      <c r="N102" s="208">
        <f t="shared" si="18"/>
        <v>17</v>
      </c>
    </row>
    <row r="103" spans="1:14" ht="13.5" customHeight="1" x14ac:dyDescent="0.2">
      <c r="A103" s="200" t="str">
        <f t="shared" si="19"/>
        <v>Auxiliar4</v>
      </c>
      <c r="B103" s="200"/>
      <c r="C103" s="200"/>
      <c r="D103" s="200" t="str">
        <f t="shared" si="20"/>
        <v>AA16</v>
      </c>
      <c r="E103" s="200" t="str">
        <f t="shared" si="21"/>
        <v>Get Data</v>
      </c>
      <c r="F103" s="200" t="str">
        <f>'2nd_Post_Processing'!$L$6</f>
        <v>Line</v>
      </c>
      <c r="G103" s="200"/>
      <c r="H103" s="200"/>
      <c r="I103" s="200" t="str">
        <f t="shared" si="22"/>
        <v>Attachmenttype[16]</v>
      </c>
      <c r="J103" s="207">
        <f t="shared" si="14"/>
        <v>18</v>
      </c>
      <c r="K103" s="207" t="str">
        <f t="shared" si="15"/>
        <v/>
      </c>
      <c r="L103" s="207" t="str">
        <f t="shared" si="16"/>
        <v/>
      </c>
      <c r="M103" s="207" t="str">
        <f t="shared" si="17"/>
        <v/>
      </c>
      <c r="N103" s="208">
        <f t="shared" si="18"/>
        <v>18</v>
      </c>
    </row>
    <row r="104" spans="1:14" ht="13.5" customHeight="1" x14ac:dyDescent="0.2">
      <c r="A104" s="200" t="str">
        <f t="shared" si="19"/>
        <v>Auxiliar4</v>
      </c>
      <c r="B104" s="200"/>
      <c r="C104" s="200"/>
      <c r="D104" s="200" t="str">
        <f t="shared" si="20"/>
        <v>AA17</v>
      </c>
      <c r="E104" s="200" t="str">
        <f t="shared" si="21"/>
        <v>Get Data</v>
      </c>
      <c r="F104" s="200" t="str">
        <f>'2nd_Post_Processing'!$L$6</f>
        <v>Line</v>
      </c>
      <c r="G104" s="200"/>
      <c r="H104" s="200"/>
      <c r="I104" s="200" t="str">
        <f t="shared" si="22"/>
        <v>Attachmenttype[17]</v>
      </c>
      <c r="J104" s="207">
        <f t="shared" si="14"/>
        <v>19</v>
      </c>
      <c r="K104" s="207" t="str">
        <f t="shared" si="15"/>
        <v/>
      </c>
      <c r="L104" s="207" t="str">
        <f t="shared" si="16"/>
        <v/>
      </c>
      <c r="M104" s="207" t="str">
        <f t="shared" si="17"/>
        <v/>
      </c>
      <c r="N104" s="208">
        <f t="shared" si="18"/>
        <v>19</v>
      </c>
    </row>
    <row r="105" spans="1:14" ht="13.5" customHeight="1" x14ac:dyDescent="0.2">
      <c r="A105" s="200" t="str">
        <f t="shared" si="19"/>
        <v>Auxiliar4</v>
      </c>
      <c r="B105" s="200"/>
      <c r="C105" s="200"/>
      <c r="D105" s="200" t="str">
        <f t="shared" si="20"/>
        <v>AA18</v>
      </c>
      <c r="E105" s="200" t="str">
        <f t="shared" si="21"/>
        <v>Get Data</v>
      </c>
      <c r="F105" s="200" t="str">
        <f>'2nd_Post_Processing'!$L$6</f>
        <v>Line</v>
      </c>
      <c r="G105" s="200"/>
      <c r="H105" s="200"/>
      <c r="I105" s="200" t="str">
        <f t="shared" si="22"/>
        <v>Attachmenttype[18]</v>
      </c>
      <c r="J105" s="207">
        <f t="shared" si="14"/>
        <v>20</v>
      </c>
      <c r="K105" s="207" t="str">
        <f t="shared" si="15"/>
        <v/>
      </c>
      <c r="L105" s="207" t="str">
        <f t="shared" si="16"/>
        <v/>
      </c>
      <c r="M105" s="207" t="str">
        <f t="shared" si="17"/>
        <v/>
      </c>
      <c r="N105" s="208">
        <f t="shared" si="18"/>
        <v>20</v>
      </c>
    </row>
    <row r="106" spans="1:14" ht="13.5" customHeight="1" x14ac:dyDescent="0.2">
      <c r="A106" s="200" t="str">
        <f t="shared" si="19"/>
        <v>Auxiliar4</v>
      </c>
      <c r="B106" s="200"/>
      <c r="C106" s="200"/>
      <c r="D106" s="200" t="str">
        <f t="shared" si="20"/>
        <v>AA19</v>
      </c>
      <c r="E106" s="200" t="str">
        <f t="shared" si="21"/>
        <v>Get Data</v>
      </c>
      <c r="F106" s="200" t="str">
        <f>'2nd_Post_Processing'!$L$6</f>
        <v>Line</v>
      </c>
      <c r="G106" s="200"/>
      <c r="H106" s="200"/>
      <c r="I106" s="200" t="str">
        <f t="shared" si="22"/>
        <v>Attachmenttype[19]</v>
      </c>
      <c r="J106" s="207">
        <f t="shared" si="14"/>
        <v>21</v>
      </c>
      <c r="K106" s="207" t="str">
        <f t="shared" si="15"/>
        <v/>
      </c>
      <c r="L106" s="207" t="str">
        <f t="shared" si="16"/>
        <v/>
      </c>
      <c r="M106" s="207" t="str">
        <f t="shared" si="17"/>
        <v/>
      </c>
      <c r="N106" s="208">
        <f t="shared" si="18"/>
        <v>21</v>
      </c>
    </row>
    <row r="107" spans="1:14" ht="13.5" customHeight="1" x14ac:dyDescent="0.2">
      <c r="A107" s="200" t="str">
        <f t="shared" si="19"/>
        <v>Auxiliar4</v>
      </c>
      <c r="B107" s="200"/>
      <c r="C107" s="200"/>
      <c r="D107" s="200" t="str">
        <f t="shared" si="20"/>
        <v>AA20</v>
      </c>
      <c r="E107" s="200" t="str">
        <f t="shared" si="21"/>
        <v>Get Data</v>
      </c>
      <c r="F107" s="200" t="str">
        <f>'2nd_Post_Processing'!$L$6</f>
        <v>Line</v>
      </c>
      <c r="G107" s="200"/>
      <c r="H107" s="200"/>
      <c r="I107" s="200" t="str">
        <f t="shared" si="22"/>
        <v>Attachmenttype[20]</v>
      </c>
      <c r="J107" s="207">
        <f t="shared" si="14"/>
        <v>22</v>
      </c>
      <c r="K107" s="207" t="str">
        <f t="shared" si="15"/>
        <v/>
      </c>
      <c r="L107" s="207" t="str">
        <f t="shared" si="16"/>
        <v/>
      </c>
      <c r="M107" s="207" t="str">
        <f t="shared" si="17"/>
        <v/>
      </c>
      <c r="N107" s="208">
        <f t="shared" si="18"/>
        <v>22</v>
      </c>
    </row>
    <row r="108" spans="1:14" ht="13.5" customHeight="1" x14ac:dyDescent="0.2">
      <c r="A108" s="200" t="str">
        <f t="shared" si="19"/>
        <v>Auxiliar4</v>
      </c>
      <c r="B108" s="200"/>
      <c r="C108" s="200"/>
      <c r="D108" s="200" t="str">
        <f t="shared" si="20"/>
        <v>AA21</v>
      </c>
      <c r="E108" s="200" t="str">
        <f t="shared" si="21"/>
        <v>Get Data</v>
      </c>
      <c r="F108" s="200" t="str">
        <f>'2nd_Post_Processing'!$L$6</f>
        <v>Line</v>
      </c>
      <c r="G108" s="200"/>
      <c r="H108" s="200"/>
      <c r="I108" s="200" t="str">
        <f t="shared" si="22"/>
        <v>Attachmenttype[21]</v>
      </c>
      <c r="J108" s="207">
        <f t="shared" si="14"/>
        <v>23</v>
      </c>
      <c r="K108" s="207" t="str">
        <f t="shared" si="15"/>
        <v/>
      </c>
      <c r="L108" s="207" t="str">
        <f t="shared" si="16"/>
        <v/>
      </c>
      <c r="M108" s="207" t="str">
        <f t="shared" si="17"/>
        <v/>
      </c>
      <c r="N108" s="208">
        <f t="shared" si="18"/>
        <v>23</v>
      </c>
    </row>
    <row r="109" spans="1:14" ht="13.5" customHeight="1" x14ac:dyDescent="0.2">
      <c r="A109" s="200" t="str">
        <f t="shared" si="19"/>
        <v>Auxiliar4</v>
      </c>
      <c r="B109" s="200"/>
      <c r="C109" s="200"/>
      <c r="D109" s="200" t="str">
        <f t="shared" si="20"/>
        <v>AA22</v>
      </c>
      <c r="E109" s="200" t="str">
        <f t="shared" si="21"/>
        <v>Get Data</v>
      </c>
      <c r="F109" s="200" t="str">
        <f>'2nd_Post_Processing'!$L$6</f>
        <v>Line</v>
      </c>
      <c r="G109" s="200"/>
      <c r="H109" s="200"/>
      <c r="I109" s="200" t="str">
        <f t="shared" si="22"/>
        <v>Attachmenttype[22]</v>
      </c>
      <c r="J109" s="207">
        <f t="shared" si="14"/>
        <v>24</v>
      </c>
      <c r="K109" s="207" t="str">
        <f t="shared" si="15"/>
        <v/>
      </c>
      <c r="L109" s="207" t="str">
        <f t="shared" si="16"/>
        <v/>
      </c>
      <c r="M109" s="207" t="str">
        <f t="shared" si="17"/>
        <v/>
      </c>
      <c r="N109" s="208">
        <f t="shared" si="18"/>
        <v>24</v>
      </c>
    </row>
    <row r="110" spans="1:14" ht="13.5" customHeight="1" x14ac:dyDescent="0.2">
      <c r="A110" s="200" t="str">
        <f t="shared" si="19"/>
        <v>Auxiliar4</v>
      </c>
      <c r="B110" s="200"/>
      <c r="C110" s="200"/>
      <c r="D110" s="200" t="str">
        <f t="shared" si="20"/>
        <v>AA23</v>
      </c>
      <c r="E110" s="200" t="str">
        <f t="shared" si="21"/>
        <v>Get Data</v>
      </c>
      <c r="F110" s="200" t="str">
        <f>'2nd_Post_Processing'!$L$6</f>
        <v>Line</v>
      </c>
      <c r="G110" s="200"/>
      <c r="H110" s="200"/>
      <c r="I110" s="200" t="str">
        <f t="shared" si="22"/>
        <v>Attachmenttype[23]</v>
      </c>
      <c r="J110" s="207">
        <f t="shared" si="14"/>
        <v>25</v>
      </c>
      <c r="K110" s="207" t="str">
        <f t="shared" si="15"/>
        <v/>
      </c>
      <c r="L110" s="207" t="str">
        <f t="shared" si="16"/>
        <v/>
      </c>
      <c r="M110" s="207" t="str">
        <f t="shared" si="17"/>
        <v/>
      </c>
      <c r="N110" s="208">
        <f t="shared" si="18"/>
        <v>25</v>
      </c>
    </row>
    <row r="111" spans="1:14" ht="13.5" customHeight="1" x14ac:dyDescent="0.2">
      <c r="A111" s="200" t="str">
        <f t="shared" si="19"/>
        <v>Auxiliar4</v>
      </c>
      <c r="B111" s="200"/>
      <c r="C111" s="200"/>
      <c r="D111" s="200" t="str">
        <f t="shared" si="20"/>
        <v>AA24</v>
      </c>
      <c r="E111" s="200" t="str">
        <f t="shared" si="21"/>
        <v>Get Data</v>
      </c>
      <c r="F111" s="200" t="str">
        <f>'2nd_Post_Processing'!$L$6</f>
        <v>Line</v>
      </c>
      <c r="G111" s="200"/>
      <c r="H111" s="200"/>
      <c r="I111" s="200" t="str">
        <f t="shared" si="22"/>
        <v>Attachmenttype[24]</v>
      </c>
      <c r="J111" s="207">
        <f t="shared" si="14"/>
        <v>26</v>
      </c>
      <c r="K111" s="207" t="str">
        <f t="shared" si="15"/>
        <v/>
      </c>
      <c r="L111" s="207" t="str">
        <f t="shared" si="16"/>
        <v/>
      </c>
      <c r="M111" s="207" t="str">
        <f t="shared" si="17"/>
        <v/>
      </c>
      <c r="N111" s="208">
        <f t="shared" si="18"/>
        <v>26</v>
      </c>
    </row>
    <row r="112" spans="1:14" ht="13.5" customHeight="1" x14ac:dyDescent="0.2">
      <c r="A112" s="200" t="str">
        <f t="shared" si="19"/>
        <v>Auxiliar4</v>
      </c>
      <c r="B112" s="200"/>
      <c r="C112" s="200"/>
      <c r="D112" s="200" t="str">
        <f t="shared" si="20"/>
        <v>AA25</v>
      </c>
      <c r="E112" s="200" t="str">
        <f t="shared" si="21"/>
        <v>Get Data</v>
      </c>
      <c r="F112" s="200" t="str">
        <f>'2nd_Post_Processing'!$L$6</f>
        <v>Line</v>
      </c>
      <c r="G112" s="200"/>
      <c r="H112" s="200"/>
      <c r="I112" s="200" t="str">
        <f t="shared" si="22"/>
        <v>Attachmenttype[25]</v>
      </c>
      <c r="J112" s="207">
        <f t="shared" si="14"/>
        <v>27</v>
      </c>
      <c r="K112" s="207" t="str">
        <f t="shared" si="15"/>
        <v/>
      </c>
      <c r="L112" s="207" t="str">
        <f t="shared" si="16"/>
        <v/>
      </c>
      <c r="M112" s="207" t="str">
        <f t="shared" si="17"/>
        <v/>
      </c>
      <c r="N112" s="208">
        <f t="shared" si="18"/>
        <v>27</v>
      </c>
    </row>
    <row r="113" spans="1:14" ht="13.5" customHeight="1" x14ac:dyDescent="0.2">
      <c r="A113" s="200" t="str">
        <f t="shared" si="19"/>
        <v>Auxiliar4</v>
      </c>
      <c r="B113" s="200"/>
      <c r="C113" s="200"/>
      <c r="D113" s="200" t="str">
        <f t="shared" si="20"/>
        <v>AA26</v>
      </c>
      <c r="E113" s="200" t="str">
        <f t="shared" si="21"/>
        <v>Get Data</v>
      </c>
      <c r="F113" s="200" t="str">
        <f>'2nd_Post_Processing'!$L$6</f>
        <v>Line</v>
      </c>
      <c r="G113" s="200"/>
      <c r="H113" s="200"/>
      <c r="I113" s="200" t="str">
        <f t="shared" si="22"/>
        <v>Attachmenttype[26]</v>
      </c>
      <c r="J113" s="207">
        <f t="shared" si="14"/>
        <v>28</v>
      </c>
      <c r="K113" s="207" t="str">
        <f t="shared" si="15"/>
        <v/>
      </c>
      <c r="L113" s="207" t="str">
        <f t="shared" si="16"/>
        <v/>
      </c>
      <c r="M113" s="207" t="str">
        <f t="shared" si="17"/>
        <v/>
      </c>
      <c r="N113" s="208">
        <f t="shared" si="18"/>
        <v>28</v>
      </c>
    </row>
    <row r="114" spans="1:14" ht="13.5" customHeight="1" x14ac:dyDescent="0.2">
      <c r="A114" s="200" t="str">
        <f t="shared" si="19"/>
        <v>Auxiliar4</v>
      </c>
      <c r="B114" s="200"/>
      <c r="C114" s="200"/>
      <c r="D114" s="200" t="str">
        <f t="shared" si="20"/>
        <v>AA27</v>
      </c>
      <c r="E114" s="200" t="str">
        <f t="shared" si="21"/>
        <v>Get Data</v>
      </c>
      <c r="F114" s="200" t="str">
        <f>'2nd_Post_Processing'!$L$6</f>
        <v>Line</v>
      </c>
      <c r="G114" s="200"/>
      <c r="H114" s="200"/>
      <c r="I114" s="200" t="str">
        <f t="shared" si="22"/>
        <v>Attachmenttype[27]</v>
      </c>
      <c r="J114" s="207">
        <f t="shared" si="14"/>
        <v>29</v>
      </c>
      <c r="K114" s="207" t="str">
        <f t="shared" si="15"/>
        <v/>
      </c>
      <c r="L114" s="207" t="str">
        <f t="shared" si="16"/>
        <v/>
      </c>
      <c r="M114" s="207" t="str">
        <f t="shared" si="17"/>
        <v/>
      </c>
      <c r="N114" s="208">
        <f t="shared" si="18"/>
        <v>29</v>
      </c>
    </row>
    <row r="115" spans="1:14" ht="13.5" customHeight="1" x14ac:dyDescent="0.2">
      <c r="A115" s="200" t="str">
        <f t="shared" si="19"/>
        <v>Auxiliar4</v>
      </c>
      <c r="B115" s="200"/>
      <c r="C115" s="200"/>
      <c r="D115" s="200" t="str">
        <f t="shared" si="20"/>
        <v>AA28</v>
      </c>
      <c r="E115" s="200" t="str">
        <f t="shared" si="21"/>
        <v>Get Data</v>
      </c>
      <c r="F115" s="200" t="str">
        <f>'2nd_Post_Processing'!$L$6</f>
        <v>Line</v>
      </c>
      <c r="G115" s="200"/>
      <c r="H115" s="200"/>
      <c r="I115" s="200" t="str">
        <f t="shared" si="22"/>
        <v>Attachmenttype[28]</v>
      </c>
      <c r="J115" s="207">
        <f t="shared" si="14"/>
        <v>30</v>
      </c>
      <c r="K115" s="207" t="str">
        <f t="shared" si="15"/>
        <v/>
      </c>
      <c r="L115" s="207" t="str">
        <f t="shared" si="16"/>
        <v/>
      </c>
      <c r="M115" s="207" t="str">
        <f t="shared" si="17"/>
        <v/>
      </c>
      <c r="N115" s="208">
        <f t="shared" si="18"/>
        <v>30</v>
      </c>
    </row>
    <row r="116" spans="1:14" ht="13.5" customHeight="1" x14ac:dyDescent="0.2">
      <c r="A116" s="200" t="str">
        <f t="shared" si="19"/>
        <v>Auxiliar4</v>
      </c>
      <c r="B116" s="200"/>
      <c r="C116" s="200"/>
      <c r="D116" s="200" t="str">
        <f t="shared" si="20"/>
        <v>AA29</v>
      </c>
      <c r="E116" s="200" t="str">
        <f t="shared" si="21"/>
        <v>Get Data</v>
      </c>
      <c r="F116" s="200" t="str">
        <f>'2nd_Post_Processing'!$L$6</f>
        <v>Line</v>
      </c>
      <c r="G116" s="200"/>
      <c r="H116" s="200"/>
      <c r="I116" s="200" t="str">
        <f t="shared" si="22"/>
        <v>Attachmenttype[29]</v>
      </c>
      <c r="J116" s="207">
        <f t="shared" si="14"/>
        <v>31</v>
      </c>
      <c r="K116" s="207" t="str">
        <f t="shared" si="15"/>
        <v/>
      </c>
      <c r="L116" s="207" t="str">
        <f t="shared" si="16"/>
        <v/>
      </c>
      <c r="M116" s="207" t="str">
        <f t="shared" si="17"/>
        <v/>
      </c>
      <c r="N116" s="208">
        <f t="shared" si="18"/>
        <v>31</v>
      </c>
    </row>
    <row r="117" spans="1:14" ht="13.5" customHeight="1" x14ac:dyDescent="0.2">
      <c r="A117" s="200" t="str">
        <f t="shared" si="19"/>
        <v>Auxiliar4</v>
      </c>
      <c r="B117" s="200"/>
      <c r="C117" s="200"/>
      <c r="D117" s="200" t="str">
        <f t="shared" si="20"/>
        <v>AA30</v>
      </c>
      <c r="E117" s="200" t="str">
        <f t="shared" si="21"/>
        <v>Get Data</v>
      </c>
      <c r="F117" s="200" t="str">
        <f>'2nd_Post_Processing'!$L$6</f>
        <v>Line</v>
      </c>
      <c r="G117" s="200"/>
      <c r="H117" s="200"/>
      <c r="I117" s="200" t="str">
        <f t="shared" si="22"/>
        <v>Attachmenttype[30]</v>
      </c>
      <c r="J117" s="207">
        <f t="shared" si="14"/>
        <v>32</v>
      </c>
      <c r="K117" s="207" t="str">
        <f t="shared" si="15"/>
        <v/>
      </c>
      <c r="L117" s="207" t="str">
        <f t="shared" si="16"/>
        <v/>
      </c>
      <c r="M117" s="207" t="str">
        <f t="shared" si="17"/>
        <v/>
      </c>
      <c r="N117" s="208">
        <f t="shared" si="18"/>
        <v>32</v>
      </c>
    </row>
    <row r="118" spans="1:14" ht="13.5" customHeight="1" x14ac:dyDescent="0.2">
      <c r="A118" s="200" t="str">
        <f t="shared" si="19"/>
        <v>Auxiliar4</v>
      </c>
      <c r="B118" s="200"/>
      <c r="C118" s="200"/>
      <c r="D118" s="200" t="str">
        <f t="shared" si="20"/>
        <v>AA31</v>
      </c>
      <c r="E118" s="200" t="str">
        <f t="shared" si="21"/>
        <v>Get Data</v>
      </c>
      <c r="F118" s="200" t="str">
        <f>'2nd_Post_Processing'!$L$6</f>
        <v>Line</v>
      </c>
      <c r="G118" s="200"/>
      <c r="H118" s="200"/>
      <c r="I118" s="200" t="str">
        <f t="shared" si="22"/>
        <v>Attachmenttype[31]</v>
      </c>
      <c r="J118" s="207">
        <f t="shared" si="14"/>
        <v>33</v>
      </c>
      <c r="K118" s="207" t="str">
        <f t="shared" si="15"/>
        <v/>
      </c>
      <c r="L118" s="207" t="str">
        <f t="shared" si="16"/>
        <v/>
      </c>
      <c r="M118" s="207" t="str">
        <f t="shared" si="17"/>
        <v/>
      </c>
      <c r="N118" s="208">
        <f t="shared" si="18"/>
        <v>33</v>
      </c>
    </row>
    <row r="119" spans="1:14" ht="13.5" customHeight="1" x14ac:dyDescent="0.2">
      <c r="A119" s="200" t="str">
        <f t="shared" si="19"/>
        <v>Auxiliar4</v>
      </c>
      <c r="B119" s="200"/>
      <c r="C119" s="200"/>
      <c r="D119" s="200" t="str">
        <f t="shared" si="20"/>
        <v>AA32</v>
      </c>
      <c r="E119" s="200" t="str">
        <f t="shared" si="21"/>
        <v>Get Data</v>
      </c>
      <c r="F119" s="200" t="str">
        <f>'2nd_Post_Processing'!$L$6</f>
        <v>Line</v>
      </c>
      <c r="G119" s="200"/>
      <c r="H119" s="200"/>
      <c r="I119" s="200" t="str">
        <f t="shared" si="22"/>
        <v>Attachmenttype[32]</v>
      </c>
      <c r="J119" s="207">
        <f t="shared" si="14"/>
        <v>34</v>
      </c>
      <c r="K119" s="207" t="str">
        <f t="shared" si="15"/>
        <v/>
      </c>
      <c r="L119" s="207" t="str">
        <f t="shared" si="16"/>
        <v/>
      </c>
      <c r="M119" s="207" t="str">
        <f t="shared" si="17"/>
        <v/>
      </c>
      <c r="N119" s="208">
        <f t="shared" si="18"/>
        <v>34</v>
      </c>
    </row>
    <row r="120" spans="1:14" ht="13.5" customHeight="1" x14ac:dyDescent="0.2">
      <c r="A120" s="200" t="str">
        <f t="shared" si="19"/>
        <v>Auxiliar4</v>
      </c>
      <c r="B120" s="200"/>
      <c r="C120" s="200"/>
      <c r="D120" s="200" t="str">
        <f t="shared" si="20"/>
        <v>AA33</v>
      </c>
      <c r="E120" s="200" t="str">
        <f t="shared" si="21"/>
        <v>Get Data</v>
      </c>
      <c r="F120" s="200" t="str">
        <f>'2nd_Post_Processing'!$L$6</f>
        <v>Line</v>
      </c>
      <c r="G120" s="200"/>
      <c r="H120" s="200"/>
      <c r="I120" s="200" t="str">
        <f t="shared" si="22"/>
        <v>Attachmenttype[33]</v>
      </c>
      <c r="J120" s="207">
        <f t="shared" si="14"/>
        <v>35</v>
      </c>
      <c r="K120" s="207" t="str">
        <f t="shared" si="15"/>
        <v/>
      </c>
      <c r="L120" s="207" t="str">
        <f t="shared" si="16"/>
        <v/>
      </c>
      <c r="M120" s="207" t="str">
        <f t="shared" si="17"/>
        <v/>
      </c>
      <c r="N120" s="208">
        <f t="shared" si="18"/>
        <v>35</v>
      </c>
    </row>
    <row r="121" spans="1:14" ht="13.5" customHeight="1" x14ac:dyDescent="0.2">
      <c r="A121" s="200" t="str">
        <f t="shared" si="19"/>
        <v>Auxiliar4</v>
      </c>
      <c r="B121" s="200"/>
      <c r="C121" s="200"/>
      <c r="D121" s="200" t="str">
        <f t="shared" si="20"/>
        <v>AA34</v>
      </c>
      <c r="E121" s="200" t="str">
        <f t="shared" si="21"/>
        <v>Get Data</v>
      </c>
      <c r="F121" s="200" t="str">
        <f>'2nd_Post_Processing'!$L$6</f>
        <v>Line</v>
      </c>
      <c r="G121" s="200"/>
      <c r="H121" s="200"/>
      <c r="I121" s="200" t="str">
        <f t="shared" si="22"/>
        <v>Attachmenttype[34]</v>
      </c>
      <c r="J121" s="207">
        <f t="shared" si="14"/>
        <v>36</v>
      </c>
      <c r="K121" s="207" t="str">
        <f t="shared" si="15"/>
        <v/>
      </c>
      <c r="L121" s="207" t="str">
        <f t="shared" si="16"/>
        <v/>
      </c>
      <c r="M121" s="207" t="str">
        <f t="shared" si="17"/>
        <v/>
      </c>
      <c r="N121" s="208">
        <f t="shared" si="18"/>
        <v>36</v>
      </c>
    </row>
    <row r="122" spans="1:14" ht="13.5" customHeight="1" x14ac:dyDescent="0.2">
      <c r="A122" s="200" t="str">
        <f t="shared" si="19"/>
        <v>Auxiliar4</v>
      </c>
      <c r="B122" s="200"/>
      <c r="C122" s="200"/>
      <c r="D122" s="200" t="str">
        <f t="shared" si="20"/>
        <v>AA35</v>
      </c>
      <c r="E122" s="200" t="str">
        <f t="shared" si="21"/>
        <v>Get Data</v>
      </c>
      <c r="F122" s="200" t="str">
        <f>'2nd_Post_Processing'!$L$6</f>
        <v>Line</v>
      </c>
      <c r="G122" s="200"/>
      <c r="H122" s="200"/>
      <c r="I122" s="200" t="str">
        <f t="shared" si="22"/>
        <v>Attachmenttype[35]</v>
      </c>
      <c r="J122" s="207">
        <f t="shared" si="14"/>
        <v>37</v>
      </c>
      <c r="K122" s="207" t="str">
        <f t="shared" si="15"/>
        <v/>
      </c>
      <c r="L122" s="207" t="str">
        <f t="shared" si="16"/>
        <v/>
      </c>
      <c r="M122" s="207" t="str">
        <f t="shared" si="17"/>
        <v/>
      </c>
      <c r="N122" s="208">
        <f t="shared" si="18"/>
        <v>37</v>
      </c>
    </row>
    <row r="123" spans="1:14" ht="13.5" customHeight="1" x14ac:dyDescent="0.2">
      <c r="A123" s="200" t="str">
        <f t="shared" si="19"/>
        <v>Auxiliar4</v>
      </c>
      <c r="B123" s="200"/>
      <c r="C123" s="200"/>
      <c r="D123" s="200" t="str">
        <f t="shared" si="20"/>
        <v>AA36</v>
      </c>
      <c r="E123" s="200" t="str">
        <f t="shared" si="21"/>
        <v>Get Data</v>
      </c>
      <c r="F123" s="200" t="str">
        <f>'2nd_Post_Processing'!$L$6</f>
        <v>Line</v>
      </c>
      <c r="G123" s="200"/>
      <c r="H123" s="200"/>
      <c r="I123" s="200" t="str">
        <f t="shared" si="22"/>
        <v>Attachmenttype[36]</v>
      </c>
      <c r="J123" s="207">
        <f t="shared" si="14"/>
        <v>38</v>
      </c>
      <c r="K123" s="207" t="str">
        <f t="shared" si="15"/>
        <v/>
      </c>
      <c r="L123" s="207" t="str">
        <f t="shared" si="16"/>
        <v/>
      </c>
      <c r="M123" s="207" t="str">
        <f t="shared" si="17"/>
        <v/>
      </c>
      <c r="N123" s="208">
        <f t="shared" si="18"/>
        <v>38</v>
      </c>
    </row>
    <row r="124" spans="1:14" ht="13.5" customHeight="1" x14ac:dyDescent="0.2">
      <c r="A124" s="200" t="str">
        <f t="shared" si="19"/>
        <v>Auxiliar4</v>
      </c>
      <c r="B124" s="200"/>
      <c r="C124" s="200"/>
      <c r="D124" s="200" t="str">
        <f t="shared" si="20"/>
        <v>AA37</v>
      </c>
      <c r="E124" s="200" t="str">
        <f t="shared" si="21"/>
        <v>Get Data</v>
      </c>
      <c r="F124" s="200" t="str">
        <f>'2nd_Post_Processing'!$L$6</f>
        <v>Line</v>
      </c>
      <c r="G124" s="200"/>
      <c r="H124" s="200"/>
      <c r="I124" s="200" t="str">
        <f t="shared" si="22"/>
        <v>Attachmenttype[37]</v>
      </c>
      <c r="J124" s="207">
        <f t="shared" si="14"/>
        <v>39</v>
      </c>
      <c r="K124" s="207" t="str">
        <f t="shared" si="15"/>
        <v/>
      </c>
      <c r="L124" s="207" t="str">
        <f t="shared" si="16"/>
        <v/>
      </c>
      <c r="M124" s="207" t="str">
        <f t="shared" si="17"/>
        <v/>
      </c>
      <c r="N124" s="208">
        <f t="shared" si="18"/>
        <v>39</v>
      </c>
    </row>
    <row r="125" spans="1:14" ht="13.5" customHeight="1" x14ac:dyDescent="0.2">
      <c r="A125" s="200" t="str">
        <f t="shared" si="19"/>
        <v>Auxiliar4</v>
      </c>
      <c r="B125" s="200"/>
      <c r="C125" s="200"/>
      <c r="D125" s="200" t="str">
        <f t="shared" si="20"/>
        <v>AA38</v>
      </c>
      <c r="E125" s="200" t="str">
        <f t="shared" si="21"/>
        <v>Get Data</v>
      </c>
      <c r="F125" s="200" t="str">
        <f>'2nd_Post_Processing'!$L$6</f>
        <v>Line</v>
      </c>
      <c r="G125" s="200"/>
      <c r="H125" s="200"/>
      <c r="I125" s="200" t="str">
        <f t="shared" si="22"/>
        <v>Attachmenttype[38]</v>
      </c>
      <c r="J125" s="207">
        <f t="shared" si="14"/>
        <v>40</v>
      </c>
      <c r="K125" s="207" t="str">
        <f t="shared" si="15"/>
        <v/>
      </c>
      <c r="L125" s="207" t="str">
        <f t="shared" si="16"/>
        <v/>
      </c>
      <c r="M125" s="207" t="str">
        <f t="shared" si="17"/>
        <v/>
      </c>
      <c r="N125" s="208">
        <f t="shared" si="18"/>
        <v>40</v>
      </c>
    </row>
    <row r="126" spans="1:14" ht="13.5" customHeight="1" x14ac:dyDescent="0.2">
      <c r="A126" s="200" t="str">
        <f t="shared" si="19"/>
        <v>Auxiliar4</v>
      </c>
      <c r="B126" s="200"/>
      <c r="C126" s="200"/>
      <c r="D126" s="200" t="str">
        <f t="shared" si="20"/>
        <v>AA39</v>
      </c>
      <c r="E126" s="200" t="str">
        <f t="shared" si="21"/>
        <v>Get Data</v>
      </c>
      <c r="F126" s="200" t="str">
        <f>'2nd_Post_Processing'!$L$6</f>
        <v>Line</v>
      </c>
      <c r="G126" s="200"/>
      <c r="H126" s="200"/>
      <c r="I126" s="200" t="str">
        <f t="shared" si="22"/>
        <v>Attachmenttype[39]</v>
      </c>
      <c r="J126" s="207">
        <f t="shared" si="14"/>
        <v>41</v>
      </c>
      <c r="K126" s="207" t="str">
        <f t="shared" si="15"/>
        <v/>
      </c>
      <c r="L126" s="207" t="str">
        <f t="shared" si="16"/>
        <v/>
      </c>
      <c r="M126" s="207" t="str">
        <f t="shared" si="17"/>
        <v/>
      </c>
      <c r="N126" s="208">
        <f t="shared" si="18"/>
        <v>41</v>
      </c>
    </row>
    <row r="127" spans="1:14" ht="13.5" customHeight="1" x14ac:dyDescent="0.2">
      <c r="A127" s="200" t="str">
        <f t="shared" si="19"/>
        <v>Auxiliar4</v>
      </c>
      <c r="B127" s="200"/>
      <c r="C127" s="200"/>
      <c r="D127" s="200" t="str">
        <f t="shared" si="20"/>
        <v>AA40</v>
      </c>
      <c r="E127" s="200" t="str">
        <f t="shared" si="21"/>
        <v>Get Data</v>
      </c>
      <c r="F127" s="200" t="str">
        <f>'2nd_Post_Processing'!$L$6</f>
        <v>Line</v>
      </c>
      <c r="G127" s="200"/>
      <c r="H127" s="200"/>
      <c r="I127" s="200" t="str">
        <f t="shared" si="22"/>
        <v>Attachmenttype[40]</v>
      </c>
      <c r="J127" s="207">
        <f t="shared" si="14"/>
        <v>42</v>
      </c>
      <c r="K127" s="207" t="str">
        <f t="shared" si="15"/>
        <v/>
      </c>
      <c r="L127" s="207" t="str">
        <f t="shared" si="16"/>
        <v/>
      </c>
      <c r="M127" s="207" t="str">
        <f t="shared" si="17"/>
        <v/>
      </c>
      <c r="N127" s="208">
        <f t="shared" si="18"/>
        <v>42</v>
      </c>
    </row>
    <row r="128" spans="1:14" ht="13.5" customHeight="1" x14ac:dyDescent="0.2">
      <c r="A128" s="200" t="str">
        <f t="shared" si="19"/>
        <v>Auxiliar4</v>
      </c>
      <c r="B128" s="200"/>
      <c r="C128" s="200"/>
      <c r="D128" s="200" t="str">
        <f t="shared" si="20"/>
        <v>AA41</v>
      </c>
      <c r="E128" s="200" t="str">
        <f t="shared" si="21"/>
        <v>Get Data</v>
      </c>
      <c r="F128" s="200" t="str">
        <f>'2nd_Post_Processing'!$L$6</f>
        <v>Line</v>
      </c>
      <c r="G128" s="200"/>
      <c r="H128" s="200"/>
      <c r="I128" s="200" t="str">
        <f t="shared" si="22"/>
        <v>Attachmenttype[41]</v>
      </c>
      <c r="J128" s="207">
        <f t="shared" si="14"/>
        <v>43</v>
      </c>
      <c r="K128" s="207" t="str">
        <f t="shared" si="15"/>
        <v/>
      </c>
      <c r="L128" s="207" t="str">
        <f t="shared" si="16"/>
        <v/>
      </c>
      <c r="M128" s="207" t="str">
        <f t="shared" si="17"/>
        <v/>
      </c>
      <c r="N128" s="208">
        <f t="shared" si="18"/>
        <v>43</v>
      </c>
    </row>
    <row r="129" spans="1:14" ht="13.5" customHeight="1" x14ac:dyDescent="0.2">
      <c r="A129" s="200" t="str">
        <f t="shared" si="19"/>
        <v>Auxiliar4</v>
      </c>
      <c r="B129" s="200"/>
      <c r="C129" s="200"/>
      <c r="D129" s="200" t="str">
        <f t="shared" si="20"/>
        <v>AA42</v>
      </c>
      <c r="E129" s="200" t="str">
        <f t="shared" si="21"/>
        <v>Get Data</v>
      </c>
      <c r="F129" s="200" t="str">
        <f>'2nd_Post_Processing'!$L$6</f>
        <v>Line</v>
      </c>
      <c r="G129" s="200"/>
      <c r="H129" s="200"/>
      <c r="I129" s="200" t="str">
        <f t="shared" si="22"/>
        <v>Attachmenttype[42]</v>
      </c>
      <c r="J129" s="207">
        <f t="shared" si="14"/>
        <v>44</v>
      </c>
      <c r="K129" s="207" t="str">
        <f t="shared" si="15"/>
        <v/>
      </c>
      <c r="L129" s="207" t="str">
        <f t="shared" si="16"/>
        <v/>
      </c>
      <c r="M129" s="207" t="str">
        <f t="shared" si="17"/>
        <v/>
      </c>
      <c r="N129" s="208">
        <f t="shared" si="18"/>
        <v>44</v>
      </c>
    </row>
    <row r="130" spans="1:14" ht="13.5" customHeight="1" x14ac:dyDescent="0.2">
      <c r="A130" s="200" t="str">
        <f t="shared" si="19"/>
        <v>Auxiliar4</v>
      </c>
      <c r="B130" s="200"/>
      <c r="C130" s="200"/>
      <c r="D130" s="200" t="str">
        <f t="shared" si="20"/>
        <v>AA43</v>
      </c>
      <c r="E130" s="200" t="str">
        <f t="shared" si="21"/>
        <v>Get Data</v>
      </c>
      <c r="F130" s="200" t="str">
        <f>'2nd_Post_Processing'!$L$6</f>
        <v>Line</v>
      </c>
      <c r="G130" s="200"/>
      <c r="H130" s="200"/>
      <c r="I130" s="200" t="str">
        <f t="shared" si="22"/>
        <v>Attachmenttype[43]</v>
      </c>
      <c r="J130" s="207">
        <f t="shared" si="14"/>
        <v>45</v>
      </c>
      <c r="K130" s="207" t="str">
        <f t="shared" si="15"/>
        <v/>
      </c>
      <c r="L130" s="207" t="str">
        <f t="shared" si="16"/>
        <v/>
      </c>
      <c r="M130" s="207" t="str">
        <f t="shared" si="17"/>
        <v/>
      </c>
      <c r="N130" s="208">
        <f t="shared" si="18"/>
        <v>45</v>
      </c>
    </row>
    <row r="131" spans="1:14" ht="13.5" customHeight="1" x14ac:dyDescent="0.2">
      <c r="A131" s="200" t="str">
        <f t="shared" si="19"/>
        <v>Auxiliar4</v>
      </c>
      <c r="B131" s="200"/>
      <c r="C131" s="200"/>
      <c r="D131" s="200" t="str">
        <f t="shared" si="20"/>
        <v>AA44</v>
      </c>
      <c r="E131" s="200" t="str">
        <f t="shared" si="21"/>
        <v>Get Data</v>
      </c>
      <c r="F131" s="200" t="str">
        <f>'2nd_Post_Processing'!$L$6</f>
        <v>Line</v>
      </c>
      <c r="G131" s="200"/>
      <c r="H131" s="200"/>
      <c r="I131" s="200" t="str">
        <f t="shared" si="22"/>
        <v>Attachmenttype[44]</v>
      </c>
      <c r="J131" s="207">
        <f t="shared" si="14"/>
        <v>46</v>
      </c>
      <c r="K131" s="207" t="str">
        <f t="shared" si="15"/>
        <v/>
      </c>
      <c r="L131" s="207" t="str">
        <f t="shared" si="16"/>
        <v/>
      </c>
      <c r="M131" s="207" t="str">
        <f t="shared" si="17"/>
        <v/>
      </c>
      <c r="N131" s="208">
        <f t="shared" si="18"/>
        <v>46</v>
      </c>
    </row>
    <row r="132" spans="1:14" ht="13.5" customHeight="1" x14ac:dyDescent="0.2">
      <c r="A132" s="200" t="str">
        <f t="shared" si="19"/>
        <v>Auxiliar4</v>
      </c>
      <c r="B132" s="200"/>
      <c r="C132" s="200"/>
      <c r="D132" s="200" t="str">
        <f t="shared" si="20"/>
        <v>AA45</v>
      </c>
      <c r="E132" s="200" t="str">
        <f t="shared" si="21"/>
        <v>Get Data</v>
      </c>
      <c r="F132" s="200" t="str">
        <f>'2nd_Post_Processing'!$L$6</f>
        <v>Line</v>
      </c>
      <c r="G132" s="200"/>
      <c r="H132" s="200"/>
      <c r="I132" s="200" t="str">
        <f t="shared" si="22"/>
        <v>Attachmenttype[45]</v>
      </c>
      <c r="J132" s="207">
        <f t="shared" si="14"/>
        <v>47</v>
      </c>
      <c r="K132" s="207" t="str">
        <f t="shared" si="15"/>
        <v/>
      </c>
      <c r="L132" s="207" t="str">
        <f t="shared" si="16"/>
        <v/>
      </c>
      <c r="M132" s="207" t="str">
        <f t="shared" si="17"/>
        <v/>
      </c>
      <c r="N132" s="208">
        <f t="shared" si="18"/>
        <v>47</v>
      </c>
    </row>
    <row r="133" spans="1:14" ht="13.5" customHeight="1" x14ac:dyDescent="0.2">
      <c r="A133" s="200" t="str">
        <f t="shared" si="19"/>
        <v>Auxiliar4</v>
      </c>
      <c r="B133" s="200"/>
      <c r="C133" s="200"/>
      <c r="D133" s="200" t="str">
        <f t="shared" si="20"/>
        <v>AA46</v>
      </c>
      <c r="E133" s="200" t="str">
        <f t="shared" si="21"/>
        <v>Get Data</v>
      </c>
      <c r="F133" s="200" t="str">
        <f>'2nd_Post_Processing'!$L$6</f>
        <v>Line</v>
      </c>
      <c r="G133" s="200"/>
      <c r="H133" s="200"/>
      <c r="I133" s="200" t="str">
        <f t="shared" si="22"/>
        <v>Attachmenttype[46]</v>
      </c>
      <c r="J133" s="207">
        <f t="shared" si="14"/>
        <v>48</v>
      </c>
      <c r="K133" s="207" t="str">
        <f t="shared" si="15"/>
        <v/>
      </c>
      <c r="L133" s="207" t="str">
        <f t="shared" si="16"/>
        <v/>
      </c>
      <c r="M133" s="207" t="str">
        <f t="shared" si="17"/>
        <v/>
      </c>
      <c r="N133" s="208">
        <f t="shared" si="18"/>
        <v>48</v>
      </c>
    </row>
    <row r="134" spans="1:14" ht="13.5" customHeight="1" x14ac:dyDescent="0.2">
      <c r="A134" s="200" t="str">
        <f t="shared" si="19"/>
        <v>Auxiliar4</v>
      </c>
      <c r="B134" s="200"/>
      <c r="C134" s="200"/>
      <c r="D134" s="200" t="str">
        <f t="shared" si="20"/>
        <v>AA47</v>
      </c>
      <c r="E134" s="200" t="str">
        <f t="shared" si="21"/>
        <v>Get Data</v>
      </c>
      <c r="F134" s="200" t="str">
        <f>'2nd_Post_Processing'!$L$6</f>
        <v>Line</v>
      </c>
      <c r="G134" s="200"/>
      <c r="H134" s="200"/>
      <c r="I134" s="200" t="str">
        <f t="shared" si="22"/>
        <v>Attachmenttype[47]</v>
      </c>
      <c r="J134" s="207">
        <f t="shared" si="14"/>
        <v>49</v>
      </c>
      <c r="K134" s="207" t="str">
        <f t="shared" si="15"/>
        <v/>
      </c>
      <c r="L134" s="207" t="str">
        <f t="shared" si="16"/>
        <v/>
      </c>
      <c r="M134" s="207" t="str">
        <f t="shared" si="17"/>
        <v/>
      </c>
      <c r="N134" s="208">
        <f t="shared" si="18"/>
        <v>49</v>
      </c>
    </row>
    <row r="135" spans="1:14" ht="13.5" customHeight="1" x14ac:dyDescent="0.2">
      <c r="A135" s="200" t="str">
        <f t="shared" si="19"/>
        <v>Auxiliar4</v>
      </c>
      <c r="B135" s="200"/>
      <c r="C135" s="200"/>
      <c r="D135" s="200" t="str">
        <f t="shared" si="20"/>
        <v>AA48</v>
      </c>
      <c r="E135" s="200" t="str">
        <f t="shared" si="21"/>
        <v>Get Data</v>
      </c>
      <c r="F135" s="200" t="str">
        <f>'2nd_Post_Processing'!$L$6</f>
        <v>Line</v>
      </c>
      <c r="G135" s="200"/>
      <c r="H135" s="200"/>
      <c r="I135" s="200" t="str">
        <f t="shared" si="22"/>
        <v>Attachmenttype[48]</v>
      </c>
      <c r="J135" s="207">
        <f t="shared" si="14"/>
        <v>50</v>
      </c>
      <c r="K135" s="207" t="str">
        <f t="shared" si="15"/>
        <v/>
      </c>
      <c r="L135" s="207" t="str">
        <f t="shared" si="16"/>
        <v/>
      </c>
      <c r="M135" s="207" t="str">
        <f t="shared" si="17"/>
        <v/>
      </c>
      <c r="N135" s="208">
        <f t="shared" si="18"/>
        <v>50</v>
      </c>
    </row>
    <row r="136" spans="1:14" ht="13.5" customHeight="1" x14ac:dyDescent="0.2">
      <c r="A136" s="200" t="str">
        <f t="shared" si="19"/>
        <v>Auxiliar4</v>
      </c>
      <c r="B136" s="200"/>
      <c r="C136" s="200"/>
      <c r="D136" s="200" t="str">
        <f t="shared" si="20"/>
        <v>AA49</v>
      </c>
      <c r="E136" s="200" t="str">
        <f t="shared" si="21"/>
        <v>Get Data</v>
      </c>
      <c r="F136" s="200" t="str">
        <f>'2nd_Post_Processing'!$L$6</f>
        <v>Line</v>
      </c>
      <c r="G136" s="200"/>
      <c r="H136" s="200"/>
      <c r="I136" s="200" t="str">
        <f t="shared" si="22"/>
        <v>Attachmenttype[49]</v>
      </c>
      <c r="J136" s="207">
        <f t="shared" si="14"/>
        <v>51</v>
      </c>
      <c r="K136" s="207" t="str">
        <f t="shared" si="15"/>
        <v/>
      </c>
      <c r="L136" s="207" t="str">
        <f t="shared" si="16"/>
        <v/>
      </c>
      <c r="M136" s="207" t="str">
        <f t="shared" si="17"/>
        <v/>
      </c>
      <c r="N136" s="208">
        <f t="shared" si="18"/>
        <v>51</v>
      </c>
    </row>
    <row r="137" spans="1:14" ht="13.5" customHeight="1" x14ac:dyDescent="0.2">
      <c r="A137" s="200" t="str">
        <f t="shared" si="19"/>
        <v>Auxiliar4</v>
      </c>
      <c r="B137" s="200"/>
      <c r="C137" s="200"/>
      <c r="D137" s="200" t="str">
        <f t="shared" si="20"/>
        <v>AA50</v>
      </c>
      <c r="E137" s="200" t="str">
        <f t="shared" si="21"/>
        <v>Get Data</v>
      </c>
      <c r="F137" s="200" t="str">
        <f>'2nd_Post_Processing'!$L$6</f>
        <v>Line</v>
      </c>
      <c r="G137" s="200"/>
      <c r="H137" s="200"/>
      <c r="I137" s="200" t="str">
        <f t="shared" si="22"/>
        <v>Attachmenttype[50]</v>
      </c>
      <c r="J137" s="207">
        <f t="shared" si="14"/>
        <v>52</v>
      </c>
      <c r="K137" s="207" t="str">
        <f t="shared" si="15"/>
        <v/>
      </c>
      <c r="L137" s="207" t="str">
        <f t="shared" si="16"/>
        <v/>
      </c>
      <c r="M137" s="207" t="str">
        <f t="shared" si="17"/>
        <v/>
      </c>
      <c r="N137" s="208">
        <f t="shared" si="18"/>
        <v>52</v>
      </c>
    </row>
    <row r="138" spans="1:14" ht="13.5" customHeight="1" x14ac:dyDescent="0.2">
      <c r="A138" s="200" t="str">
        <f t="shared" si="19"/>
        <v>Auxiliar4</v>
      </c>
      <c r="B138" s="200"/>
      <c r="C138" s="200"/>
      <c r="D138" s="200" t="str">
        <f t="shared" si="20"/>
        <v>AA51</v>
      </c>
      <c r="E138" s="200" t="str">
        <f t="shared" si="21"/>
        <v>Get Data</v>
      </c>
      <c r="F138" s="200" t="str">
        <f>'2nd_Post_Processing'!$L$6</f>
        <v>Line</v>
      </c>
      <c r="G138" s="200"/>
      <c r="H138" s="200"/>
      <c r="I138" s="200" t="str">
        <f t="shared" si="22"/>
        <v>Attachmenttype[51]</v>
      </c>
      <c r="J138" s="207">
        <f t="shared" si="14"/>
        <v>53</v>
      </c>
      <c r="K138" s="207" t="str">
        <f t="shared" si="15"/>
        <v/>
      </c>
      <c r="L138" s="207" t="str">
        <f t="shared" si="16"/>
        <v/>
      </c>
      <c r="M138" s="207" t="str">
        <f t="shared" si="17"/>
        <v/>
      </c>
      <c r="N138" s="208">
        <f t="shared" si="18"/>
        <v>53</v>
      </c>
    </row>
    <row r="139" spans="1:14" ht="13.5" customHeight="1" x14ac:dyDescent="0.2">
      <c r="A139" s="200" t="str">
        <f t="shared" si="19"/>
        <v>Auxiliar4</v>
      </c>
      <c r="B139" s="200"/>
      <c r="C139" s="200"/>
      <c r="D139" s="200" t="str">
        <f t="shared" si="20"/>
        <v>AA52</v>
      </c>
      <c r="E139" s="200" t="str">
        <f t="shared" si="21"/>
        <v>Get Data</v>
      </c>
      <c r="F139" s="200" t="str">
        <f>'2nd_Post_Processing'!$L$6</f>
        <v>Line</v>
      </c>
      <c r="G139" s="200"/>
      <c r="H139" s="200"/>
      <c r="I139" s="200" t="str">
        <f t="shared" si="22"/>
        <v>Attachmenttype[52]</v>
      </c>
      <c r="J139" s="207">
        <f t="shared" si="14"/>
        <v>54</v>
      </c>
      <c r="K139" s="207" t="str">
        <f t="shared" si="15"/>
        <v/>
      </c>
      <c r="L139" s="207" t="str">
        <f t="shared" si="16"/>
        <v/>
      </c>
      <c r="M139" s="207" t="str">
        <f t="shared" si="17"/>
        <v/>
      </c>
      <c r="N139" s="208">
        <f t="shared" si="18"/>
        <v>54</v>
      </c>
    </row>
    <row r="140" spans="1:14" ht="13.5" customHeight="1" x14ac:dyDescent="0.2">
      <c r="A140" s="200" t="str">
        <f t="shared" si="19"/>
        <v>Auxiliar4</v>
      </c>
      <c r="B140" s="200"/>
      <c r="C140" s="200"/>
      <c r="D140" s="200" t="str">
        <f t="shared" si="20"/>
        <v>AA53</v>
      </c>
      <c r="E140" s="200" t="str">
        <f t="shared" si="21"/>
        <v>Get Data</v>
      </c>
      <c r="F140" s="200" t="str">
        <f>'2nd_Post_Processing'!$L$6</f>
        <v>Line</v>
      </c>
      <c r="G140" s="200"/>
      <c r="H140" s="200"/>
      <c r="I140" s="200" t="str">
        <f t="shared" si="22"/>
        <v>Attachmenttype[53]</v>
      </c>
      <c r="J140" s="207">
        <f t="shared" si="14"/>
        <v>55</v>
      </c>
      <c r="K140" s="207" t="str">
        <f t="shared" si="15"/>
        <v/>
      </c>
      <c r="L140" s="207" t="str">
        <f t="shared" si="16"/>
        <v/>
      </c>
      <c r="M140" s="207" t="str">
        <f t="shared" si="17"/>
        <v/>
      </c>
      <c r="N140" s="208">
        <f t="shared" si="18"/>
        <v>55</v>
      </c>
    </row>
    <row r="141" spans="1:14" ht="13.5" customHeight="1" x14ac:dyDescent="0.2">
      <c r="A141" s="200" t="str">
        <f t="shared" si="19"/>
        <v>Auxiliar4</v>
      </c>
      <c r="B141" s="200"/>
      <c r="C141" s="200"/>
      <c r="D141" s="200" t="str">
        <f t="shared" si="20"/>
        <v>AA54</v>
      </c>
      <c r="E141" s="200" t="str">
        <f t="shared" si="21"/>
        <v>Get Data</v>
      </c>
      <c r="F141" s="200" t="str">
        <f>'2nd_Post_Processing'!$L$6</f>
        <v>Line</v>
      </c>
      <c r="G141" s="200"/>
      <c r="H141" s="200"/>
      <c r="I141" s="200" t="str">
        <f t="shared" si="22"/>
        <v>Attachmenttype[54]</v>
      </c>
      <c r="J141" s="207">
        <f t="shared" si="14"/>
        <v>56</v>
      </c>
      <c r="K141" s="207" t="str">
        <f t="shared" si="15"/>
        <v/>
      </c>
      <c r="L141" s="207" t="str">
        <f t="shared" si="16"/>
        <v/>
      </c>
      <c r="M141" s="207" t="str">
        <f t="shared" si="17"/>
        <v/>
      </c>
      <c r="N141" s="208">
        <f t="shared" si="18"/>
        <v>56</v>
      </c>
    </row>
    <row r="142" spans="1:14" ht="13.5" customHeight="1" x14ac:dyDescent="0.2">
      <c r="A142" s="200" t="str">
        <f t="shared" si="19"/>
        <v>Auxiliar4</v>
      </c>
      <c r="B142" s="200"/>
      <c r="C142" s="200"/>
      <c r="D142" s="200" t="str">
        <f t="shared" si="20"/>
        <v>AA55</v>
      </c>
      <c r="E142" s="200" t="str">
        <f t="shared" si="21"/>
        <v>Get Data</v>
      </c>
      <c r="F142" s="200" t="str">
        <f>'2nd_Post_Processing'!$L$6</f>
        <v>Line</v>
      </c>
      <c r="G142" s="200"/>
      <c r="H142" s="200"/>
      <c r="I142" s="200" t="str">
        <f t="shared" si="22"/>
        <v>Attachmenttype[55]</v>
      </c>
      <c r="J142" s="207">
        <f t="shared" si="14"/>
        <v>57</v>
      </c>
      <c r="K142" s="207" t="str">
        <f t="shared" si="15"/>
        <v/>
      </c>
      <c r="L142" s="207" t="str">
        <f t="shared" si="16"/>
        <v/>
      </c>
      <c r="M142" s="207" t="str">
        <f t="shared" si="17"/>
        <v/>
      </c>
      <c r="N142" s="208">
        <f t="shared" si="18"/>
        <v>57</v>
      </c>
    </row>
    <row r="143" spans="1:14" ht="13.5" customHeight="1" x14ac:dyDescent="0.2">
      <c r="A143" s="200" t="str">
        <f t="shared" si="19"/>
        <v>Auxiliar4</v>
      </c>
      <c r="B143" s="200"/>
      <c r="C143" s="200"/>
      <c r="D143" s="200" t="str">
        <f t="shared" si="20"/>
        <v>AA56</v>
      </c>
      <c r="E143" s="200" t="str">
        <f t="shared" si="21"/>
        <v>Get Data</v>
      </c>
      <c r="F143" s="200" t="str">
        <f>'2nd_Post_Processing'!$L$6</f>
        <v>Line</v>
      </c>
      <c r="G143" s="200"/>
      <c r="H143" s="200"/>
      <c r="I143" s="200" t="str">
        <f t="shared" si="22"/>
        <v>Attachmenttype[56]</v>
      </c>
      <c r="J143" s="207">
        <f t="shared" si="14"/>
        <v>58</v>
      </c>
      <c r="K143" s="207" t="str">
        <f t="shared" si="15"/>
        <v/>
      </c>
      <c r="L143" s="207" t="str">
        <f t="shared" si="16"/>
        <v/>
      </c>
      <c r="M143" s="207" t="str">
        <f t="shared" si="17"/>
        <v/>
      </c>
      <c r="N143" s="208">
        <f t="shared" si="18"/>
        <v>58</v>
      </c>
    </row>
    <row r="144" spans="1:14" ht="13.5" customHeight="1" x14ac:dyDescent="0.2">
      <c r="A144" s="200" t="str">
        <f t="shared" si="19"/>
        <v>Auxiliar4</v>
      </c>
      <c r="B144" s="200"/>
      <c r="C144" s="200"/>
      <c r="D144" s="200" t="str">
        <f t="shared" si="20"/>
        <v>AA57</v>
      </c>
      <c r="E144" s="200" t="str">
        <f t="shared" si="21"/>
        <v>Get Data</v>
      </c>
      <c r="F144" s="200" t="str">
        <f>'2nd_Post_Processing'!$L$6</f>
        <v>Line</v>
      </c>
      <c r="G144" s="200"/>
      <c r="H144" s="200"/>
      <c r="I144" s="200" t="str">
        <f t="shared" si="22"/>
        <v>Attachmenttype[57]</v>
      </c>
      <c r="J144" s="207">
        <f t="shared" si="14"/>
        <v>59</v>
      </c>
      <c r="K144" s="207" t="str">
        <f t="shared" si="15"/>
        <v/>
      </c>
      <c r="L144" s="207" t="str">
        <f t="shared" si="16"/>
        <v/>
      </c>
      <c r="M144" s="207" t="str">
        <f t="shared" si="17"/>
        <v/>
      </c>
      <c r="N144" s="208">
        <f t="shared" si="18"/>
        <v>59</v>
      </c>
    </row>
    <row r="145" spans="1:14" ht="13.5" customHeight="1" x14ac:dyDescent="0.2">
      <c r="A145" s="200" t="str">
        <f t="shared" si="19"/>
        <v>Auxiliar4</v>
      </c>
      <c r="B145" s="200"/>
      <c r="C145" s="200"/>
      <c r="D145" s="200" t="str">
        <f t="shared" si="20"/>
        <v>AA58</v>
      </c>
      <c r="E145" s="200" t="str">
        <f t="shared" si="21"/>
        <v>Get Data</v>
      </c>
      <c r="F145" s="200" t="str">
        <f>'2nd_Post_Processing'!$L$6</f>
        <v>Line</v>
      </c>
      <c r="G145" s="200"/>
      <c r="H145" s="200"/>
      <c r="I145" s="200" t="str">
        <f t="shared" si="22"/>
        <v>Attachmenttype[58]</v>
      </c>
      <c r="J145" s="207">
        <f t="shared" si="14"/>
        <v>60</v>
      </c>
      <c r="K145" s="207" t="str">
        <f t="shared" si="15"/>
        <v/>
      </c>
      <c r="L145" s="207" t="str">
        <f t="shared" si="16"/>
        <v/>
      </c>
      <c r="M145" s="207" t="str">
        <f t="shared" si="17"/>
        <v/>
      </c>
      <c r="N145" s="208">
        <f t="shared" si="18"/>
        <v>60</v>
      </c>
    </row>
    <row r="146" spans="1:14" ht="13.5" customHeight="1" x14ac:dyDescent="0.2">
      <c r="A146" s="200" t="str">
        <f t="shared" si="19"/>
        <v>Auxiliar4</v>
      </c>
      <c r="B146" s="200"/>
      <c r="C146" s="200"/>
      <c r="D146" s="200" t="str">
        <f t="shared" si="20"/>
        <v>AA59</v>
      </c>
      <c r="E146" s="200" t="str">
        <f t="shared" si="21"/>
        <v>Get Data</v>
      </c>
      <c r="F146" s="200" t="str">
        <f>'2nd_Post_Processing'!$L$6</f>
        <v>Line</v>
      </c>
      <c r="G146" s="200"/>
      <c r="H146" s="200"/>
      <c r="I146" s="200" t="str">
        <f t="shared" si="22"/>
        <v>Attachmenttype[59]</v>
      </c>
      <c r="J146" s="207">
        <f t="shared" si="14"/>
        <v>61</v>
      </c>
      <c r="K146" s="207" t="str">
        <f t="shared" si="15"/>
        <v/>
      </c>
      <c r="L146" s="207" t="str">
        <f t="shared" si="16"/>
        <v/>
      </c>
      <c r="M146" s="207" t="str">
        <f t="shared" si="17"/>
        <v/>
      </c>
      <c r="N146" s="208">
        <f t="shared" si="18"/>
        <v>61</v>
      </c>
    </row>
    <row r="147" spans="1:14" ht="13.5" customHeight="1" x14ac:dyDescent="0.2">
      <c r="A147" s="200" t="str">
        <f t="shared" si="19"/>
        <v>Auxiliar4</v>
      </c>
      <c r="B147" s="200"/>
      <c r="C147" s="200"/>
      <c r="D147" s="200" t="str">
        <f t="shared" si="20"/>
        <v>AA60</v>
      </c>
      <c r="E147" s="200" t="str">
        <f t="shared" si="21"/>
        <v>Get Data</v>
      </c>
      <c r="F147" s="200" t="str">
        <f>'2nd_Post_Processing'!$L$6</f>
        <v>Line</v>
      </c>
      <c r="G147" s="200"/>
      <c r="H147" s="200"/>
      <c r="I147" s="200" t="str">
        <f t="shared" si="22"/>
        <v>Attachmenttype[60]</v>
      </c>
      <c r="J147" s="207">
        <f t="shared" si="14"/>
        <v>62</v>
      </c>
      <c r="K147" s="207" t="str">
        <f t="shared" si="15"/>
        <v/>
      </c>
      <c r="L147" s="207" t="str">
        <f t="shared" si="16"/>
        <v/>
      </c>
      <c r="M147" s="207" t="str">
        <f t="shared" si="17"/>
        <v/>
      </c>
      <c r="N147" s="208">
        <f t="shared" si="18"/>
        <v>62</v>
      </c>
    </row>
    <row r="148" spans="1:14" ht="13.5" customHeight="1" x14ac:dyDescent="0.2">
      <c r="A148" s="200" t="str">
        <f t="shared" si="19"/>
        <v>Auxiliar4</v>
      </c>
      <c r="B148" s="200"/>
      <c r="C148" s="200"/>
      <c r="D148" s="200" t="str">
        <f t="shared" si="20"/>
        <v>AA61</v>
      </c>
      <c r="E148" s="200" t="str">
        <f t="shared" si="21"/>
        <v>Get Data</v>
      </c>
      <c r="F148" s="200" t="str">
        <f>'2nd_Post_Processing'!$L$6</f>
        <v>Line</v>
      </c>
      <c r="G148" s="200"/>
      <c r="H148" s="200"/>
      <c r="I148" s="200" t="str">
        <f t="shared" si="22"/>
        <v>Attachmenttype[61]</v>
      </c>
      <c r="J148" s="207">
        <f t="shared" si="14"/>
        <v>63</v>
      </c>
      <c r="K148" s="207" t="str">
        <f t="shared" si="15"/>
        <v/>
      </c>
      <c r="L148" s="207" t="str">
        <f t="shared" si="16"/>
        <v/>
      </c>
      <c r="M148" s="207" t="str">
        <f t="shared" si="17"/>
        <v/>
      </c>
      <c r="N148" s="208">
        <f t="shared" si="18"/>
        <v>63</v>
      </c>
    </row>
    <row r="149" spans="1:14" ht="13.5" customHeight="1" x14ac:dyDescent="0.2">
      <c r="A149" s="200" t="str">
        <f t="shared" si="19"/>
        <v>Auxiliar4</v>
      </c>
      <c r="B149" s="200"/>
      <c r="C149" s="200"/>
      <c r="D149" s="200" t="str">
        <f t="shared" si="20"/>
        <v>AA62</v>
      </c>
      <c r="E149" s="200" t="str">
        <f t="shared" si="21"/>
        <v>Get Data</v>
      </c>
      <c r="F149" s="200" t="str">
        <f>'2nd_Post_Processing'!$L$6</f>
        <v>Line</v>
      </c>
      <c r="G149" s="200"/>
      <c r="H149" s="200"/>
      <c r="I149" s="200" t="str">
        <f t="shared" si="22"/>
        <v>Attachmenttype[62]</v>
      </c>
      <c r="J149" s="207">
        <f t="shared" si="14"/>
        <v>64</v>
      </c>
      <c r="K149" s="207" t="str">
        <f t="shared" si="15"/>
        <v/>
      </c>
      <c r="L149" s="207" t="str">
        <f t="shared" si="16"/>
        <v/>
      </c>
      <c r="M149" s="207" t="str">
        <f t="shared" si="17"/>
        <v/>
      </c>
      <c r="N149" s="208">
        <f t="shared" si="18"/>
        <v>64</v>
      </c>
    </row>
    <row r="150" spans="1:14" ht="13.5" customHeight="1" x14ac:dyDescent="0.2">
      <c r="A150" s="200" t="str">
        <f t="shared" si="19"/>
        <v>Auxiliar4</v>
      </c>
      <c r="B150" s="200"/>
      <c r="C150" s="200"/>
      <c r="D150" s="200" t="str">
        <f t="shared" si="20"/>
        <v>AA63</v>
      </c>
      <c r="E150" s="200" t="str">
        <f t="shared" si="21"/>
        <v>Get Data</v>
      </c>
      <c r="F150" s="200" t="str">
        <f>'2nd_Post_Processing'!$L$6</f>
        <v>Line</v>
      </c>
      <c r="G150" s="200"/>
      <c r="H150" s="200"/>
      <c r="I150" s="200" t="str">
        <f t="shared" si="22"/>
        <v>Attachmenttype[63]</v>
      </c>
      <c r="J150" s="207">
        <f t="shared" ref="J150:J213" si="23">IFERROR(IF(J149="",J$26+1,IF(J149=J$84,"j",J149+1)),"jj")</f>
        <v>65</v>
      </c>
      <c r="K150" s="207" t="str">
        <f t="shared" ref="K150:K213" si="24">IF((J150="jj"),IFERROR(IF(K149="",J$26+1,IF(K149=J$76,"k",K149+1)),"kk"),"")</f>
        <v/>
      </c>
      <c r="L150" s="207" t="str">
        <f t="shared" ref="L150:L213" si="25">IF((K150="kk"),IFERROR(IF(L149="",2,IF(L149=J$26,"l",L149+1)),"ll"),"")</f>
        <v/>
      </c>
      <c r="M150" s="207" t="str">
        <f t="shared" ref="M150:M213" si="26">IF(OR(L150="l",L150="ll"),IFERROR(IF(M149="",2,IF(M149=J$26,"m",M149+1)),"mm"),"")</f>
        <v/>
      </c>
      <c r="N150" s="208">
        <f t="shared" si="18"/>
        <v>65</v>
      </c>
    </row>
    <row r="151" spans="1:14" ht="13.5" customHeight="1" x14ac:dyDescent="0.2">
      <c r="A151" s="200" t="str">
        <f t="shared" si="19"/>
        <v>Auxiliar4</v>
      </c>
      <c r="B151" s="200"/>
      <c r="C151" s="200"/>
      <c r="D151" s="200" t="str">
        <f t="shared" si="20"/>
        <v>AA64</v>
      </c>
      <c r="E151" s="200" t="str">
        <f t="shared" si="21"/>
        <v>Get Data</v>
      </c>
      <c r="F151" s="200" t="str">
        <f>'2nd_Post_Processing'!$L$6</f>
        <v>Line</v>
      </c>
      <c r="G151" s="200"/>
      <c r="H151" s="200"/>
      <c r="I151" s="200" t="str">
        <f t="shared" si="22"/>
        <v>Attachmenttype[64]</v>
      </c>
      <c r="J151" s="207">
        <f t="shared" si="23"/>
        <v>66</v>
      </c>
      <c r="K151" s="207" t="str">
        <f t="shared" si="24"/>
        <v/>
      </c>
      <c r="L151" s="207" t="str">
        <f t="shared" si="25"/>
        <v/>
      </c>
      <c r="M151" s="207" t="str">
        <f t="shared" si="26"/>
        <v/>
      </c>
      <c r="N151" s="208">
        <f t="shared" ref="N151:N214" si="27">IF(ISNUMBER(M151),"z",IF(ISNUMBER(L151),L151,IF(ISNUMBER(K151),K151,IF(ISNUMBER(J151),J151,""))))</f>
        <v>66</v>
      </c>
    </row>
    <row r="152" spans="1:14" ht="13.5" customHeight="1" x14ac:dyDescent="0.2">
      <c r="A152" s="200" t="str">
        <f t="shared" si="19"/>
        <v>Auxiliar4</v>
      </c>
      <c r="B152" s="200"/>
      <c r="C152" s="200"/>
      <c r="D152" s="200" t="str">
        <f t="shared" si="20"/>
        <v>AA65</v>
      </c>
      <c r="E152" s="200" t="str">
        <f t="shared" si="21"/>
        <v>Get Data</v>
      </c>
      <c r="F152" s="200" t="str">
        <f>'2nd_Post_Processing'!$L$6</f>
        <v>Line</v>
      </c>
      <c r="G152" s="200"/>
      <c r="H152" s="200"/>
      <c r="I152" s="200" t="str">
        <f t="shared" si="22"/>
        <v>Attachmenttype[65]</v>
      </c>
      <c r="J152" s="207">
        <f t="shared" si="23"/>
        <v>67</v>
      </c>
      <c r="K152" s="207" t="str">
        <f t="shared" si="24"/>
        <v/>
      </c>
      <c r="L152" s="207" t="str">
        <f t="shared" si="25"/>
        <v/>
      </c>
      <c r="M152" s="207" t="str">
        <f t="shared" si="26"/>
        <v/>
      </c>
      <c r="N152" s="208">
        <f t="shared" si="27"/>
        <v>67</v>
      </c>
    </row>
    <row r="153" spans="1:14" ht="13.5" customHeight="1" x14ac:dyDescent="0.2">
      <c r="A153" s="200" t="str">
        <f t="shared" ref="A153:A216" si="28">IF(N151="","",IF(ISNUMBER(J151),"Auxiliar4",IF(ISNUMBER(K151),"Auxiliar3",IF(ISNUMBER(L151),"Auxiliar2",IF(ISNUMBER(M151),"Auxiliar2")))))</f>
        <v>Auxiliar4</v>
      </c>
      <c r="B153" s="200"/>
      <c r="C153" s="200"/>
      <c r="D153" s="200" t="str">
        <f t="shared" ref="D153:D216" si="29">IF(N151="z",CONCATENATE("AB",M151),IF(N151="","",CONCATENATE("AA",N151)))</f>
        <v>AA66</v>
      </c>
      <c r="E153" s="200" t="str">
        <f t="shared" ref="E153:E216" si="30">IF(N151="",IF(J151="j","Load Cont1.sim",IF(K151="k","Load Estatico.sim","")),"Get Data")</f>
        <v>Get Data</v>
      </c>
      <c r="F153" s="200" t="str">
        <f>'2nd_Post_Processing'!$L$6</f>
        <v>Line</v>
      </c>
      <c r="G153" s="200"/>
      <c r="H153" s="200"/>
      <c r="I153" s="200" t="str">
        <f t="shared" ref="I153:I216" si="31">IF(N151="z",CONCATENATE("Attachmentz[",M151,"]"),IF(N151="","",CONCATENATE("Attachmenttype[",N151,"]")))</f>
        <v>Attachmenttype[66]</v>
      </c>
      <c r="J153" s="207">
        <f t="shared" si="23"/>
        <v>68</v>
      </c>
      <c r="K153" s="207" t="str">
        <f t="shared" si="24"/>
        <v/>
      </c>
      <c r="L153" s="207" t="str">
        <f t="shared" si="25"/>
        <v/>
      </c>
      <c r="M153" s="207" t="str">
        <f t="shared" si="26"/>
        <v/>
      </c>
      <c r="N153" s="208">
        <f t="shared" si="27"/>
        <v>68</v>
      </c>
    </row>
    <row r="154" spans="1:14" ht="13.5" customHeight="1" x14ac:dyDescent="0.2">
      <c r="A154" s="200" t="str">
        <f t="shared" si="28"/>
        <v>Auxiliar4</v>
      </c>
      <c r="B154" s="200"/>
      <c r="C154" s="200"/>
      <c r="D154" s="200" t="str">
        <f t="shared" si="29"/>
        <v>AA67</v>
      </c>
      <c r="E154" s="200" t="str">
        <f t="shared" si="30"/>
        <v>Get Data</v>
      </c>
      <c r="F154" s="200" t="str">
        <f>'2nd_Post_Processing'!$L$6</f>
        <v>Line</v>
      </c>
      <c r="G154" s="200"/>
      <c r="H154" s="200"/>
      <c r="I154" s="200" t="str">
        <f t="shared" si="31"/>
        <v>Attachmenttype[67]</v>
      </c>
      <c r="J154" s="207">
        <f t="shared" si="23"/>
        <v>69</v>
      </c>
      <c r="K154" s="207" t="str">
        <f t="shared" si="24"/>
        <v/>
      </c>
      <c r="L154" s="207" t="str">
        <f t="shared" si="25"/>
        <v/>
      </c>
      <c r="M154" s="207" t="str">
        <f t="shared" si="26"/>
        <v/>
      </c>
      <c r="N154" s="208">
        <f t="shared" si="27"/>
        <v>69</v>
      </c>
    </row>
    <row r="155" spans="1:14" ht="13.5" customHeight="1" x14ac:dyDescent="0.2">
      <c r="A155" s="200" t="str">
        <f t="shared" si="28"/>
        <v>Auxiliar4</v>
      </c>
      <c r="B155" s="200"/>
      <c r="C155" s="200"/>
      <c r="D155" s="200" t="str">
        <f t="shared" si="29"/>
        <v>AA68</v>
      </c>
      <c r="E155" s="200" t="str">
        <f t="shared" si="30"/>
        <v>Get Data</v>
      </c>
      <c r="F155" s="200" t="str">
        <f>'2nd_Post_Processing'!$L$6</f>
        <v>Line</v>
      </c>
      <c r="G155" s="200"/>
      <c r="H155" s="200"/>
      <c r="I155" s="200" t="str">
        <f t="shared" si="31"/>
        <v>Attachmenttype[68]</v>
      </c>
      <c r="J155" s="207">
        <f t="shared" si="23"/>
        <v>70</v>
      </c>
      <c r="K155" s="207" t="str">
        <f t="shared" si="24"/>
        <v/>
      </c>
      <c r="L155" s="207" t="str">
        <f t="shared" si="25"/>
        <v/>
      </c>
      <c r="M155" s="207" t="str">
        <f t="shared" si="26"/>
        <v/>
      </c>
      <c r="N155" s="208">
        <f t="shared" si="27"/>
        <v>70</v>
      </c>
    </row>
    <row r="156" spans="1:14" ht="13.5" customHeight="1" x14ac:dyDescent="0.2">
      <c r="A156" s="200" t="str">
        <f t="shared" si="28"/>
        <v>Auxiliar4</v>
      </c>
      <c r="B156" s="200"/>
      <c r="C156" s="200"/>
      <c r="D156" s="200" t="str">
        <f t="shared" si="29"/>
        <v>AA69</v>
      </c>
      <c r="E156" s="200" t="str">
        <f t="shared" si="30"/>
        <v>Get Data</v>
      </c>
      <c r="F156" s="200" t="str">
        <f>'2nd_Post_Processing'!$L$6</f>
        <v>Line</v>
      </c>
      <c r="G156" s="200"/>
      <c r="H156" s="200"/>
      <c r="I156" s="200" t="str">
        <f t="shared" si="31"/>
        <v>Attachmenttype[69]</v>
      </c>
      <c r="J156" s="207">
        <f t="shared" si="23"/>
        <v>71</v>
      </c>
      <c r="K156" s="207" t="str">
        <f t="shared" si="24"/>
        <v/>
      </c>
      <c r="L156" s="207" t="str">
        <f t="shared" si="25"/>
        <v/>
      </c>
      <c r="M156" s="207" t="str">
        <f t="shared" si="26"/>
        <v/>
      </c>
      <c r="N156" s="208">
        <f t="shared" si="27"/>
        <v>71</v>
      </c>
    </row>
    <row r="157" spans="1:14" ht="13.5" customHeight="1" x14ac:dyDescent="0.2">
      <c r="A157" s="200" t="str">
        <f t="shared" si="28"/>
        <v>Auxiliar4</v>
      </c>
      <c r="B157" s="200"/>
      <c r="C157" s="200"/>
      <c r="D157" s="200" t="str">
        <f t="shared" si="29"/>
        <v>AA70</v>
      </c>
      <c r="E157" s="200" t="str">
        <f t="shared" si="30"/>
        <v>Get Data</v>
      </c>
      <c r="F157" s="200" t="str">
        <f>'2nd_Post_Processing'!$L$6</f>
        <v>Line</v>
      </c>
      <c r="G157" s="200"/>
      <c r="H157" s="200"/>
      <c r="I157" s="200" t="str">
        <f t="shared" si="31"/>
        <v>Attachmenttype[70]</v>
      </c>
      <c r="J157" s="207">
        <f t="shared" si="23"/>
        <v>72</v>
      </c>
      <c r="K157" s="207" t="str">
        <f t="shared" si="24"/>
        <v/>
      </c>
      <c r="L157" s="207" t="str">
        <f t="shared" si="25"/>
        <v/>
      </c>
      <c r="M157" s="207" t="str">
        <f t="shared" si="26"/>
        <v/>
      </c>
      <c r="N157" s="208">
        <f t="shared" si="27"/>
        <v>72</v>
      </c>
    </row>
    <row r="158" spans="1:14" ht="13.5" customHeight="1" x14ac:dyDescent="0.2">
      <c r="A158" s="200" t="str">
        <f t="shared" si="28"/>
        <v>Auxiliar4</v>
      </c>
      <c r="B158" s="200"/>
      <c r="C158" s="200"/>
      <c r="D158" s="200" t="str">
        <f t="shared" si="29"/>
        <v>AA71</v>
      </c>
      <c r="E158" s="200" t="str">
        <f t="shared" si="30"/>
        <v>Get Data</v>
      </c>
      <c r="F158" s="200" t="str">
        <f>'2nd_Post_Processing'!$L$6</f>
        <v>Line</v>
      </c>
      <c r="G158" s="200"/>
      <c r="H158" s="200"/>
      <c r="I158" s="200" t="str">
        <f t="shared" si="31"/>
        <v>Attachmenttype[71]</v>
      </c>
      <c r="J158" s="207">
        <f t="shared" si="23"/>
        <v>73</v>
      </c>
      <c r="K158" s="207" t="str">
        <f t="shared" si="24"/>
        <v/>
      </c>
      <c r="L158" s="207" t="str">
        <f t="shared" si="25"/>
        <v/>
      </c>
      <c r="M158" s="207" t="str">
        <f t="shared" si="26"/>
        <v/>
      </c>
      <c r="N158" s="208">
        <f t="shared" si="27"/>
        <v>73</v>
      </c>
    </row>
    <row r="159" spans="1:14" ht="13.5" customHeight="1" x14ac:dyDescent="0.2">
      <c r="A159" s="200" t="str">
        <f t="shared" si="28"/>
        <v>Auxiliar4</v>
      </c>
      <c r="B159" s="200"/>
      <c r="C159" s="200"/>
      <c r="D159" s="200" t="str">
        <f t="shared" si="29"/>
        <v>AA72</v>
      </c>
      <c r="E159" s="200" t="str">
        <f t="shared" si="30"/>
        <v>Get Data</v>
      </c>
      <c r="F159" s="200" t="str">
        <f>'2nd_Post_Processing'!$L$6</f>
        <v>Line</v>
      </c>
      <c r="G159" s="200"/>
      <c r="H159" s="200"/>
      <c r="I159" s="200" t="str">
        <f t="shared" si="31"/>
        <v>Attachmenttype[72]</v>
      </c>
      <c r="J159" s="207">
        <f t="shared" si="23"/>
        <v>74</v>
      </c>
      <c r="K159" s="207" t="str">
        <f t="shared" si="24"/>
        <v/>
      </c>
      <c r="L159" s="207" t="str">
        <f t="shared" si="25"/>
        <v/>
      </c>
      <c r="M159" s="207" t="str">
        <f t="shared" si="26"/>
        <v/>
      </c>
      <c r="N159" s="208">
        <f t="shared" si="27"/>
        <v>74</v>
      </c>
    </row>
    <row r="160" spans="1:14" ht="13.5" customHeight="1" x14ac:dyDescent="0.2">
      <c r="A160" s="200" t="str">
        <f t="shared" si="28"/>
        <v>Auxiliar4</v>
      </c>
      <c r="B160" s="200"/>
      <c r="C160" s="200"/>
      <c r="D160" s="200" t="str">
        <f t="shared" si="29"/>
        <v>AA73</v>
      </c>
      <c r="E160" s="200" t="str">
        <f t="shared" si="30"/>
        <v>Get Data</v>
      </c>
      <c r="F160" s="200" t="str">
        <f>'2nd_Post_Processing'!$L$6</f>
        <v>Line</v>
      </c>
      <c r="G160" s="200"/>
      <c r="H160" s="200"/>
      <c r="I160" s="200" t="str">
        <f t="shared" si="31"/>
        <v>Attachmenttype[73]</v>
      </c>
      <c r="J160" s="207">
        <f t="shared" si="23"/>
        <v>75</v>
      </c>
      <c r="K160" s="207" t="str">
        <f t="shared" si="24"/>
        <v/>
      </c>
      <c r="L160" s="207" t="str">
        <f t="shared" si="25"/>
        <v/>
      </c>
      <c r="M160" s="207" t="str">
        <f t="shared" si="26"/>
        <v/>
      </c>
      <c r="N160" s="208">
        <f t="shared" si="27"/>
        <v>75</v>
      </c>
    </row>
    <row r="161" spans="1:14" ht="13.5" customHeight="1" x14ac:dyDescent="0.2">
      <c r="A161" s="200" t="str">
        <f t="shared" si="28"/>
        <v>Auxiliar4</v>
      </c>
      <c r="B161" s="200"/>
      <c r="C161" s="200"/>
      <c r="D161" s="200" t="str">
        <f t="shared" si="29"/>
        <v>AA74</v>
      </c>
      <c r="E161" s="200" t="str">
        <f t="shared" si="30"/>
        <v>Get Data</v>
      </c>
      <c r="F161" s="200" t="str">
        <f>'2nd_Post_Processing'!$L$6</f>
        <v>Line</v>
      </c>
      <c r="G161" s="200"/>
      <c r="H161" s="200"/>
      <c r="I161" s="200" t="str">
        <f t="shared" si="31"/>
        <v>Attachmenttype[74]</v>
      </c>
      <c r="J161" s="207">
        <f t="shared" si="23"/>
        <v>76</v>
      </c>
      <c r="K161" s="207" t="str">
        <f t="shared" si="24"/>
        <v/>
      </c>
      <c r="L161" s="207" t="str">
        <f t="shared" si="25"/>
        <v/>
      </c>
      <c r="M161" s="207" t="str">
        <f t="shared" si="26"/>
        <v/>
      </c>
      <c r="N161" s="208">
        <f t="shared" si="27"/>
        <v>76</v>
      </c>
    </row>
    <row r="162" spans="1:14" ht="13.5" customHeight="1" x14ac:dyDescent="0.2">
      <c r="A162" s="200" t="str">
        <f t="shared" si="28"/>
        <v>Auxiliar4</v>
      </c>
      <c r="B162" s="200"/>
      <c r="C162" s="200"/>
      <c r="D162" s="200" t="str">
        <f t="shared" si="29"/>
        <v>AA75</v>
      </c>
      <c r="E162" s="200" t="str">
        <f t="shared" si="30"/>
        <v>Get Data</v>
      </c>
      <c r="F162" s="200" t="str">
        <f>'2nd_Post_Processing'!$L$6</f>
        <v>Line</v>
      </c>
      <c r="G162" s="200"/>
      <c r="H162" s="200"/>
      <c r="I162" s="200" t="str">
        <f t="shared" si="31"/>
        <v>Attachmenttype[75]</v>
      </c>
      <c r="J162" s="207">
        <f t="shared" si="23"/>
        <v>77</v>
      </c>
      <c r="K162" s="207" t="str">
        <f t="shared" si="24"/>
        <v/>
      </c>
      <c r="L162" s="207" t="str">
        <f t="shared" si="25"/>
        <v/>
      </c>
      <c r="M162" s="207" t="str">
        <f t="shared" si="26"/>
        <v/>
      </c>
      <c r="N162" s="208">
        <f t="shared" si="27"/>
        <v>77</v>
      </c>
    </row>
    <row r="163" spans="1:14" ht="13.5" customHeight="1" x14ac:dyDescent="0.2">
      <c r="A163" s="200" t="str">
        <f t="shared" si="28"/>
        <v>Auxiliar4</v>
      </c>
      <c r="B163" s="200"/>
      <c r="C163" s="200"/>
      <c r="D163" s="200" t="str">
        <f t="shared" si="29"/>
        <v>AA76</v>
      </c>
      <c r="E163" s="200" t="str">
        <f t="shared" si="30"/>
        <v>Get Data</v>
      </c>
      <c r="F163" s="200" t="str">
        <f>'2nd_Post_Processing'!$L$6</f>
        <v>Line</v>
      </c>
      <c r="G163" s="200"/>
      <c r="H163" s="200"/>
      <c r="I163" s="200" t="str">
        <f t="shared" si="31"/>
        <v>Attachmenttype[76]</v>
      </c>
      <c r="J163" s="207">
        <f t="shared" si="23"/>
        <v>78</v>
      </c>
      <c r="K163" s="207" t="str">
        <f t="shared" si="24"/>
        <v/>
      </c>
      <c r="L163" s="207" t="str">
        <f t="shared" si="25"/>
        <v/>
      </c>
      <c r="M163" s="207" t="str">
        <f t="shared" si="26"/>
        <v/>
      </c>
      <c r="N163" s="208">
        <f t="shared" si="27"/>
        <v>78</v>
      </c>
    </row>
    <row r="164" spans="1:14" ht="13.5" customHeight="1" x14ac:dyDescent="0.2">
      <c r="A164" s="200" t="str">
        <f t="shared" si="28"/>
        <v>Auxiliar4</v>
      </c>
      <c r="B164" s="200"/>
      <c r="C164" s="200"/>
      <c r="D164" s="200" t="str">
        <f t="shared" si="29"/>
        <v>AA77</v>
      </c>
      <c r="E164" s="200" t="str">
        <f t="shared" si="30"/>
        <v>Get Data</v>
      </c>
      <c r="F164" s="200" t="str">
        <f>'2nd_Post_Processing'!$L$6</f>
        <v>Line</v>
      </c>
      <c r="G164" s="200"/>
      <c r="H164" s="200"/>
      <c r="I164" s="200" t="str">
        <f t="shared" si="31"/>
        <v>Attachmenttype[77]</v>
      </c>
      <c r="J164" s="207">
        <f t="shared" si="23"/>
        <v>79</v>
      </c>
      <c r="K164" s="207" t="str">
        <f t="shared" si="24"/>
        <v/>
      </c>
      <c r="L164" s="207" t="str">
        <f t="shared" si="25"/>
        <v/>
      </c>
      <c r="M164" s="207" t="str">
        <f t="shared" si="26"/>
        <v/>
      </c>
      <c r="N164" s="208">
        <f t="shared" si="27"/>
        <v>79</v>
      </c>
    </row>
    <row r="165" spans="1:14" ht="13.5" customHeight="1" x14ac:dyDescent="0.2">
      <c r="A165" s="200" t="str">
        <f t="shared" si="28"/>
        <v>Auxiliar4</v>
      </c>
      <c r="B165" s="200"/>
      <c r="C165" s="200"/>
      <c r="D165" s="200" t="str">
        <f t="shared" si="29"/>
        <v>AA78</v>
      </c>
      <c r="E165" s="200" t="str">
        <f t="shared" si="30"/>
        <v>Get Data</v>
      </c>
      <c r="F165" s="200" t="str">
        <f>'2nd_Post_Processing'!$L$6</f>
        <v>Line</v>
      </c>
      <c r="G165" s="200"/>
      <c r="H165" s="200"/>
      <c r="I165" s="200" t="str">
        <f t="shared" si="31"/>
        <v>Attachmenttype[78]</v>
      </c>
      <c r="J165" s="207">
        <f t="shared" si="23"/>
        <v>80</v>
      </c>
      <c r="K165" s="207" t="str">
        <f t="shared" si="24"/>
        <v/>
      </c>
      <c r="L165" s="207" t="str">
        <f t="shared" si="25"/>
        <v/>
      </c>
      <c r="M165" s="207" t="str">
        <f t="shared" si="26"/>
        <v/>
      </c>
      <c r="N165" s="208">
        <f t="shared" si="27"/>
        <v>80</v>
      </c>
    </row>
    <row r="166" spans="1:14" ht="13.5" customHeight="1" x14ac:dyDescent="0.2">
      <c r="A166" s="200" t="str">
        <f t="shared" si="28"/>
        <v>Auxiliar4</v>
      </c>
      <c r="B166" s="200"/>
      <c r="C166" s="200"/>
      <c r="D166" s="200" t="str">
        <f t="shared" si="29"/>
        <v>AA79</v>
      </c>
      <c r="E166" s="200" t="str">
        <f t="shared" si="30"/>
        <v>Get Data</v>
      </c>
      <c r="F166" s="200" t="str">
        <f>'2nd_Post_Processing'!$L$6</f>
        <v>Line</v>
      </c>
      <c r="G166" s="200"/>
      <c r="H166" s="200"/>
      <c r="I166" s="200" t="str">
        <f t="shared" si="31"/>
        <v>Attachmenttype[79]</v>
      </c>
      <c r="J166" s="207">
        <f t="shared" si="23"/>
        <v>81</v>
      </c>
      <c r="K166" s="207" t="str">
        <f t="shared" si="24"/>
        <v/>
      </c>
      <c r="L166" s="207" t="str">
        <f t="shared" si="25"/>
        <v/>
      </c>
      <c r="M166" s="207" t="str">
        <f t="shared" si="26"/>
        <v/>
      </c>
      <c r="N166" s="208">
        <f t="shared" si="27"/>
        <v>81</v>
      </c>
    </row>
    <row r="167" spans="1:14" ht="13.5" customHeight="1" x14ac:dyDescent="0.2">
      <c r="A167" s="200" t="str">
        <f t="shared" si="28"/>
        <v>Auxiliar4</v>
      </c>
      <c r="B167" s="200"/>
      <c r="C167" s="200"/>
      <c r="D167" s="200" t="str">
        <f t="shared" si="29"/>
        <v>AA80</v>
      </c>
      <c r="E167" s="200" t="str">
        <f t="shared" si="30"/>
        <v>Get Data</v>
      </c>
      <c r="F167" s="200" t="str">
        <f>'2nd_Post_Processing'!$L$6</f>
        <v>Line</v>
      </c>
      <c r="G167" s="200"/>
      <c r="H167" s="200"/>
      <c r="I167" s="200" t="str">
        <f t="shared" si="31"/>
        <v>Attachmenttype[80]</v>
      </c>
      <c r="J167" s="207">
        <f t="shared" si="23"/>
        <v>82</v>
      </c>
      <c r="K167" s="207" t="str">
        <f t="shared" si="24"/>
        <v/>
      </c>
      <c r="L167" s="207" t="str">
        <f t="shared" si="25"/>
        <v/>
      </c>
      <c r="M167" s="207" t="str">
        <f t="shared" si="26"/>
        <v/>
      </c>
      <c r="N167" s="208">
        <f t="shared" si="27"/>
        <v>82</v>
      </c>
    </row>
    <row r="168" spans="1:14" ht="13.5" customHeight="1" x14ac:dyDescent="0.2">
      <c r="A168" s="200" t="str">
        <f t="shared" si="28"/>
        <v>Auxiliar4</v>
      </c>
      <c r="B168" s="200"/>
      <c r="C168" s="200"/>
      <c r="D168" s="200" t="str">
        <f t="shared" si="29"/>
        <v>AA81</v>
      </c>
      <c r="E168" s="200" t="str">
        <f t="shared" si="30"/>
        <v>Get Data</v>
      </c>
      <c r="F168" s="200" t="str">
        <f>'2nd_Post_Processing'!$L$6</f>
        <v>Line</v>
      </c>
      <c r="G168" s="200"/>
      <c r="H168" s="200"/>
      <c r="I168" s="200" t="str">
        <f t="shared" si="31"/>
        <v>Attachmenttype[81]</v>
      </c>
      <c r="J168" s="207">
        <f t="shared" si="23"/>
        <v>83</v>
      </c>
      <c r="K168" s="207" t="str">
        <f t="shared" si="24"/>
        <v/>
      </c>
      <c r="L168" s="207" t="str">
        <f t="shared" si="25"/>
        <v/>
      </c>
      <c r="M168" s="207" t="str">
        <f t="shared" si="26"/>
        <v/>
      </c>
      <c r="N168" s="208">
        <f t="shared" si="27"/>
        <v>83</v>
      </c>
    </row>
    <row r="169" spans="1:14" ht="13.5" customHeight="1" x14ac:dyDescent="0.2">
      <c r="A169" s="200" t="str">
        <f t="shared" si="28"/>
        <v>Auxiliar4</v>
      </c>
      <c r="B169" s="200"/>
      <c r="C169" s="200"/>
      <c r="D169" s="200" t="str">
        <f t="shared" si="29"/>
        <v>AA82</v>
      </c>
      <c r="E169" s="200" t="str">
        <f t="shared" si="30"/>
        <v>Get Data</v>
      </c>
      <c r="F169" s="200" t="str">
        <f>'2nd_Post_Processing'!$L$6</f>
        <v>Line</v>
      </c>
      <c r="G169" s="200"/>
      <c r="H169" s="200"/>
      <c r="I169" s="200" t="str">
        <f t="shared" si="31"/>
        <v>Attachmenttype[82]</v>
      </c>
      <c r="J169" s="207">
        <f t="shared" si="23"/>
        <v>84</v>
      </c>
      <c r="K169" s="207" t="str">
        <f t="shared" si="24"/>
        <v/>
      </c>
      <c r="L169" s="207" t="str">
        <f t="shared" si="25"/>
        <v/>
      </c>
      <c r="M169" s="207" t="str">
        <f t="shared" si="26"/>
        <v/>
      </c>
      <c r="N169" s="208">
        <f t="shared" si="27"/>
        <v>84</v>
      </c>
    </row>
    <row r="170" spans="1:14" ht="13.5" customHeight="1" x14ac:dyDescent="0.2">
      <c r="A170" s="200" t="str">
        <f t="shared" si="28"/>
        <v>Auxiliar4</v>
      </c>
      <c r="B170" s="200"/>
      <c r="C170" s="200"/>
      <c r="D170" s="200" t="str">
        <f t="shared" si="29"/>
        <v>AA83</v>
      </c>
      <c r="E170" s="200" t="str">
        <f t="shared" si="30"/>
        <v>Get Data</v>
      </c>
      <c r="F170" s="200" t="str">
        <f>'2nd_Post_Processing'!$L$6</f>
        <v>Line</v>
      </c>
      <c r="G170" s="200"/>
      <c r="H170" s="200"/>
      <c r="I170" s="200" t="str">
        <f t="shared" si="31"/>
        <v>Attachmenttype[83]</v>
      </c>
      <c r="J170" s="207">
        <f t="shared" si="23"/>
        <v>85</v>
      </c>
      <c r="K170" s="207" t="str">
        <f t="shared" si="24"/>
        <v/>
      </c>
      <c r="L170" s="207" t="str">
        <f t="shared" si="25"/>
        <v/>
      </c>
      <c r="M170" s="207" t="str">
        <f t="shared" si="26"/>
        <v/>
      </c>
      <c r="N170" s="208">
        <f t="shared" si="27"/>
        <v>85</v>
      </c>
    </row>
    <row r="171" spans="1:14" ht="13.5" customHeight="1" x14ac:dyDescent="0.2">
      <c r="A171" s="200" t="str">
        <f t="shared" si="28"/>
        <v>Auxiliar4</v>
      </c>
      <c r="B171" s="200"/>
      <c r="C171" s="200"/>
      <c r="D171" s="200" t="str">
        <f t="shared" si="29"/>
        <v>AA84</v>
      </c>
      <c r="E171" s="200" t="str">
        <f t="shared" si="30"/>
        <v>Get Data</v>
      </c>
      <c r="F171" s="200" t="str">
        <f>'2nd_Post_Processing'!$L$6</f>
        <v>Line</v>
      </c>
      <c r="G171" s="200"/>
      <c r="H171" s="200"/>
      <c r="I171" s="200" t="str">
        <f t="shared" si="31"/>
        <v>Attachmenttype[84]</v>
      </c>
      <c r="J171" s="207">
        <f t="shared" si="23"/>
        <v>86</v>
      </c>
      <c r="K171" s="207" t="str">
        <f t="shared" si="24"/>
        <v/>
      </c>
      <c r="L171" s="207" t="str">
        <f t="shared" si="25"/>
        <v/>
      </c>
      <c r="M171" s="207" t="str">
        <f t="shared" si="26"/>
        <v/>
      </c>
      <c r="N171" s="208">
        <f t="shared" si="27"/>
        <v>86</v>
      </c>
    </row>
    <row r="172" spans="1:14" ht="13.5" customHeight="1" x14ac:dyDescent="0.2">
      <c r="A172" s="200" t="str">
        <f t="shared" si="28"/>
        <v>Auxiliar4</v>
      </c>
      <c r="B172" s="200"/>
      <c r="C172" s="200"/>
      <c r="D172" s="200" t="str">
        <f t="shared" si="29"/>
        <v>AA85</v>
      </c>
      <c r="E172" s="200" t="str">
        <f t="shared" si="30"/>
        <v>Get Data</v>
      </c>
      <c r="F172" s="200" t="str">
        <f>'2nd_Post_Processing'!$L$6</f>
        <v>Line</v>
      </c>
      <c r="G172" s="200"/>
      <c r="H172" s="200"/>
      <c r="I172" s="200" t="str">
        <f t="shared" si="31"/>
        <v>Attachmenttype[85]</v>
      </c>
      <c r="J172" s="207">
        <f t="shared" si="23"/>
        <v>87</v>
      </c>
      <c r="K172" s="207" t="str">
        <f t="shared" si="24"/>
        <v/>
      </c>
      <c r="L172" s="207" t="str">
        <f t="shared" si="25"/>
        <v/>
      </c>
      <c r="M172" s="207" t="str">
        <f t="shared" si="26"/>
        <v/>
      </c>
      <c r="N172" s="208">
        <f t="shared" si="27"/>
        <v>87</v>
      </c>
    </row>
    <row r="173" spans="1:14" ht="13.5" customHeight="1" x14ac:dyDescent="0.2">
      <c r="A173" s="200" t="str">
        <f t="shared" si="28"/>
        <v>Auxiliar4</v>
      </c>
      <c r="B173" s="200"/>
      <c r="C173" s="200"/>
      <c r="D173" s="200" t="str">
        <f t="shared" si="29"/>
        <v>AA86</v>
      </c>
      <c r="E173" s="200" t="str">
        <f t="shared" si="30"/>
        <v>Get Data</v>
      </c>
      <c r="F173" s="200" t="str">
        <f>'2nd_Post_Processing'!$L$6</f>
        <v>Line</v>
      </c>
      <c r="G173" s="200"/>
      <c r="H173" s="200"/>
      <c r="I173" s="200" t="str">
        <f t="shared" si="31"/>
        <v>Attachmenttype[86]</v>
      </c>
      <c r="J173" s="207">
        <f t="shared" si="23"/>
        <v>88</v>
      </c>
      <c r="K173" s="207" t="str">
        <f t="shared" si="24"/>
        <v/>
      </c>
      <c r="L173" s="207" t="str">
        <f t="shared" si="25"/>
        <v/>
      </c>
      <c r="M173" s="207" t="str">
        <f t="shared" si="26"/>
        <v/>
      </c>
      <c r="N173" s="208">
        <f t="shared" si="27"/>
        <v>88</v>
      </c>
    </row>
    <row r="174" spans="1:14" ht="13.5" customHeight="1" x14ac:dyDescent="0.2">
      <c r="A174" s="200" t="str">
        <f t="shared" si="28"/>
        <v>Auxiliar4</v>
      </c>
      <c r="B174" s="200"/>
      <c r="C174" s="200"/>
      <c r="D174" s="200" t="str">
        <f t="shared" si="29"/>
        <v>AA87</v>
      </c>
      <c r="E174" s="200" t="str">
        <f t="shared" si="30"/>
        <v>Get Data</v>
      </c>
      <c r="F174" s="200" t="str">
        <f>'2nd_Post_Processing'!$L$6</f>
        <v>Line</v>
      </c>
      <c r="G174" s="200"/>
      <c r="H174" s="200"/>
      <c r="I174" s="200" t="str">
        <f t="shared" si="31"/>
        <v>Attachmenttype[87]</v>
      </c>
      <c r="J174" s="207">
        <f t="shared" si="23"/>
        <v>89</v>
      </c>
      <c r="K174" s="207" t="str">
        <f t="shared" si="24"/>
        <v/>
      </c>
      <c r="L174" s="207" t="str">
        <f t="shared" si="25"/>
        <v/>
      </c>
      <c r="M174" s="207" t="str">
        <f t="shared" si="26"/>
        <v/>
      </c>
      <c r="N174" s="208">
        <f t="shared" si="27"/>
        <v>89</v>
      </c>
    </row>
    <row r="175" spans="1:14" ht="13.5" customHeight="1" x14ac:dyDescent="0.2">
      <c r="A175" s="200" t="str">
        <f t="shared" si="28"/>
        <v>Auxiliar4</v>
      </c>
      <c r="B175" s="200"/>
      <c r="C175" s="200"/>
      <c r="D175" s="200" t="str">
        <f t="shared" si="29"/>
        <v>AA88</v>
      </c>
      <c r="E175" s="200" t="str">
        <f t="shared" si="30"/>
        <v>Get Data</v>
      </c>
      <c r="F175" s="200" t="str">
        <f>'2nd_Post_Processing'!$L$6</f>
        <v>Line</v>
      </c>
      <c r="G175" s="200"/>
      <c r="H175" s="200"/>
      <c r="I175" s="200" t="str">
        <f t="shared" si="31"/>
        <v>Attachmenttype[88]</v>
      </c>
      <c r="J175" s="207">
        <f t="shared" si="23"/>
        <v>90</v>
      </c>
      <c r="K175" s="207" t="str">
        <f t="shared" si="24"/>
        <v/>
      </c>
      <c r="L175" s="207" t="str">
        <f t="shared" si="25"/>
        <v/>
      </c>
      <c r="M175" s="207" t="str">
        <f t="shared" si="26"/>
        <v/>
      </c>
      <c r="N175" s="208">
        <f t="shared" si="27"/>
        <v>90</v>
      </c>
    </row>
    <row r="176" spans="1:14" ht="13.5" customHeight="1" x14ac:dyDescent="0.2">
      <c r="A176" s="200" t="str">
        <f t="shared" si="28"/>
        <v>Auxiliar4</v>
      </c>
      <c r="B176" s="200"/>
      <c r="C176" s="200"/>
      <c r="D176" s="200" t="str">
        <f t="shared" si="29"/>
        <v>AA89</v>
      </c>
      <c r="E176" s="200" t="str">
        <f t="shared" si="30"/>
        <v>Get Data</v>
      </c>
      <c r="F176" s="200" t="str">
        <f>'2nd_Post_Processing'!$L$6</f>
        <v>Line</v>
      </c>
      <c r="G176" s="200"/>
      <c r="H176" s="200"/>
      <c r="I176" s="200" t="str">
        <f t="shared" si="31"/>
        <v>Attachmenttype[89]</v>
      </c>
      <c r="J176" s="207">
        <f t="shared" si="23"/>
        <v>91</v>
      </c>
      <c r="K176" s="207" t="str">
        <f t="shared" si="24"/>
        <v/>
      </c>
      <c r="L176" s="207" t="str">
        <f t="shared" si="25"/>
        <v/>
      </c>
      <c r="M176" s="207" t="str">
        <f t="shared" si="26"/>
        <v/>
      </c>
      <c r="N176" s="208">
        <f t="shared" si="27"/>
        <v>91</v>
      </c>
    </row>
    <row r="177" spans="1:14" ht="13.5" customHeight="1" x14ac:dyDescent="0.2">
      <c r="A177" s="200" t="str">
        <f t="shared" si="28"/>
        <v>Auxiliar4</v>
      </c>
      <c r="B177" s="200"/>
      <c r="C177" s="200"/>
      <c r="D177" s="200" t="str">
        <f t="shared" si="29"/>
        <v>AA90</v>
      </c>
      <c r="E177" s="200" t="str">
        <f t="shared" si="30"/>
        <v>Get Data</v>
      </c>
      <c r="F177" s="200" t="str">
        <f>'2nd_Post_Processing'!$L$6</f>
        <v>Line</v>
      </c>
      <c r="G177" s="200"/>
      <c r="H177" s="200"/>
      <c r="I177" s="200" t="str">
        <f t="shared" si="31"/>
        <v>Attachmenttype[90]</v>
      </c>
      <c r="J177" s="207">
        <f t="shared" si="23"/>
        <v>92</v>
      </c>
      <c r="K177" s="207" t="str">
        <f t="shared" si="24"/>
        <v/>
      </c>
      <c r="L177" s="207" t="str">
        <f t="shared" si="25"/>
        <v/>
      </c>
      <c r="M177" s="207" t="str">
        <f t="shared" si="26"/>
        <v/>
      </c>
      <c r="N177" s="208">
        <f t="shared" si="27"/>
        <v>92</v>
      </c>
    </row>
    <row r="178" spans="1:14" ht="13.5" customHeight="1" x14ac:dyDescent="0.2">
      <c r="A178" s="200" t="str">
        <f t="shared" si="28"/>
        <v>Auxiliar4</v>
      </c>
      <c r="B178" s="200"/>
      <c r="C178" s="200"/>
      <c r="D178" s="200" t="str">
        <f t="shared" si="29"/>
        <v>AA91</v>
      </c>
      <c r="E178" s="200" t="str">
        <f t="shared" si="30"/>
        <v>Get Data</v>
      </c>
      <c r="F178" s="200" t="str">
        <f>'2nd_Post_Processing'!$L$6</f>
        <v>Line</v>
      </c>
      <c r="G178" s="200"/>
      <c r="H178" s="200"/>
      <c r="I178" s="200" t="str">
        <f t="shared" si="31"/>
        <v>Attachmenttype[91]</v>
      </c>
      <c r="J178" s="207">
        <f t="shared" si="23"/>
        <v>93</v>
      </c>
      <c r="K178" s="207" t="str">
        <f t="shared" si="24"/>
        <v/>
      </c>
      <c r="L178" s="207" t="str">
        <f t="shared" si="25"/>
        <v/>
      </c>
      <c r="M178" s="207" t="str">
        <f t="shared" si="26"/>
        <v/>
      </c>
      <c r="N178" s="208">
        <f t="shared" si="27"/>
        <v>93</v>
      </c>
    </row>
    <row r="179" spans="1:14" ht="13.5" customHeight="1" x14ac:dyDescent="0.2">
      <c r="A179" s="200" t="str">
        <f t="shared" si="28"/>
        <v>Auxiliar4</v>
      </c>
      <c r="B179" s="200"/>
      <c r="C179" s="200"/>
      <c r="D179" s="200" t="str">
        <f t="shared" si="29"/>
        <v>AA92</v>
      </c>
      <c r="E179" s="200" t="str">
        <f t="shared" si="30"/>
        <v>Get Data</v>
      </c>
      <c r="F179" s="200" t="str">
        <f>'2nd_Post_Processing'!$L$6</f>
        <v>Line</v>
      </c>
      <c r="G179" s="200"/>
      <c r="H179" s="200"/>
      <c r="I179" s="200" t="str">
        <f t="shared" si="31"/>
        <v>Attachmenttype[92]</v>
      </c>
      <c r="J179" s="207">
        <f t="shared" si="23"/>
        <v>94</v>
      </c>
      <c r="K179" s="207" t="str">
        <f t="shared" si="24"/>
        <v/>
      </c>
      <c r="L179" s="207" t="str">
        <f t="shared" si="25"/>
        <v/>
      </c>
      <c r="M179" s="207" t="str">
        <f t="shared" si="26"/>
        <v/>
      </c>
      <c r="N179" s="208">
        <f t="shared" si="27"/>
        <v>94</v>
      </c>
    </row>
    <row r="180" spans="1:14" ht="13.5" customHeight="1" x14ac:dyDescent="0.2">
      <c r="A180" s="200" t="str">
        <f t="shared" si="28"/>
        <v>Auxiliar4</v>
      </c>
      <c r="B180" s="200"/>
      <c r="C180" s="200"/>
      <c r="D180" s="200" t="str">
        <f t="shared" si="29"/>
        <v>AA93</v>
      </c>
      <c r="E180" s="200" t="str">
        <f t="shared" si="30"/>
        <v>Get Data</v>
      </c>
      <c r="F180" s="200" t="str">
        <f>'2nd_Post_Processing'!$L$6</f>
        <v>Line</v>
      </c>
      <c r="G180" s="200"/>
      <c r="H180" s="200"/>
      <c r="I180" s="200" t="str">
        <f t="shared" si="31"/>
        <v>Attachmenttype[93]</v>
      </c>
      <c r="J180" s="207">
        <f t="shared" si="23"/>
        <v>95</v>
      </c>
      <c r="K180" s="207" t="str">
        <f t="shared" si="24"/>
        <v/>
      </c>
      <c r="L180" s="207" t="str">
        <f t="shared" si="25"/>
        <v/>
      </c>
      <c r="M180" s="207" t="str">
        <f t="shared" si="26"/>
        <v/>
      </c>
      <c r="N180" s="208">
        <f t="shared" si="27"/>
        <v>95</v>
      </c>
    </row>
    <row r="181" spans="1:14" ht="13.5" customHeight="1" x14ac:dyDescent="0.2">
      <c r="A181" s="200" t="str">
        <f t="shared" si="28"/>
        <v>Auxiliar4</v>
      </c>
      <c r="B181" s="200"/>
      <c r="C181" s="200"/>
      <c r="D181" s="200" t="str">
        <f t="shared" si="29"/>
        <v>AA94</v>
      </c>
      <c r="E181" s="200" t="str">
        <f t="shared" si="30"/>
        <v>Get Data</v>
      </c>
      <c r="F181" s="200" t="str">
        <f>'2nd_Post_Processing'!$L$6</f>
        <v>Line</v>
      </c>
      <c r="G181" s="200"/>
      <c r="H181" s="200"/>
      <c r="I181" s="200" t="str">
        <f t="shared" si="31"/>
        <v>Attachmenttype[94]</v>
      </c>
      <c r="J181" s="207">
        <f t="shared" si="23"/>
        <v>96</v>
      </c>
      <c r="K181" s="207" t="str">
        <f t="shared" si="24"/>
        <v/>
      </c>
      <c r="L181" s="207" t="str">
        <f t="shared" si="25"/>
        <v/>
      </c>
      <c r="M181" s="207" t="str">
        <f t="shared" si="26"/>
        <v/>
      </c>
      <c r="N181" s="208">
        <f t="shared" si="27"/>
        <v>96</v>
      </c>
    </row>
    <row r="182" spans="1:14" ht="13.5" customHeight="1" x14ac:dyDescent="0.2">
      <c r="A182" s="200" t="str">
        <f t="shared" si="28"/>
        <v>Auxiliar4</v>
      </c>
      <c r="B182" s="200"/>
      <c r="C182" s="200"/>
      <c r="D182" s="200" t="str">
        <f t="shared" si="29"/>
        <v>AA95</v>
      </c>
      <c r="E182" s="200" t="str">
        <f t="shared" si="30"/>
        <v>Get Data</v>
      </c>
      <c r="F182" s="200" t="str">
        <f>'2nd_Post_Processing'!$L$6</f>
        <v>Line</v>
      </c>
      <c r="G182" s="200"/>
      <c r="H182" s="200"/>
      <c r="I182" s="200" t="str">
        <f t="shared" si="31"/>
        <v>Attachmenttype[95]</v>
      </c>
      <c r="J182" s="207">
        <f t="shared" si="23"/>
        <v>97</v>
      </c>
      <c r="K182" s="207" t="str">
        <f t="shared" si="24"/>
        <v/>
      </c>
      <c r="L182" s="207" t="str">
        <f t="shared" si="25"/>
        <v/>
      </c>
      <c r="M182" s="207" t="str">
        <f t="shared" si="26"/>
        <v/>
      </c>
      <c r="N182" s="208">
        <f t="shared" si="27"/>
        <v>97</v>
      </c>
    </row>
    <row r="183" spans="1:14" ht="13.5" customHeight="1" x14ac:dyDescent="0.2">
      <c r="A183" s="200" t="str">
        <f t="shared" si="28"/>
        <v>Auxiliar4</v>
      </c>
      <c r="B183" s="200"/>
      <c r="C183" s="200"/>
      <c r="D183" s="200" t="str">
        <f t="shared" si="29"/>
        <v>AA96</v>
      </c>
      <c r="E183" s="200" t="str">
        <f t="shared" si="30"/>
        <v>Get Data</v>
      </c>
      <c r="F183" s="200" t="str">
        <f>'2nd_Post_Processing'!$L$6</f>
        <v>Line</v>
      </c>
      <c r="G183" s="200"/>
      <c r="H183" s="200"/>
      <c r="I183" s="200" t="str">
        <f t="shared" si="31"/>
        <v>Attachmenttype[96]</v>
      </c>
      <c r="J183" s="207">
        <f t="shared" si="23"/>
        <v>98</v>
      </c>
      <c r="K183" s="207" t="str">
        <f t="shared" si="24"/>
        <v/>
      </c>
      <c r="L183" s="207" t="str">
        <f t="shared" si="25"/>
        <v/>
      </c>
      <c r="M183" s="207" t="str">
        <f t="shared" si="26"/>
        <v/>
      </c>
      <c r="N183" s="208">
        <f t="shared" si="27"/>
        <v>98</v>
      </c>
    </row>
    <row r="184" spans="1:14" ht="13.5" customHeight="1" x14ac:dyDescent="0.2">
      <c r="A184" s="200" t="str">
        <f t="shared" si="28"/>
        <v>Auxiliar4</v>
      </c>
      <c r="B184" s="200"/>
      <c r="C184" s="200"/>
      <c r="D184" s="200" t="str">
        <f t="shared" si="29"/>
        <v>AA97</v>
      </c>
      <c r="E184" s="200" t="str">
        <f t="shared" si="30"/>
        <v>Get Data</v>
      </c>
      <c r="F184" s="200" t="str">
        <f>'2nd_Post_Processing'!$L$6</f>
        <v>Line</v>
      </c>
      <c r="G184" s="200"/>
      <c r="H184" s="200"/>
      <c r="I184" s="200" t="str">
        <f t="shared" si="31"/>
        <v>Attachmenttype[97]</v>
      </c>
      <c r="J184" s="207">
        <f t="shared" si="23"/>
        <v>99</v>
      </c>
      <c r="K184" s="207" t="str">
        <f t="shared" si="24"/>
        <v/>
      </c>
      <c r="L184" s="207" t="str">
        <f t="shared" si="25"/>
        <v/>
      </c>
      <c r="M184" s="207" t="str">
        <f t="shared" si="26"/>
        <v/>
      </c>
      <c r="N184" s="208">
        <f t="shared" si="27"/>
        <v>99</v>
      </c>
    </row>
    <row r="185" spans="1:14" ht="13.5" customHeight="1" x14ac:dyDescent="0.2">
      <c r="A185" s="200" t="str">
        <f t="shared" si="28"/>
        <v>Auxiliar4</v>
      </c>
      <c r="B185" s="200"/>
      <c r="C185" s="200"/>
      <c r="D185" s="200" t="str">
        <f t="shared" si="29"/>
        <v>AA98</v>
      </c>
      <c r="E185" s="200" t="str">
        <f t="shared" si="30"/>
        <v>Get Data</v>
      </c>
      <c r="F185" s="200" t="str">
        <f>'2nd_Post_Processing'!$L$6</f>
        <v>Line</v>
      </c>
      <c r="G185" s="200"/>
      <c r="H185" s="200"/>
      <c r="I185" s="200" t="str">
        <f t="shared" si="31"/>
        <v>Attachmenttype[98]</v>
      </c>
      <c r="J185" s="207">
        <f t="shared" si="23"/>
        <v>100</v>
      </c>
      <c r="K185" s="207" t="str">
        <f t="shared" si="24"/>
        <v/>
      </c>
      <c r="L185" s="207" t="str">
        <f t="shared" si="25"/>
        <v/>
      </c>
      <c r="M185" s="207" t="str">
        <f t="shared" si="26"/>
        <v/>
      </c>
      <c r="N185" s="208">
        <f t="shared" si="27"/>
        <v>100</v>
      </c>
    </row>
    <row r="186" spans="1:14" ht="13.5" customHeight="1" x14ac:dyDescent="0.2">
      <c r="A186" s="200" t="str">
        <f t="shared" si="28"/>
        <v>Auxiliar4</v>
      </c>
      <c r="B186" s="200"/>
      <c r="C186" s="200"/>
      <c r="D186" s="200" t="str">
        <f t="shared" si="29"/>
        <v>AA99</v>
      </c>
      <c r="E186" s="200" t="str">
        <f t="shared" si="30"/>
        <v>Get Data</v>
      </c>
      <c r="F186" s="200" t="str">
        <f>'2nd_Post_Processing'!$L$6</f>
        <v>Line</v>
      </c>
      <c r="G186" s="200"/>
      <c r="H186" s="200"/>
      <c r="I186" s="200" t="str">
        <f t="shared" si="31"/>
        <v>Attachmenttype[99]</v>
      </c>
      <c r="J186" s="207">
        <f t="shared" si="23"/>
        <v>101</v>
      </c>
      <c r="K186" s="207" t="str">
        <f t="shared" si="24"/>
        <v/>
      </c>
      <c r="L186" s="207" t="str">
        <f t="shared" si="25"/>
        <v/>
      </c>
      <c r="M186" s="207" t="str">
        <f t="shared" si="26"/>
        <v/>
      </c>
      <c r="N186" s="208">
        <f t="shared" si="27"/>
        <v>101</v>
      </c>
    </row>
    <row r="187" spans="1:14" ht="13.5" customHeight="1" x14ac:dyDescent="0.2">
      <c r="A187" s="200" t="str">
        <f t="shared" si="28"/>
        <v>Auxiliar4</v>
      </c>
      <c r="B187" s="200"/>
      <c r="C187" s="200"/>
      <c r="D187" s="200" t="str">
        <f t="shared" si="29"/>
        <v>AA100</v>
      </c>
      <c r="E187" s="200" t="str">
        <f t="shared" si="30"/>
        <v>Get Data</v>
      </c>
      <c r="F187" s="200" t="str">
        <f>'2nd_Post_Processing'!$L$6</f>
        <v>Line</v>
      </c>
      <c r="G187" s="200"/>
      <c r="H187" s="200"/>
      <c r="I187" s="200" t="str">
        <f t="shared" si="31"/>
        <v>Attachmenttype[100]</v>
      </c>
      <c r="J187" s="207">
        <f t="shared" si="23"/>
        <v>102</v>
      </c>
      <c r="K187" s="207" t="str">
        <f t="shared" si="24"/>
        <v/>
      </c>
      <c r="L187" s="207" t="str">
        <f t="shared" si="25"/>
        <v/>
      </c>
      <c r="M187" s="207" t="str">
        <f t="shared" si="26"/>
        <v/>
      </c>
      <c r="N187" s="208">
        <f t="shared" si="27"/>
        <v>102</v>
      </c>
    </row>
    <row r="188" spans="1:14" ht="13.5" customHeight="1" x14ac:dyDescent="0.2">
      <c r="A188" s="200" t="str">
        <f t="shared" si="28"/>
        <v>Auxiliar4</v>
      </c>
      <c r="B188" s="200"/>
      <c r="C188" s="200"/>
      <c r="D188" s="200" t="str">
        <f t="shared" si="29"/>
        <v>AA101</v>
      </c>
      <c r="E188" s="200" t="str">
        <f t="shared" si="30"/>
        <v>Get Data</v>
      </c>
      <c r="F188" s="200" t="str">
        <f>'2nd_Post_Processing'!$L$6</f>
        <v>Line</v>
      </c>
      <c r="G188" s="200"/>
      <c r="H188" s="200"/>
      <c r="I188" s="200" t="str">
        <f t="shared" si="31"/>
        <v>Attachmenttype[101]</v>
      </c>
      <c r="J188" s="207">
        <f t="shared" si="23"/>
        <v>103</v>
      </c>
      <c r="K188" s="207" t="str">
        <f t="shared" si="24"/>
        <v/>
      </c>
      <c r="L188" s="207" t="str">
        <f t="shared" si="25"/>
        <v/>
      </c>
      <c r="M188" s="207" t="str">
        <f t="shared" si="26"/>
        <v/>
      </c>
      <c r="N188" s="208">
        <f t="shared" si="27"/>
        <v>103</v>
      </c>
    </row>
    <row r="189" spans="1:14" ht="13.5" customHeight="1" x14ac:dyDescent="0.2">
      <c r="A189" s="200" t="str">
        <f t="shared" si="28"/>
        <v>Auxiliar4</v>
      </c>
      <c r="B189" s="200"/>
      <c r="C189" s="200"/>
      <c r="D189" s="200" t="str">
        <f t="shared" si="29"/>
        <v>AA102</v>
      </c>
      <c r="E189" s="200" t="str">
        <f t="shared" si="30"/>
        <v>Get Data</v>
      </c>
      <c r="F189" s="200" t="str">
        <f>'2nd_Post_Processing'!$L$6</f>
        <v>Line</v>
      </c>
      <c r="G189" s="200"/>
      <c r="H189" s="200"/>
      <c r="I189" s="200" t="str">
        <f t="shared" si="31"/>
        <v>Attachmenttype[102]</v>
      </c>
      <c r="J189" s="207">
        <f t="shared" si="23"/>
        <v>104</v>
      </c>
      <c r="K189" s="207" t="str">
        <f t="shared" si="24"/>
        <v/>
      </c>
      <c r="L189" s="207" t="str">
        <f t="shared" si="25"/>
        <v/>
      </c>
      <c r="M189" s="207" t="str">
        <f t="shared" si="26"/>
        <v/>
      </c>
      <c r="N189" s="208">
        <f t="shared" si="27"/>
        <v>104</v>
      </c>
    </row>
    <row r="190" spans="1:14" ht="13.5" customHeight="1" x14ac:dyDescent="0.2">
      <c r="A190" s="200" t="str">
        <f t="shared" si="28"/>
        <v>Auxiliar4</v>
      </c>
      <c r="B190" s="200"/>
      <c r="C190" s="200"/>
      <c r="D190" s="200" t="str">
        <f t="shared" si="29"/>
        <v>AA103</v>
      </c>
      <c r="E190" s="200" t="str">
        <f t="shared" si="30"/>
        <v>Get Data</v>
      </c>
      <c r="F190" s="200" t="str">
        <f>'2nd_Post_Processing'!$L$6</f>
        <v>Line</v>
      </c>
      <c r="G190" s="200"/>
      <c r="H190" s="200"/>
      <c r="I190" s="200" t="str">
        <f t="shared" si="31"/>
        <v>Attachmenttype[103]</v>
      </c>
      <c r="J190" s="207">
        <f t="shared" si="23"/>
        <v>105</v>
      </c>
      <c r="K190" s="207" t="str">
        <f t="shared" si="24"/>
        <v/>
      </c>
      <c r="L190" s="207" t="str">
        <f t="shared" si="25"/>
        <v/>
      </c>
      <c r="M190" s="207" t="str">
        <f t="shared" si="26"/>
        <v/>
      </c>
      <c r="N190" s="208">
        <f t="shared" si="27"/>
        <v>105</v>
      </c>
    </row>
    <row r="191" spans="1:14" ht="13.5" customHeight="1" x14ac:dyDescent="0.2">
      <c r="A191" s="200" t="str">
        <f t="shared" si="28"/>
        <v>Auxiliar4</v>
      </c>
      <c r="B191" s="200"/>
      <c r="C191" s="200"/>
      <c r="D191" s="200" t="str">
        <f t="shared" si="29"/>
        <v>AA104</v>
      </c>
      <c r="E191" s="200" t="str">
        <f t="shared" si="30"/>
        <v>Get Data</v>
      </c>
      <c r="F191" s="200" t="str">
        <f>'2nd_Post_Processing'!$L$6</f>
        <v>Line</v>
      </c>
      <c r="G191" s="200"/>
      <c r="H191" s="200"/>
      <c r="I191" s="200" t="str">
        <f t="shared" si="31"/>
        <v>Attachmenttype[104]</v>
      </c>
      <c r="J191" s="207">
        <f t="shared" si="23"/>
        <v>106</v>
      </c>
      <c r="K191" s="207" t="str">
        <f t="shared" si="24"/>
        <v/>
      </c>
      <c r="L191" s="207" t="str">
        <f t="shared" si="25"/>
        <v/>
      </c>
      <c r="M191" s="207" t="str">
        <f t="shared" si="26"/>
        <v/>
      </c>
      <c r="N191" s="208">
        <f t="shared" si="27"/>
        <v>106</v>
      </c>
    </row>
    <row r="192" spans="1:14" ht="13.5" customHeight="1" x14ac:dyDescent="0.2">
      <c r="A192" s="200" t="str">
        <f t="shared" si="28"/>
        <v>Auxiliar4</v>
      </c>
      <c r="B192" s="200"/>
      <c r="C192" s="200"/>
      <c r="D192" s="200" t="str">
        <f t="shared" si="29"/>
        <v>AA105</v>
      </c>
      <c r="E192" s="200" t="str">
        <f t="shared" si="30"/>
        <v>Get Data</v>
      </c>
      <c r="F192" s="200" t="str">
        <f>'2nd_Post_Processing'!$L$6</f>
        <v>Line</v>
      </c>
      <c r="G192" s="200"/>
      <c r="H192" s="200"/>
      <c r="I192" s="200" t="str">
        <f t="shared" si="31"/>
        <v>Attachmenttype[105]</v>
      </c>
      <c r="J192" s="207">
        <f t="shared" si="23"/>
        <v>107</v>
      </c>
      <c r="K192" s="207" t="str">
        <f t="shared" si="24"/>
        <v/>
      </c>
      <c r="L192" s="207" t="str">
        <f t="shared" si="25"/>
        <v/>
      </c>
      <c r="M192" s="207" t="str">
        <f t="shared" si="26"/>
        <v/>
      </c>
      <c r="N192" s="208">
        <f t="shared" si="27"/>
        <v>107</v>
      </c>
    </row>
    <row r="193" spans="1:14" ht="13.5" customHeight="1" x14ac:dyDescent="0.2">
      <c r="A193" s="200" t="str">
        <f t="shared" si="28"/>
        <v>Auxiliar4</v>
      </c>
      <c r="B193" s="200"/>
      <c r="C193" s="200"/>
      <c r="D193" s="200" t="str">
        <f t="shared" si="29"/>
        <v>AA106</v>
      </c>
      <c r="E193" s="200" t="str">
        <f t="shared" si="30"/>
        <v>Get Data</v>
      </c>
      <c r="F193" s="200" t="str">
        <f>'2nd_Post_Processing'!$L$6</f>
        <v>Line</v>
      </c>
      <c r="G193" s="200"/>
      <c r="H193" s="200"/>
      <c r="I193" s="200" t="str">
        <f t="shared" si="31"/>
        <v>Attachmenttype[106]</v>
      </c>
      <c r="J193" s="207">
        <f t="shared" si="23"/>
        <v>108</v>
      </c>
      <c r="K193" s="207" t="str">
        <f t="shared" si="24"/>
        <v/>
      </c>
      <c r="L193" s="207" t="str">
        <f t="shared" si="25"/>
        <v/>
      </c>
      <c r="M193" s="207" t="str">
        <f t="shared" si="26"/>
        <v/>
      </c>
      <c r="N193" s="208">
        <f t="shared" si="27"/>
        <v>108</v>
      </c>
    </row>
    <row r="194" spans="1:14" ht="13.5" customHeight="1" x14ac:dyDescent="0.2">
      <c r="A194" s="200" t="str">
        <f t="shared" si="28"/>
        <v>Auxiliar4</v>
      </c>
      <c r="B194" s="200"/>
      <c r="C194" s="200"/>
      <c r="D194" s="200" t="str">
        <f t="shared" si="29"/>
        <v>AA107</v>
      </c>
      <c r="E194" s="200" t="str">
        <f t="shared" si="30"/>
        <v>Get Data</v>
      </c>
      <c r="F194" s="200" t="str">
        <f>'2nd_Post_Processing'!$L$6</f>
        <v>Line</v>
      </c>
      <c r="G194" s="200"/>
      <c r="H194" s="200"/>
      <c r="I194" s="200" t="str">
        <f t="shared" si="31"/>
        <v>Attachmenttype[107]</v>
      </c>
      <c r="J194" s="207">
        <f t="shared" si="23"/>
        <v>109</v>
      </c>
      <c r="K194" s="207" t="str">
        <f t="shared" si="24"/>
        <v/>
      </c>
      <c r="L194" s="207" t="str">
        <f t="shared" si="25"/>
        <v/>
      </c>
      <c r="M194" s="207" t="str">
        <f t="shared" si="26"/>
        <v/>
      </c>
      <c r="N194" s="208">
        <f t="shared" si="27"/>
        <v>109</v>
      </c>
    </row>
    <row r="195" spans="1:14" ht="13.5" customHeight="1" x14ac:dyDescent="0.2">
      <c r="A195" s="200" t="str">
        <f t="shared" si="28"/>
        <v>Auxiliar4</v>
      </c>
      <c r="B195" s="200"/>
      <c r="C195" s="200"/>
      <c r="D195" s="200" t="str">
        <f t="shared" si="29"/>
        <v>AA108</v>
      </c>
      <c r="E195" s="200" t="str">
        <f t="shared" si="30"/>
        <v>Get Data</v>
      </c>
      <c r="F195" s="200" t="str">
        <f>'2nd_Post_Processing'!$L$6</f>
        <v>Line</v>
      </c>
      <c r="G195" s="200"/>
      <c r="H195" s="200"/>
      <c r="I195" s="200" t="str">
        <f t="shared" si="31"/>
        <v>Attachmenttype[108]</v>
      </c>
      <c r="J195" s="207">
        <f t="shared" si="23"/>
        <v>110</v>
      </c>
      <c r="K195" s="207" t="str">
        <f t="shared" si="24"/>
        <v/>
      </c>
      <c r="L195" s="207" t="str">
        <f t="shared" si="25"/>
        <v/>
      </c>
      <c r="M195" s="207" t="str">
        <f t="shared" si="26"/>
        <v/>
      </c>
      <c r="N195" s="208">
        <f t="shared" si="27"/>
        <v>110</v>
      </c>
    </row>
    <row r="196" spans="1:14" ht="13.5" customHeight="1" x14ac:dyDescent="0.2">
      <c r="A196" s="200" t="str">
        <f t="shared" si="28"/>
        <v>Auxiliar4</v>
      </c>
      <c r="B196" s="200"/>
      <c r="C196" s="200"/>
      <c r="D196" s="200" t="str">
        <f t="shared" si="29"/>
        <v>AA109</v>
      </c>
      <c r="E196" s="200" t="str">
        <f t="shared" si="30"/>
        <v>Get Data</v>
      </c>
      <c r="F196" s="200" t="str">
        <f>'2nd_Post_Processing'!$L$6</f>
        <v>Line</v>
      </c>
      <c r="G196" s="200"/>
      <c r="H196" s="200"/>
      <c r="I196" s="200" t="str">
        <f t="shared" si="31"/>
        <v>Attachmenttype[109]</v>
      </c>
      <c r="J196" s="207">
        <f t="shared" si="23"/>
        <v>111</v>
      </c>
      <c r="K196" s="207" t="str">
        <f t="shared" si="24"/>
        <v/>
      </c>
      <c r="L196" s="207" t="str">
        <f t="shared" si="25"/>
        <v/>
      </c>
      <c r="M196" s="207" t="str">
        <f t="shared" si="26"/>
        <v/>
      </c>
      <c r="N196" s="208">
        <f t="shared" si="27"/>
        <v>111</v>
      </c>
    </row>
    <row r="197" spans="1:14" ht="13.5" customHeight="1" x14ac:dyDescent="0.2">
      <c r="A197" s="200" t="str">
        <f t="shared" si="28"/>
        <v>Auxiliar4</v>
      </c>
      <c r="B197" s="200"/>
      <c r="C197" s="200"/>
      <c r="D197" s="200" t="str">
        <f t="shared" si="29"/>
        <v>AA110</v>
      </c>
      <c r="E197" s="200" t="str">
        <f t="shared" si="30"/>
        <v>Get Data</v>
      </c>
      <c r="F197" s="200" t="str">
        <f>'2nd_Post_Processing'!$L$6</f>
        <v>Line</v>
      </c>
      <c r="G197" s="200"/>
      <c r="H197" s="200"/>
      <c r="I197" s="200" t="str">
        <f t="shared" si="31"/>
        <v>Attachmenttype[110]</v>
      </c>
      <c r="J197" s="207">
        <f t="shared" si="23"/>
        <v>112</v>
      </c>
      <c r="K197" s="207" t="str">
        <f t="shared" si="24"/>
        <v/>
      </c>
      <c r="L197" s="207" t="str">
        <f t="shared" si="25"/>
        <v/>
      </c>
      <c r="M197" s="207" t="str">
        <f t="shared" si="26"/>
        <v/>
      </c>
      <c r="N197" s="208">
        <f t="shared" si="27"/>
        <v>112</v>
      </c>
    </row>
    <row r="198" spans="1:14" ht="13.5" customHeight="1" x14ac:dyDescent="0.2">
      <c r="A198" s="200" t="str">
        <f t="shared" si="28"/>
        <v>Auxiliar4</v>
      </c>
      <c r="B198" s="200"/>
      <c r="C198" s="200"/>
      <c r="D198" s="200" t="str">
        <f t="shared" si="29"/>
        <v>AA111</v>
      </c>
      <c r="E198" s="200" t="str">
        <f t="shared" si="30"/>
        <v>Get Data</v>
      </c>
      <c r="F198" s="200" t="str">
        <f>'2nd_Post_Processing'!$L$6</f>
        <v>Line</v>
      </c>
      <c r="G198" s="200"/>
      <c r="H198" s="200"/>
      <c r="I198" s="200" t="str">
        <f t="shared" si="31"/>
        <v>Attachmenttype[111]</v>
      </c>
      <c r="J198" s="207">
        <f t="shared" si="23"/>
        <v>113</v>
      </c>
      <c r="K198" s="207" t="str">
        <f t="shared" si="24"/>
        <v/>
      </c>
      <c r="L198" s="207" t="str">
        <f t="shared" si="25"/>
        <v/>
      </c>
      <c r="M198" s="207" t="str">
        <f t="shared" si="26"/>
        <v/>
      </c>
      <c r="N198" s="208">
        <f t="shared" si="27"/>
        <v>113</v>
      </c>
    </row>
    <row r="199" spans="1:14" ht="13.5" customHeight="1" x14ac:dyDescent="0.2">
      <c r="A199" s="200" t="str">
        <f t="shared" si="28"/>
        <v>Auxiliar4</v>
      </c>
      <c r="B199" s="200"/>
      <c r="C199" s="200"/>
      <c r="D199" s="200" t="str">
        <f t="shared" si="29"/>
        <v>AA112</v>
      </c>
      <c r="E199" s="200" t="str">
        <f t="shared" si="30"/>
        <v>Get Data</v>
      </c>
      <c r="F199" s="200" t="str">
        <f>'2nd_Post_Processing'!$L$6</f>
        <v>Line</v>
      </c>
      <c r="G199" s="200"/>
      <c r="H199" s="200"/>
      <c r="I199" s="200" t="str">
        <f t="shared" si="31"/>
        <v>Attachmenttype[112]</v>
      </c>
      <c r="J199" s="207">
        <f t="shared" si="23"/>
        <v>114</v>
      </c>
      <c r="K199" s="207" t="str">
        <f t="shared" si="24"/>
        <v/>
      </c>
      <c r="L199" s="207" t="str">
        <f t="shared" si="25"/>
        <v/>
      </c>
      <c r="M199" s="207" t="str">
        <f t="shared" si="26"/>
        <v/>
      </c>
      <c r="N199" s="208">
        <f t="shared" si="27"/>
        <v>114</v>
      </c>
    </row>
    <row r="200" spans="1:14" ht="13.5" customHeight="1" x14ac:dyDescent="0.2">
      <c r="A200" s="200" t="str">
        <f t="shared" si="28"/>
        <v>Auxiliar4</v>
      </c>
      <c r="B200" s="200"/>
      <c r="C200" s="200"/>
      <c r="D200" s="200" t="str">
        <f t="shared" si="29"/>
        <v>AA113</v>
      </c>
      <c r="E200" s="200" t="str">
        <f t="shared" si="30"/>
        <v>Get Data</v>
      </c>
      <c r="F200" s="200" t="str">
        <f>'2nd_Post_Processing'!$L$6</f>
        <v>Line</v>
      </c>
      <c r="G200" s="200"/>
      <c r="H200" s="200"/>
      <c r="I200" s="200" t="str">
        <f t="shared" si="31"/>
        <v>Attachmenttype[113]</v>
      </c>
      <c r="J200" s="207">
        <f t="shared" si="23"/>
        <v>115</v>
      </c>
      <c r="K200" s="207" t="str">
        <f t="shared" si="24"/>
        <v/>
      </c>
      <c r="L200" s="207" t="str">
        <f t="shared" si="25"/>
        <v/>
      </c>
      <c r="M200" s="207" t="str">
        <f t="shared" si="26"/>
        <v/>
      </c>
      <c r="N200" s="208">
        <f t="shared" si="27"/>
        <v>115</v>
      </c>
    </row>
    <row r="201" spans="1:14" ht="13.5" customHeight="1" x14ac:dyDescent="0.2">
      <c r="A201" s="200" t="str">
        <f t="shared" si="28"/>
        <v>Auxiliar4</v>
      </c>
      <c r="B201" s="200"/>
      <c r="C201" s="200"/>
      <c r="D201" s="200" t="str">
        <f t="shared" si="29"/>
        <v>AA114</v>
      </c>
      <c r="E201" s="200" t="str">
        <f t="shared" si="30"/>
        <v>Get Data</v>
      </c>
      <c r="F201" s="200" t="str">
        <f>'2nd_Post_Processing'!$L$6</f>
        <v>Line</v>
      </c>
      <c r="G201" s="200"/>
      <c r="H201" s="200"/>
      <c r="I201" s="200" t="str">
        <f t="shared" si="31"/>
        <v>Attachmenttype[114]</v>
      </c>
      <c r="J201" s="207">
        <f t="shared" si="23"/>
        <v>116</v>
      </c>
      <c r="K201" s="207" t="str">
        <f t="shared" si="24"/>
        <v/>
      </c>
      <c r="L201" s="207" t="str">
        <f t="shared" si="25"/>
        <v/>
      </c>
      <c r="M201" s="207" t="str">
        <f t="shared" si="26"/>
        <v/>
      </c>
      <c r="N201" s="208">
        <f t="shared" si="27"/>
        <v>116</v>
      </c>
    </row>
    <row r="202" spans="1:14" ht="13.5" customHeight="1" x14ac:dyDescent="0.2">
      <c r="A202" s="200" t="str">
        <f t="shared" si="28"/>
        <v>Auxiliar4</v>
      </c>
      <c r="B202" s="200"/>
      <c r="C202" s="200"/>
      <c r="D202" s="200" t="str">
        <f t="shared" si="29"/>
        <v>AA115</v>
      </c>
      <c r="E202" s="200" t="str">
        <f t="shared" si="30"/>
        <v>Get Data</v>
      </c>
      <c r="F202" s="200" t="str">
        <f>'2nd_Post_Processing'!$L$6</f>
        <v>Line</v>
      </c>
      <c r="G202" s="200"/>
      <c r="H202" s="200"/>
      <c r="I202" s="200" t="str">
        <f t="shared" si="31"/>
        <v>Attachmenttype[115]</v>
      </c>
      <c r="J202" s="207">
        <f t="shared" si="23"/>
        <v>117</v>
      </c>
      <c r="K202" s="207" t="str">
        <f t="shared" si="24"/>
        <v/>
      </c>
      <c r="L202" s="207" t="str">
        <f t="shared" si="25"/>
        <v/>
      </c>
      <c r="M202" s="207" t="str">
        <f t="shared" si="26"/>
        <v/>
      </c>
      <c r="N202" s="208">
        <f t="shared" si="27"/>
        <v>117</v>
      </c>
    </row>
    <row r="203" spans="1:14" ht="13.5" customHeight="1" x14ac:dyDescent="0.2">
      <c r="A203" s="200" t="str">
        <f t="shared" si="28"/>
        <v>Auxiliar4</v>
      </c>
      <c r="B203" s="200"/>
      <c r="C203" s="200"/>
      <c r="D203" s="200" t="str">
        <f t="shared" si="29"/>
        <v>AA116</v>
      </c>
      <c r="E203" s="200" t="str">
        <f t="shared" si="30"/>
        <v>Get Data</v>
      </c>
      <c r="F203" s="200" t="str">
        <f>'2nd_Post_Processing'!$L$6</f>
        <v>Line</v>
      </c>
      <c r="G203" s="200"/>
      <c r="H203" s="200"/>
      <c r="I203" s="200" t="str">
        <f t="shared" si="31"/>
        <v>Attachmenttype[116]</v>
      </c>
      <c r="J203" s="207">
        <f t="shared" si="23"/>
        <v>118</v>
      </c>
      <c r="K203" s="207" t="str">
        <f t="shared" si="24"/>
        <v/>
      </c>
      <c r="L203" s="207" t="str">
        <f t="shared" si="25"/>
        <v/>
      </c>
      <c r="M203" s="207" t="str">
        <f t="shared" si="26"/>
        <v/>
      </c>
      <c r="N203" s="208">
        <f t="shared" si="27"/>
        <v>118</v>
      </c>
    </row>
    <row r="204" spans="1:14" ht="13.5" customHeight="1" x14ac:dyDescent="0.2">
      <c r="A204" s="200" t="str">
        <f t="shared" si="28"/>
        <v>Auxiliar4</v>
      </c>
      <c r="B204" s="200"/>
      <c r="C204" s="200"/>
      <c r="D204" s="200" t="str">
        <f t="shared" si="29"/>
        <v>AA117</v>
      </c>
      <c r="E204" s="200" t="str">
        <f t="shared" si="30"/>
        <v>Get Data</v>
      </c>
      <c r="F204" s="200" t="str">
        <f>'2nd_Post_Processing'!$L$6</f>
        <v>Line</v>
      </c>
      <c r="G204" s="200"/>
      <c r="H204" s="200"/>
      <c r="I204" s="200" t="str">
        <f t="shared" si="31"/>
        <v>Attachmenttype[117]</v>
      </c>
      <c r="J204" s="207">
        <f t="shared" si="23"/>
        <v>119</v>
      </c>
      <c r="K204" s="207" t="str">
        <f t="shared" si="24"/>
        <v/>
      </c>
      <c r="L204" s="207" t="str">
        <f t="shared" si="25"/>
        <v/>
      </c>
      <c r="M204" s="207" t="str">
        <f t="shared" si="26"/>
        <v/>
      </c>
      <c r="N204" s="208">
        <f t="shared" si="27"/>
        <v>119</v>
      </c>
    </row>
    <row r="205" spans="1:14" ht="13.5" customHeight="1" x14ac:dyDescent="0.2">
      <c r="A205" s="200" t="str">
        <f t="shared" si="28"/>
        <v>Auxiliar4</v>
      </c>
      <c r="B205" s="200"/>
      <c r="C205" s="200"/>
      <c r="D205" s="200" t="str">
        <f t="shared" si="29"/>
        <v>AA118</v>
      </c>
      <c r="E205" s="200" t="str">
        <f t="shared" si="30"/>
        <v>Get Data</v>
      </c>
      <c r="F205" s="200" t="str">
        <f>'2nd_Post_Processing'!$L$6</f>
        <v>Line</v>
      </c>
      <c r="G205" s="200"/>
      <c r="H205" s="200"/>
      <c r="I205" s="200" t="str">
        <f t="shared" si="31"/>
        <v>Attachmenttype[118]</v>
      </c>
      <c r="J205" s="207">
        <f t="shared" si="23"/>
        <v>120</v>
      </c>
      <c r="K205" s="207" t="str">
        <f t="shared" si="24"/>
        <v/>
      </c>
      <c r="L205" s="207" t="str">
        <f t="shared" si="25"/>
        <v/>
      </c>
      <c r="M205" s="207" t="str">
        <f t="shared" si="26"/>
        <v/>
      </c>
      <c r="N205" s="208">
        <f t="shared" si="27"/>
        <v>120</v>
      </c>
    </row>
    <row r="206" spans="1:14" ht="13.5" customHeight="1" x14ac:dyDescent="0.2">
      <c r="A206" s="200" t="str">
        <f t="shared" si="28"/>
        <v>Auxiliar4</v>
      </c>
      <c r="B206" s="200"/>
      <c r="C206" s="200"/>
      <c r="D206" s="200" t="str">
        <f t="shared" si="29"/>
        <v>AA119</v>
      </c>
      <c r="E206" s="200" t="str">
        <f t="shared" si="30"/>
        <v>Get Data</v>
      </c>
      <c r="F206" s="200" t="str">
        <f>'2nd_Post_Processing'!$L$6</f>
        <v>Line</v>
      </c>
      <c r="G206" s="200"/>
      <c r="H206" s="200"/>
      <c r="I206" s="200" t="str">
        <f t="shared" si="31"/>
        <v>Attachmenttype[119]</v>
      </c>
      <c r="J206" s="207">
        <f t="shared" si="23"/>
        <v>121</v>
      </c>
      <c r="K206" s="207" t="str">
        <f t="shared" si="24"/>
        <v/>
      </c>
      <c r="L206" s="207" t="str">
        <f t="shared" si="25"/>
        <v/>
      </c>
      <c r="M206" s="207" t="str">
        <f t="shared" si="26"/>
        <v/>
      </c>
      <c r="N206" s="208">
        <f t="shared" si="27"/>
        <v>121</v>
      </c>
    </row>
    <row r="207" spans="1:14" ht="13.5" customHeight="1" x14ac:dyDescent="0.2">
      <c r="A207" s="200" t="str">
        <f t="shared" si="28"/>
        <v>Auxiliar4</v>
      </c>
      <c r="B207" s="200"/>
      <c r="C207" s="200"/>
      <c r="D207" s="200" t="str">
        <f t="shared" si="29"/>
        <v>AA120</v>
      </c>
      <c r="E207" s="200" t="str">
        <f t="shared" si="30"/>
        <v>Get Data</v>
      </c>
      <c r="F207" s="200" t="str">
        <f>'2nd_Post_Processing'!$L$6</f>
        <v>Line</v>
      </c>
      <c r="G207" s="200"/>
      <c r="H207" s="200"/>
      <c r="I207" s="200" t="str">
        <f t="shared" si="31"/>
        <v>Attachmenttype[120]</v>
      </c>
      <c r="J207" s="207">
        <f t="shared" si="23"/>
        <v>122</v>
      </c>
      <c r="K207" s="207" t="str">
        <f t="shared" si="24"/>
        <v/>
      </c>
      <c r="L207" s="207" t="str">
        <f t="shared" si="25"/>
        <v/>
      </c>
      <c r="M207" s="207" t="str">
        <f t="shared" si="26"/>
        <v/>
      </c>
      <c r="N207" s="208">
        <f t="shared" si="27"/>
        <v>122</v>
      </c>
    </row>
    <row r="208" spans="1:14" ht="13.5" customHeight="1" x14ac:dyDescent="0.2">
      <c r="A208" s="200" t="str">
        <f t="shared" si="28"/>
        <v>Auxiliar4</v>
      </c>
      <c r="B208" s="200"/>
      <c r="C208" s="200"/>
      <c r="D208" s="200" t="str">
        <f t="shared" si="29"/>
        <v>AA121</v>
      </c>
      <c r="E208" s="200" t="str">
        <f t="shared" si="30"/>
        <v>Get Data</v>
      </c>
      <c r="F208" s="200" t="str">
        <f>'2nd_Post_Processing'!$L$6</f>
        <v>Line</v>
      </c>
      <c r="G208" s="200"/>
      <c r="H208" s="200"/>
      <c r="I208" s="200" t="str">
        <f t="shared" si="31"/>
        <v>Attachmenttype[121]</v>
      </c>
      <c r="J208" s="207">
        <f t="shared" si="23"/>
        <v>123</v>
      </c>
      <c r="K208" s="207" t="str">
        <f t="shared" si="24"/>
        <v/>
      </c>
      <c r="L208" s="207" t="str">
        <f t="shared" si="25"/>
        <v/>
      </c>
      <c r="M208" s="207" t="str">
        <f t="shared" si="26"/>
        <v/>
      </c>
      <c r="N208" s="208">
        <f t="shared" si="27"/>
        <v>123</v>
      </c>
    </row>
    <row r="209" spans="1:14" ht="13.5" customHeight="1" x14ac:dyDescent="0.2">
      <c r="A209" s="200" t="str">
        <f t="shared" si="28"/>
        <v>Auxiliar4</v>
      </c>
      <c r="B209" s="200"/>
      <c r="C209" s="200"/>
      <c r="D209" s="200" t="str">
        <f t="shared" si="29"/>
        <v>AA122</v>
      </c>
      <c r="E209" s="200" t="str">
        <f t="shared" si="30"/>
        <v>Get Data</v>
      </c>
      <c r="F209" s="200" t="str">
        <f>'2nd_Post_Processing'!$L$6</f>
        <v>Line</v>
      </c>
      <c r="G209" s="200"/>
      <c r="H209" s="200"/>
      <c r="I209" s="200" t="str">
        <f t="shared" si="31"/>
        <v>Attachmenttype[122]</v>
      </c>
      <c r="J209" s="207">
        <f t="shared" si="23"/>
        <v>124</v>
      </c>
      <c r="K209" s="207" t="str">
        <f t="shared" si="24"/>
        <v/>
      </c>
      <c r="L209" s="207" t="str">
        <f t="shared" si="25"/>
        <v/>
      </c>
      <c r="M209" s="207" t="str">
        <f t="shared" si="26"/>
        <v/>
      </c>
      <c r="N209" s="208">
        <f t="shared" si="27"/>
        <v>124</v>
      </c>
    </row>
    <row r="210" spans="1:14" ht="13.5" customHeight="1" x14ac:dyDescent="0.2">
      <c r="A210" s="200" t="str">
        <f t="shared" si="28"/>
        <v>Auxiliar4</v>
      </c>
      <c r="B210" s="200"/>
      <c r="C210" s="200"/>
      <c r="D210" s="200" t="str">
        <f t="shared" si="29"/>
        <v>AA123</v>
      </c>
      <c r="E210" s="200" t="str">
        <f t="shared" si="30"/>
        <v>Get Data</v>
      </c>
      <c r="F210" s="200" t="str">
        <f>'2nd_Post_Processing'!$L$6</f>
        <v>Line</v>
      </c>
      <c r="G210" s="200"/>
      <c r="H210" s="200"/>
      <c r="I210" s="200" t="str">
        <f t="shared" si="31"/>
        <v>Attachmenttype[123]</v>
      </c>
      <c r="J210" s="207">
        <f t="shared" si="23"/>
        <v>125</v>
      </c>
      <c r="K210" s="207" t="str">
        <f t="shared" si="24"/>
        <v/>
      </c>
      <c r="L210" s="207" t="str">
        <f t="shared" si="25"/>
        <v/>
      </c>
      <c r="M210" s="207" t="str">
        <f t="shared" si="26"/>
        <v/>
      </c>
      <c r="N210" s="208">
        <f t="shared" si="27"/>
        <v>125</v>
      </c>
    </row>
    <row r="211" spans="1:14" ht="13.5" customHeight="1" x14ac:dyDescent="0.2">
      <c r="A211" s="200" t="str">
        <f t="shared" si="28"/>
        <v>Auxiliar4</v>
      </c>
      <c r="B211" s="200"/>
      <c r="C211" s="200"/>
      <c r="D211" s="200" t="str">
        <f t="shared" si="29"/>
        <v>AA124</v>
      </c>
      <c r="E211" s="200" t="str">
        <f t="shared" si="30"/>
        <v>Get Data</v>
      </c>
      <c r="F211" s="200" t="str">
        <f>'2nd_Post_Processing'!$L$6</f>
        <v>Line</v>
      </c>
      <c r="G211" s="200"/>
      <c r="H211" s="200"/>
      <c r="I211" s="200" t="str">
        <f t="shared" si="31"/>
        <v>Attachmenttype[124]</v>
      </c>
      <c r="J211" s="207">
        <f t="shared" si="23"/>
        <v>126</v>
      </c>
      <c r="K211" s="207" t="str">
        <f t="shared" si="24"/>
        <v/>
      </c>
      <c r="L211" s="207" t="str">
        <f t="shared" si="25"/>
        <v/>
      </c>
      <c r="M211" s="207" t="str">
        <f t="shared" si="26"/>
        <v/>
      </c>
      <c r="N211" s="208">
        <f t="shared" si="27"/>
        <v>126</v>
      </c>
    </row>
    <row r="212" spans="1:14" ht="13.5" customHeight="1" x14ac:dyDescent="0.2">
      <c r="A212" s="200" t="str">
        <f t="shared" si="28"/>
        <v>Auxiliar4</v>
      </c>
      <c r="B212" s="200"/>
      <c r="C212" s="200"/>
      <c r="D212" s="200" t="str">
        <f t="shared" si="29"/>
        <v>AA125</v>
      </c>
      <c r="E212" s="200" t="str">
        <f t="shared" si="30"/>
        <v>Get Data</v>
      </c>
      <c r="F212" s="200" t="str">
        <f>'2nd_Post_Processing'!$L$6</f>
        <v>Line</v>
      </c>
      <c r="G212" s="200"/>
      <c r="H212" s="200"/>
      <c r="I212" s="200" t="str">
        <f t="shared" si="31"/>
        <v>Attachmenttype[125]</v>
      </c>
      <c r="J212" s="207">
        <f t="shared" si="23"/>
        <v>127</v>
      </c>
      <c r="K212" s="207" t="str">
        <f t="shared" si="24"/>
        <v/>
      </c>
      <c r="L212" s="207" t="str">
        <f t="shared" si="25"/>
        <v/>
      </c>
      <c r="M212" s="207" t="str">
        <f t="shared" si="26"/>
        <v/>
      </c>
      <c r="N212" s="208">
        <f t="shared" si="27"/>
        <v>127</v>
      </c>
    </row>
    <row r="213" spans="1:14" ht="13.5" customHeight="1" x14ac:dyDescent="0.2">
      <c r="A213" s="200" t="str">
        <f t="shared" si="28"/>
        <v>Auxiliar4</v>
      </c>
      <c r="B213" s="200"/>
      <c r="C213" s="200"/>
      <c r="D213" s="200" t="str">
        <f t="shared" si="29"/>
        <v>AA126</v>
      </c>
      <c r="E213" s="200" t="str">
        <f t="shared" si="30"/>
        <v>Get Data</v>
      </c>
      <c r="F213" s="200" t="str">
        <f>'2nd_Post_Processing'!$L$6</f>
        <v>Line</v>
      </c>
      <c r="G213" s="200"/>
      <c r="H213" s="200"/>
      <c r="I213" s="200" t="str">
        <f t="shared" si="31"/>
        <v>Attachmenttype[126]</v>
      </c>
      <c r="J213" s="207">
        <f t="shared" si="23"/>
        <v>128</v>
      </c>
      <c r="K213" s="207" t="str">
        <f t="shared" si="24"/>
        <v/>
      </c>
      <c r="L213" s="207" t="str">
        <f t="shared" si="25"/>
        <v/>
      </c>
      <c r="M213" s="207" t="str">
        <f t="shared" si="26"/>
        <v/>
      </c>
      <c r="N213" s="208">
        <f t="shared" si="27"/>
        <v>128</v>
      </c>
    </row>
    <row r="214" spans="1:14" ht="13.5" customHeight="1" x14ac:dyDescent="0.2">
      <c r="A214" s="200" t="str">
        <f t="shared" si="28"/>
        <v>Auxiliar4</v>
      </c>
      <c r="B214" s="200"/>
      <c r="C214" s="200"/>
      <c r="D214" s="200" t="str">
        <f t="shared" si="29"/>
        <v>AA127</v>
      </c>
      <c r="E214" s="200" t="str">
        <f t="shared" si="30"/>
        <v>Get Data</v>
      </c>
      <c r="F214" s="200" t="str">
        <f>'2nd_Post_Processing'!$L$6</f>
        <v>Line</v>
      </c>
      <c r="G214" s="200"/>
      <c r="H214" s="200"/>
      <c r="I214" s="200" t="str">
        <f t="shared" si="31"/>
        <v>Attachmenttype[127]</v>
      </c>
      <c r="J214" s="207">
        <f t="shared" ref="J214:J277" si="32">IFERROR(IF(J213="",J$26+1,IF(J213=J$84,"j",J213+1)),"jj")</f>
        <v>129</v>
      </c>
      <c r="K214" s="207" t="str">
        <f t="shared" ref="K214:K277" si="33">IF((J214="jj"),IFERROR(IF(K213="",J$26+1,IF(K213=J$76,"k",K213+1)),"kk"),"")</f>
        <v/>
      </c>
      <c r="L214" s="207" t="str">
        <f t="shared" ref="L214:L277" si="34">IF((K214="kk"),IFERROR(IF(L213="",2,IF(L213=J$26,"l",L213+1)),"ll"),"")</f>
        <v/>
      </c>
      <c r="M214" s="207" t="str">
        <f t="shared" ref="M214:M277" si="35">IF(OR(L214="l",L214="ll"),IFERROR(IF(M213="",2,IF(M213=J$26,"m",M213+1)),"mm"),"")</f>
        <v/>
      </c>
      <c r="N214" s="208">
        <f t="shared" si="27"/>
        <v>129</v>
      </c>
    </row>
    <row r="215" spans="1:14" ht="13.5" customHeight="1" x14ac:dyDescent="0.2">
      <c r="A215" s="200" t="str">
        <f t="shared" si="28"/>
        <v>Auxiliar4</v>
      </c>
      <c r="B215" s="200"/>
      <c r="C215" s="200"/>
      <c r="D215" s="200" t="str">
        <f t="shared" si="29"/>
        <v>AA128</v>
      </c>
      <c r="E215" s="200" t="str">
        <f t="shared" si="30"/>
        <v>Get Data</v>
      </c>
      <c r="F215" s="200" t="str">
        <f>'2nd_Post_Processing'!$L$6</f>
        <v>Line</v>
      </c>
      <c r="G215" s="200"/>
      <c r="H215" s="200"/>
      <c r="I215" s="200" t="str">
        <f t="shared" si="31"/>
        <v>Attachmenttype[128]</v>
      </c>
      <c r="J215" s="207">
        <f t="shared" si="32"/>
        <v>130</v>
      </c>
      <c r="K215" s="207" t="str">
        <f t="shared" si="33"/>
        <v/>
      </c>
      <c r="L215" s="207" t="str">
        <f t="shared" si="34"/>
        <v/>
      </c>
      <c r="M215" s="207" t="str">
        <f t="shared" si="35"/>
        <v/>
      </c>
      <c r="N215" s="208">
        <f t="shared" ref="N215:N278" si="36">IF(ISNUMBER(M215),"z",IF(ISNUMBER(L215),L215,IF(ISNUMBER(K215),K215,IF(ISNUMBER(J215),J215,""))))</f>
        <v>130</v>
      </c>
    </row>
    <row r="216" spans="1:14" ht="13.5" customHeight="1" x14ac:dyDescent="0.2">
      <c r="A216" s="200" t="str">
        <f t="shared" si="28"/>
        <v>Auxiliar4</v>
      </c>
      <c r="B216" s="200"/>
      <c r="C216" s="200"/>
      <c r="D216" s="200" t="str">
        <f t="shared" si="29"/>
        <v>AA129</v>
      </c>
      <c r="E216" s="200" t="str">
        <f t="shared" si="30"/>
        <v>Get Data</v>
      </c>
      <c r="F216" s="200" t="str">
        <f>'2nd_Post_Processing'!$L$6</f>
        <v>Line</v>
      </c>
      <c r="G216" s="200"/>
      <c r="H216" s="200"/>
      <c r="I216" s="200" t="str">
        <f t="shared" si="31"/>
        <v>Attachmenttype[129]</v>
      </c>
      <c r="J216" s="207">
        <f t="shared" si="32"/>
        <v>131</v>
      </c>
      <c r="K216" s="207" t="str">
        <f t="shared" si="33"/>
        <v/>
      </c>
      <c r="L216" s="207" t="str">
        <f t="shared" si="34"/>
        <v/>
      </c>
      <c r="M216" s="207" t="str">
        <f t="shared" si="35"/>
        <v/>
      </c>
      <c r="N216" s="208">
        <f t="shared" si="36"/>
        <v>131</v>
      </c>
    </row>
    <row r="217" spans="1:14" ht="13.5" customHeight="1" x14ac:dyDescent="0.2">
      <c r="A217" s="200" t="str">
        <f t="shared" ref="A217:A280" si="37">IF(N215="","",IF(ISNUMBER(J215),"Auxiliar4",IF(ISNUMBER(K215),"Auxiliar3",IF(ISNUMBER(L215),"Auxiliar2",IF(ISNUMBER(M215),"Auxiliar2")))))</f>
        <v>Auxiliar4</v>
      </c>
      <c r="B217" s="200"/>
      <c r="C217" s="200"/>
      <c r="D217" s="200" t="str">
        <f t="shared" ref="D217:D280" si="38">IF(N215="z",CONCATENATE("AB",M215),IF(N215="","",CONCATENATE("AA",N215)))</f>
        <v>AA130</v>
      </c>
      <c r="E217" s="200" t="str">
        <f t="shared" ref="E217:E280" si="39">IF(N215="",IF(J215="j","Load Cont1.sim",IF(K215="k","Load Estatico.sim","")),"Get Data")</f>
        <v>Get Data</v>
      </c>
      <c r="F217" s="200" t="str">
        <f>'2nd_Post_Processing'!$L$6</f>
        <v>Line</v>
      </c>
      <c r="G217" s="200"/>
      <c r="H217" s="200"/>
      <c r="I217" s="200" t="str">
        <f t="shared" ref="I217:I280" si="40">IF(N215="z",CONCATENATE("Attachmentz[",M215,"]"),IF(N215="","",CONCATENATE("Attachmenttype[",N215,"]")))</f>
        <v>Attachmenttype[130]</v>
      </c>
      <c r="J217" s="207">
        <f t="shared" si="32"/>
        <v>132</v>
      </c>
      <c r="K217" s="207" t="str">
        <f t="shared" si="33"/>
        <v/>
      </c>
      <c r="L217" s="207" t="str">
        <f t="shared" si="34"/>
        <v/>
      </c>
      <c r="M217" s="207" t="str">
        <f t="shared" si="35"/>
        <v/>
      </c>
      <c r="N217" s="208">
        <f t="shared" si="36"/>
        <v>132</v>
      </c>
    </row>
    <row r="218" spans="1:14" ht="13.5" customHeight="1" x14ac:dyDescent="0.2">
      <c r="A218" s="200" t="str">
        <f t="shared" si="37"/>
        <v>Auxiliar4</v>
      </c>
      <c r="B218" s="200"/>
      <c r="C218" s="200"/>
      <c r="D218" s="200" t="str">
        <f t="shared" si="38"/>
        <v>AA131</v>
      </c>
      <c r="E218" s="200" t="str">
        <f t="shared" si="39"/>
        <v>Get Data</v>
      </c>
      <c r="F218" s="200" t="str">
        <f>'2nd_Post_Processing'!$L$6</f>
        <v>Line</v>
      </c>
      <c r="G218" s="200"/>
      <c r="H218" s="200"/>
      <c r="I218" s="200" t="str">
        <f t="shared" si="40"/>
        <v>Attachmenttype[131]</v>
      </c>
      <c r="J218" s="207">
        <f t="shared" si="32"/>
        <v>133</v>
      </c>
      <c r="K218" s="207" t="str">
        <f t="shared" si="33"/>
        <v/>
      </c>
      <c r="L218" s="207" t="str">
        <f t="shared" si="34"/>
        <v/>
      </c>
      <c r="M218" s="207" t="str">
        <f t="shared" si="35"/>
        <v/>
      </c>
      <c r="N218" s="208">
        <f t="shared" si="36"/>
        <v>133</v>
      </c>
    </row>
    <row r="219" spans="1:14" ht="13.5" customHeight="1" x14ac:dyDescent="0.2">
      <c r="A219" s="200" t="str">
        <f t="shared" si="37"/>
        <v>Auxiliar4</v>
      </c>
      <c r="B219" s="200"/>
      <c r="C219" s="200"/>
      <c r="D219" s="200" t="str">
        <f t="shared" si="38"/>
        <v>AA132</v>
      </c>
      <c r="E219" s="200" t="str">
        <f t="shared" si="39"/>
        <v>Get Data</v>
      </c>
      <c r="F219" s="200" t="str">
        <f>'2nd_Post_Processing'!$L$6</f>
        <v>Line</v>
      </c>
      <c r="G219" s="200"/>
      <c r="H219" s="200"/>
      <c r="I219" s="200" t="str">
        <f t="shared" si="40"/>
        <v>Attachmenttype[132]</v>
      </c>
      <c r="J219" s="207">
        <f t="shared" si="32"/>
        <v>134</v>
      </c>
      <c r="K219" s="207" t="str">
        <f t="shared" si="33"/>
        <v/>
      </c>
      <c r="L219" s="207" t="str">
        <f t="shared" si="34"/>
        <v/>
      </c>
      <c r="M219" s="207" t="str">
        <f t="shared" si="35"/>
        <v/>
      </c>
      <c r="N219" s="208">
        <f t="shared" si="36"/>
        <v>134</v>
      </c>
    </row>
    <row r="220" spans="1:14" ht="13.5" customHeight="1" x14ac:dyDescent="0.2">
      <c r="A220" s="200" t="str">
        <f t="shared" si="37"/>
        <v>Auxiliar4</v>
      </c>
      <c r="B220" s="200"/>
      <c r="C220" s="200"/>
      <c r="D220" s="200" t="str">
        <f t="shared" si="38"/>
        <v>AA133</v>
      </c>
      <c r="E220" s="200" t="str">
        <f t="shared" si="39"/>
        <v>Get Data</v>
      </c>
      <c r="F220" s="200" t="str">
        <f>'2nd_Post_Processing'!$L$6</f>
        <v>Line</v>
      </c>
      <c r="G220" s="200"/>
      <c r="H220" s="200"/>
      <c r="I220" s="200" t="str">
        <f t="shared" si="40"/>
        <v>Attachmenttype[133]</v>
      </c>
      <c r="J220" s="207">
        <f t="shared" si="32"/>
        <v>135</v>
      </c>
      <c r="K220" s="207" t="str">
        <f t="shared" si="33"/>
        <v/>
      </c>
      <c r="L220" s="207" t="str">
        <f t="shared" si="34"/>
        <v/>
      </c>
      <c r="M220" s="207" t="str">
        <f t="shared" si="35"/>
        <v/>
      </c>
      <c r="N220" s="208">
        <f t="shared" si="36"/>
        <v>135</v>
      </c>
    </row>
    <row r="221" spans="1:14" ht="13.5" customHeight="1" x14ac:dyDescent="0.2">
      <c r="A221" s="200" t="str">
        <f t="shared" si="37"/>
        <v>Auxiliar4</v>
      </c>
      <c r="B221" s="200"/>
      <c r="C221" s="200"/>
      <c r="D221" s="200" t="str">
        <f t="shared" si="38"/>
        <v>AA134</v>
      </c>
      <c r="E221" s="200" t="str">
        <f t="shared" si="39"/>
        <v>Get Data</v>
      </c>
      <c r="F221" s="200" t="str">
        <f>'2nd_Post_Processing'!$L$6</f>
        <v>Line</v>
      </c>
      <c r="G221" s="200"/>
      <c r="H221" s="200"/>
      <c r="I221" s="200" t="str">
        <f t="shared" si="40"/>
        <v>Attachmenttype[134]</v>
      </c>
      <c r="J221" s="207">
        <f t="shared" si="32"/>
        <v>136</v>
      </c>
      <c r="K221" s="207" t="str">
        <f t="shared" si="33"/>
        <v/>
      </c>
      <c r="L221" s="207" t="str">
        <f t="shared" si="34"/>
        <v/>
      </c>
      <c r="M221" s="207" t="str">
        <f t="shared" si="35"/>
        <v/>
      </c>
      <c r="N221" s="208">
        <f t="shared" si="36"/>
        <v>136</v>
      </c>
    </row>
    <row r="222" spans="1:14" ht="13.5" customHeight="1" x14ac:dyDescent="0.2">
      <c r="A222" s="200" t="str">
        <f t="shared" si="37"/>
        <v>Auxiliar4</v>
      </c>
      <c r="B222" s="200"/>
      <c r="C222" s="200"/>
      <c r="D222" s="200" t="str">
        <f t="shared" si="38"/>
        <v>AA135</v>
      </c>
      <c r="E222" s="200" t="str">
        <f t="shared" si="39"/>
        <v>Get Data</v>
      </c>
      <c r="F222" s="200" t="str">
        <f>'2nd_Post_Processing'!$L$6</f>
        <v>Line</v>
      </c>
      <c r="G222" s="200"/>
      <c r="H222" s="200"/>
      <c r="I222" s="200" t="str">
        <f t="shared" si="40"/>
        <v>Attachmenttype[135]</v>
      </c>
      <c r="J222" s="207">
        <f t="shared" si="32"/>
        <v>137</v>
      </c>
      <c r="K222" s="207" t="str">
        <f t="shared" si="33"/>
        <v/>
      </c>
      <c r="L222" s="207" t="str">
        <f t="shared" si="34"/>
        <v/>
      </c>
      <c r="M222" s="207" t="str">
        <f t="shared" si="35"/>
        <v/>
      </c>
      <c r="N222" s="208">
        <f t="shared" si="36"/>
        <v>137</v>
      </c>
    </row>
    <row r="223" spans="1:14" ht="13.5" customHeight="1" x14ac:dyDescent="0.2">
      <c r="A223" s="200" t="str">
        <f t="shared" si="37"/>
        <v>Auxiliar4</v>
      </c>
      <c r="B223" s="200"/>
      <c r="C223" s="200"/>
      <c r="D223" s="200" t="str">
        <f t="shared" si="38"/>
        <v>AA136</v>
      </c>
      <c r="E223" s="200" t="str">
        <f t="shared" si="39"/>
        <v>Get Data</v>
      </c>
      <c r="F223" s="200" t="str">
        <f>'2nd_Post_Processing'!$L$6</f>
        <v>Line</v>
      </c>
      <c r="G223" s="200"/>
      <c r="H223" s="200"/>
      <c r="I223" s="200" t="str">
        <f t="shared" si="40"/>
        <v>Attachmenttype[136]</v>
      </c>
      <c r="J223" s="207">
        <f t="shared" si="32"/>
        <v>138</v>
      </c>
      <c r="K223" s="207" t="str">
        <f t="shared" si="33"/>
        <v/>
      </c>
      <c r="L223" s="207" t="str">
        <f t="shared" si="34"/>
        <v/>
      </c>
      <c r="M223" s="207" t="str">
        <f t="shared" si="35"/>
        <v/>
      </c>
      <c r="N223" s="208">
        <f t="shared" si="36"/>
        <v>138</v>
      </c>
    </row>
    <row r="224" spans="1:14" ht="13.5" customHeight="1" x14ac:dyDescent="0.2">
      <c r="A224" s="200" t="str">
        <f t="shared" si="37"/>
        <v>Auxiliar4</v>
      </c>
      <c r="B224" s="200"/>
      <c r="C224" s="200"/>
      <c r="D224" s="200" t="str">
        <f t="shared" si="38"/>
        <v>AA137</v>
      </c>
      <c r="E224" s="200" t="str">
        <f t="shared" si="39"/>
        <v>Get Data</v>
      </c>
      <c r="F224" s="200" t="str">
        <f>'2nd_Post_Processing'!$L$6</f>
        <v>Line</v>
      </c>
      <c r="G224" s="200"/>
      <c r="H224" s="200"/>
      <c r="I224" s="200" t="str">
        <f t="shared" si="40"/>
        <v>Attachmenttype[137]</v>
      </c>
      <c r="J224" s="207">
        <f t="shared" si="32"/>
        <v>139</v>
      </c>
      <c r="K224" s="207" t="str">
        <f t="shared" si="33"/>
        <v/>
      </c>
      <c r="L224" s="207" t="str">
        <f t="shared" si="34"/>
        <v/>
      </c>
      <c r="M224" s="207" t="str">
        <f t="shared" si="35"/>
        <v/>
      </c>
      <c r="N224" s="208">
        <f t="shared" si="36"/>
        <v>139</v>
      </c>
    </row>
    <row r="225" spans="1:14" ht="13.5" customHeight="1" x14ac:dyDescent="0.2">
      <c r="A225" s="200" t="str">
        <f t="shared" si="37"/>
        <v>Auxiliar4</v>
      </c>
      <c r="B225" s="200"/>
      <c r="C225" s="200"/>
      <c r="D225" s="200" t="str">
        <f t="shared" si="38"/>
        <v>AA138</v>
      </c>
      <c r="E225" s="200" t="str">
        <f t="shared" si="39"/>
        <v>Get Data</v>
      </c>
      <c r="F225" s="200" t="str">
        <f>'2nd_Post_Processing'!$L$6</f>
        <v>Line</v>
      </c>
      <c r="G225" s="200"/>
      <c r="H225" s="200"/>
      <c r="I225" s="200" t="str">
        <f t="shared" si="40"/>
        <v>Attachmenttype[138]</v>
      </c>
      <c r="J225" s="207">
        <f t="shared" si="32"/>
        <v>140</v>
      </c>
      <c r="K225" s="207" t="str">
        <f t="shared" si="33"/>
        <v/>
      </c>
      <c r="L225" s="207" t="str">
        <f t="shared" si="34"/>
        <v/>
      </c>
      <c r="M225" s="207" t="str">
        <f t="shared" si="35"/>
        <v/>
      </c>
      <c r="N225" s="208">
        <f t="shared" si="36"/>
        <v>140</v>
      </c>
    </row>
    <row r="226" spans="1:14" ht="13.5" customHeight="1" x14ac:dyDescent="0.2">
      <c r="A226" s="200" t="str">
        <f t="shared" si="37"/>
        <v>Auxiliar4</v>
      </c>
      <c r="B226" s="200"/>
      <c r="C226" s="200"/>
      <c r="D226" s="200" t="str">
        <f t="shared" si="38"/>
        <v>AA139</v>
      </c>
      <c r="E226" s="200" t="str">
        <f t="shared" si="39"/>
        <v>Get Data</v>
      </c>
      <c r="F226" s="200" t="str">
        <f>'2nd_Post_Processing'!$L$6</f>
        <v>Line</v>
      </c>
      <c r="G226" s="200"/>
      <c r="H226" s="200"/>
      <c r="I226" s="200" t="str">
        <f t="shared" si="40"/>
        <v>Attachmenttype[139]</v>
      </c>
      <c r="J226" s="207">
        <f t="shared" si="32"/>
        <v>141</v>
      </c>
      <c r="K226" s="207" t="str">
        <f t="shared" si="33"/>
        <v/>
      </c>
      <c r="L226" s="207" t="str">
        <f t="shared" si="34"/>
        <v/>
      </c>
      <c r="M226" s="207" t="str">
        <f t="shared" si="35"/>
        <v/>
      </c>
      <c r="N226" s="208">
        <f t="shared" si="36"/>
        <v>141</v>
      </c>
    </row>
    <row r="227" spans="1:14" ht="13.5" customHeight="1" x14ac:dyDescent="0.2">
      <c r="A227" s="200" t="str">
        <f t="shared" si="37"/>
        <v>Auxiliar4</v>
      </c>
      <c r="B227" s="200"/>
      <c r="C227" s="200"/>
      <c r="D227" s="200" t="str">
        <f t="shared" si="38"/>
        <v>AA140</v>
      </c>
      <c r="E227" s="200" t="str">
        <f t="shared" si="39"/>
        <v>Get Data</v>
      </c>
      <c r="F227" s="200" t="str">
        <f>'2nd_Post_Processing'!$L$6</f>
        <v>Line</v>
      </c>
      <c r="G227" s="200"/>
      <c r="H227" s="200"/>
      <c r="I227" s="200" t="str">
        <f t="shared" si="40"/>
        <v>Attachmenttype[140]</v>
      </c>
      <c r="J227" s="207">
        <f t="shared" si="32"/>
        <v>142</v>
      </c>
      <c r="K227" s="207" t="str">
        <f t="shared" si="33"/>
        <v/>
      </c>
      <c r="L227" s="207" t="str">
        <f t="shared" si="34"/>
        <v/>
      </c>
      <c r="M227" s="207" t="str">
        <f t="shared" si="35"/>
        <v/>
      </c>
      <c r="N227" s="208">
        <f t="shared" si="36"/>
        <v>142</v>
      </c>
    </row>
    <row r="228" spans="1:14" ht="13.5" customHeight="1" x14ac:dyDescent="0.2">
      <c r="A228" s="200" t="str">
        <f t="shared" si="37"/>
        <v>Auxiliar4</v>
      </c>
      <c r="B228" s="200"/>
      <c r="C228" s="200"/>
      <c r="D228" s="200" t="str">
        <f t="shared" si="38"/>
        <v>AA141</v>
      </c>
      <c r="E228" s="200" t="str">
        <f t="shared" si="39"/>
        <v>Get Data</v>
      </c>
      <c r="F228" s="200" t="str">
        <f>'2nd_Post_Processing'!$L$6</f>
        <v>Line</v>
      </c>
      <c r="G228" s="200"/>
      <c r="H228" s="200"/>
      <c r="I228" s="200" t="str">
        <f t="shared" si="40"/>
        <v>Attachmenttype[141]</v>
      </c>
      <c r="J228" s="207">
        <f t="shared" si="32"/>
        <v>143</v>
      </c>
      <c r="K228" s="207" t="str">
        <f t="shared" si="33"/>
        <v/>
      </c>
      <c r="L228" s="207" t="str">
        <f t="shared" si="34"/>
        <v/>
      </c>
      <c r="M228" s="207" t="str">
        <f t="shared" si="35"/>
        <v/>
      </c>
      <c r="N228" s="208">
        <f t="shared" si="36"/>
        <v>143</v>
      </c>
    </row>
    <row r="229" spans="1:14" ht="13.5" customHeight="1" x14ac:dyDescent="0.2">
      <c r="A229" s="200" t="str">
        <f t="shared" si="37"/>
        <v>Auxiliar4</v>
      </c>
      <c r="B229" s="200"/>
      <c r="C229" s="200"/>
      <c r="D229" s="200" t="str">
        <f t="shared" si="38"/>
        <v>AA142</v>
      </c>
      <c r="E229" s="200" t="str">
        <f t="shared" si="39"/>
        <v>Get Data</v>
      </c>
      <c r="F229" s="200" t="str">
        <f>'2nd_Post_Processing'!$L$6</f>
        <v>Line</v>
      </c>
      <c r="G229" s="200"/>
      <c r="H229" s="200"/>
      <c r="I229" s="200" t="str">
        <f t="shared" si="40"/>
        <v>Attachmenttype[142]</v>
      </c>
      <c r="J229" s="207">
        <f t="shared" si="32"/>
        <v>144</v>
      </c>
      <c r="K229" s="207" t="str">
        <f t="shared" si="33"/>
        <v/>
      </c>
      <c r="L229" s="207" t="str">
        <f t="shared" si="34"/>
        <v/>
      </c>
      <c r="M229" s="207" t="str">
        <f t="shared" si="35"/>
        <v/>
      </c>
      <c r="N229" s="208">
        <f t="shared" si="36"/>
        <v>144</v>
      </c>
    </row>
    <row r="230" spans="1:14" ht="13.5" customHeight="1" x14ac:dyDescent="0.2">
      <c r="A230" s="200" t="str">
        <f t="shared" si="37"/>
        <v>Auxiliar4</v>
      </c>
      <c r="B230" s="200"/>
      <c r="C230" s="200"/>
      <c r="D230" s="200" t="str">
        <f t="shared" si="38"/>
        <v>AA143</v>
      </c>
      <c r="E230" s="200" t="str">
        <f t="shared" si="39"/>
        <v>Get Data</v>
      </c>
      <c r="F230" s="200" t="str">
        <f>'2nd_Post_Processing'!$L$6</f>
        <v>Line</v>
      </c>
      <c r="G230" s="200"/>
      <c r="H230" s="200"/>
      <c r="I230" s="200" t="str">
        <f t="shared" si="40"/>
        <v>Attachmenttype[143]</v>
      </c>
      <c r="J230" s="207">
        <f t="shared" si="32"/>
        <v>145</v>
      </c>
      <c r="K230" s="207" t="str">
        <f t="shared" si="33"/>
        <v/>
      </c>
      <c r="L230" s="207" t="str">
        <f t="shared" si="34"/>
        <v/>
      </c>
      <c r="M230" s="207" t="str">
        <f t="shared" si="35"/>
        <v/>
      </c>
      <c r="N230" s="208">
        <f t="shared" si="36"/>
        <v>145</v>
      </c>
    </row>
    <row r="231" spans="1:14" ht="13.5" customHeight="1" x14ac:dyDescent="0.2">
      <c r="A231" s="200" t="str">
        <f t="shared" si="37"/>
        <v>Auxiliar4</v>
      </c>
      <c r="B231" s="200"/>
      <c r="C231" s="200"/>
      <c r="D231" s="200" t="str">
        <f t="shared" si="38"/>
        <v>AA144</v>
      </c>
      <c r="E231" s="200" t="str">
        <f t="shared" si="39"/>
        <v>Get Data</v>
      </c>
      <c r="F231" s="200" t="str">
        <f>'2nd_Post_Processing'!$L$6</f>
        <v>Line</v>
      </c>
      <c r="G231" s="200"/>
      <c r="H231" s="200"/>
      <c r="I231" s="200" t="str">
        <f t="shared" si="40"/>
        <v>Attachmenttype[144]</v>
      </c>
      <c r="J231" s="207">
        <f t="shared" si="32"/>
        <v>146</v>
      </c>
      <c r="K231" s="207" t="str">
        <f t="shared" si="33"/>
        <v/>
      </c>
      <c r="L231" s="207" t="str">
        <f t="shared" si="34"/>
        <v/>
      </c>
      <c r="M231" s="207" t="str">
        <f t="shared" si="35"/>
        <v/>
      </c>
      <c r="N231" s="208">
        <f t="shared" si="36"/>
        <v>146</v>
      </c>
    </row>
    <row r="232" spans="1:14" ht="13.5" customHeight="1" x14ac:dyDescent="0.2">
      <c r="A232" s="200" t="str">
        <f t="shared" si="37"/>
        <v>Auxiliar4</v>
      </c>
      <c r="B232" s="200"/>
      <c r="C232" s="200"/>
      <c r="D232" s="200" t="str">
        <f t="shared" si="38"/>
        <v>AA145</v>
      </c>
      <c r="E232" s="200" t="str">
        <f t="shared" si="39"/>
        <v>Get Data</v>
      </c>
      <c r="F232" s="200" t="str">
        <f>'2nd_Post_Processing'!$L$6</f>
        <v>Line</v>
      </c>
      <c r="G232" s="200"/>
      <c r="H232" s="200"/>
      <c r="I232" s="200" t="str">
        <f t="shared" si="40"/>
        <v>Attachmenttype[145]</v>
      </c>
      <c r="J232" s="207">
        <f t="shared" si="32"/>
        <v>147</v>
      </c>
      <c r="K232" s="207" t="str">
        <f t="shared" si="33"/>
        <v/>
      </c>
      <c r="L232" s="207" t="str">
        <f t="shared" si="34"/>
        <v/>
      </c>
      <c r="M232" s="207" t="str">
        <f t="shared" si="35"/>
        <v/>
      </c>
      <c r="N232" s="208">
        <f t="shared" si="36"/>
        <v>147</v>
      </c>
    </row>
    <row r="233" spans="1:14" ht="13.5" customHeight="1" x14ac:dyDescent="0.2">
      <c r="A233" s="200" t="str">
        <f t="shared" si="37"/>
        <v>Auxiliar4</v>
      </c>
      <c r="B233" s="200"/>
      <c r="C233" s="200"/>
      <c r="D233" s="200" t="str">
        <f t="shared" si="38"/>
        <v>AA146</v>
      </c>
      <c r="E233" s="200" t="str">
        <f t="shared" si="39"/>
        <v>Get Data</v>
      </c>
      <c r="F233" s="200" t="str">
        <f>'2nd_Post_Processing'!$L$6</f>
        <v>Line</v>
      </c>
      <c r="G233" s="200"/>
      <c r="H233" s="200"/>
      <c r="I233" s="200" t="str">
        <f t="shared" si="40"/>
        <v>Attachmenttype[146]</v>
      </c>
      <c r="J233" s="207">
        <f t="shared" si="32"/>
        <v>148</v>
      </c>
      <c r="K233" s="207" t="str">
        <f t="shared" si="33"/>
        <v/>
      </c>
      <c r="L233" s="207" t="str">
        <f t="shared" si="34"/>
        <v/>
      </c>
      <c r="M233" s="207" t="str">
        <f t="shared" si="35"/>
        <v/>
      </c>
      <c r="N233" s="208">
        <f t="shared" si="36"/>
        <v>148</v>
      </c>
    </row>
    <row r="234" spans="1:14" ht="13.5" customHeight="1" x14ac:dyDescent="0.2">
      <c r="A234" s="200" t="str">
        <f t="shared" si="37"/>
        <v>Auxiliar4</v>
      </c>
      <c r="B234" s="200"/>
      <c r="C234" s="200"/>
      <c r="D234" s="200" t="str">
        <f t="shared" si="38"/>
        <v>AA147</v>
      </c>
      <c r="E234" s="200" t="str">
        <f t="shared" si="39"/>
        <v>Get Data</v>
      </c>
      <c r="F234" s="200" t="str">
        <f>'2nd_Post_Processing'!$L$6</f>
        <v>Line</v>
      </c>
      <c r="G234" s="200"/>
      <c r="H234" s="200"/>
      <c r="I234" s="200" t="str">
        <f t="shared" si="40"/>
        <v>Attachmenttype[147]</v>
      </c>
      <c r="J234" s="207">
        <f t="shared" si="32"/>
        <v>149</v>
      </c>
      <c r="K234" s="207" t="str">
        <f t="shared" si="33"/>
        <v/>
      </c>
      <c r="L234" s="207" t="str">
        <f t="shared" si="34"/>
        <v/>
      </c>
      <c r="M234" s="207" t="str">
        <f t="shared" si="35"/>
        <v/>
      </c>
      <c r="N234" s="208">
        <f t="shared" si="36"/>
        <v>149</v>
      </c>
    </row>
    <row r="235" spans="1:14" ht="13.5" customHeight="1" x14ac:dyDescent="0.2">
      <c r="A235" s="200" t="str">
        <f t="shared" si="37"/>
        <v>Auxiliar4</v>
      </c>
      <c r="B235" s="200"/>
      <c r="C235" s="200"/>
      <c r="D235" s="200" t="str">
        <f t="shared" si="38"/>
        <v>AA148</v>
      </c>
      <c r="E235" s="200" t="str">
        <f t="shared" si="39"/>
        <v>Get Data</v>
      </c>
      <c r="F235" s="200" t="str">
        <f>'2nd_Post_Processing'!$L$6</f>
        <v>Line</v>
      </c>
      <c r="G235" s="200"/>
      <c r="H235" s="200"/>
      <c r="I235" s="200" t="str">
        <f t="shared" si="40"/>
        <v>Attachmenttype[148]</v>
      </c>
      <c r="J235" s="207">
        <f t="shared" si="32"/>
        <v>150</v>
      </c>
      <c r="K235" s="207" t="str">
        <f t="shared" si="33"/>
        <v/>
      </c>
      <c r="L235" s="207" t="str">
        <f t="shared" si="34"/>
        <v/>
      </c>
      <c r="M235" s="207" t="str">
        <f t="shared" si="35"/>
        <v/>
      </c>
      <c r="N235" s="208">
        <f t="shared" si="36"/>
        <v>150</v>
      </c>
    </row>
    <row r="236" spans="1:14" ht="13.5" customHeight="1" x14ac:dyDescent="0.2">
      <c r="A236" s="200" t="str">
        <f t="shared" si="37"/>
        <v>Auxiliar4</v>
      </c>
      <c r="B236" s="200"/>
      <c r="C236" s="200"/>
      <c r="D236" s="200" t="str">
        <f t="shared" si="38"/>
        <v>AA149</v>
      </c>
      <c r="E236" s="200" t="str">
        <f t="shared" si="39"/>
        <v>Get Data</v>
      </c>
      <c r="F236" s="200" t="str">
        <f>'2nd_Post_Processing'!$L$6</f>
        <v>Line</v>
      </c>
      <c r="G236" s="200"/>
      <c r="H236" s="200"/>
      <c r="I236" s="200" t="str">
        <f t="shared" si="40"/>
        <v>Attachmenttype[149]</v>
      </c>
      <c r="J236" s="207">
        <f t="shared" si="32"/>
        <v>151</v>
      </c>
      <c r="K236" s="207" t="str">
        <f t="shared" si="33"/>
        <v/>
      </c>
      <c r="L236" s="207" t="str">
        <f t="shared" si="34"/>
        <v/>
      </c>
      <c r="M236" s="207" t="str">
        <f t="shared" si="35"/>
        <v/>
      </c>
      <c r="N236" s="208">
        <f t="shared" si="36"/>
        <v>151</v>
      </c>
    </row>
    <row r="237" spans="1:14" ht="13.5" customHeight="1" x14ac:dyDescent="0.2">
      <c r="A237" s="200" t="str">
        <f t="shared" si="37"/>
        <v>Auxiliar4</v>
      </c>
      <c r="B237" s="200"/>
      <c r="C237" s="200"/>
      <c r="D237" s="200" t="str">
        <f t="shared" si="38"/>
        <v>AA150</v>
      </c>
      <c r="E237" s="200" t="str">
        <f t="shared" si="39"/>
        <v>Get Data</v>
      </c>
      <c r="F237" s="200" t="str">
        <f>'2nd_Post_Processing'!$L$6</f>
        <v>Line</v>
      </c>
      <c r="G237" s="200"/>
      <c r="H237" s="200"/>
      <c r="I237" s="200" t="str">
        <f t="shared" si="40"/>
        <v>Attachmenttype[150]</v>
      </c>
      <c r="J237" s="207">
        <f t="shared" si="32"/>
        <v>152</v>
      </c>
      <c r="K237" s="207" t="str">
        <f t="shared" si="33"/>
        <v/>
      </c>
      <c r="L237" s="207" t="str">
        <f t="shared" si="34"/>
        <v/>
      </c>
      <c r="M237" s="207" t="str">
        <f t="shared" si="35"/>
        <v/>
      </c>
      <c r="N237" s="208">
        <f t="shared" si="36"/>
        <v>152</v>
      </c>
    </row>
    <row r="238" spans="1:14" ht="13.5" customHeight="1" x14ac:dyDescent="0.2">
      <c r="A238" s="200" t="str">
        <f t="shared" si="37"/>
        <v>Auxiliar4</v>
      </c>
      <c r="B238" s="200"/>
      <c r="C238" s="200"/>
      <c r="D238" s="200" t="str">
        <f t="shared" si="38"/>
        <v>AA151</v>
      </c>
      <c r="E238" s="200" t="str">
        <f t="shared" si="39"/>
        <v>Get Data</v>
      </c>
      <c r="F238" s="200" t="str">
        <f>'2nd_Post_Processing'!$L$6</f>
        <v>Line</v>
      </c>
      <c r="G238" s="200"/>
      <c r="H238" s="200"/>
      <c r="I238" s="200" t="str">
        <f t="shared" si="40"/>
        <v>Attachmenttype[151]</v>
      </c>
      <c r="J238" s="207">
        <f t="shared" si="32"/>
        <v>153</v>
      </c>
      <c r="K238" s="207" t="str">
        <f t="shared" si="33"/>
        <v/>
      </c>
      <c r="L238" s="207" t="str">
        <f t="shared" si="34"/>
        <v/>
      </c>
      <c r="M238" s="207" t="str">
        <f t="shared" si="35"/>
        <v/>
      </c>
      <c r="N238" s="208">
        <f t="shared" si="36"/>
        <v>153</v>
      </c>
    </row>
    <row r="239" spans="1:14" ht="13.5" customHeight="1" x14ac:dyDescent="0.2">
      <c r="A239" s="200" t="str">
        <f t="shared" si="37"/>
        <v>Auxiliar4</v>
      </c>
      <c r="B239" s="200"/>
      <c r="C239" s="200"/>
      <c r="D239" s="200" t="str">
        <f t="shared" si="38"/>
        <v>AA152</v>
      </c>
      <c r="E239" s="200" t="str">
        <f t="shared" si="39"/>
        <v>Get Data</v>
      </c>
      <c r="F239" s="200" t="str">
        <f>'2nd_Post_Processing'!$L$6</f>
        <v>Line</v>
      </c>
      <c r="G239" s="200"/>
      <c r="H239" s="200"/>
      <c r="I239" s="200" t="str">
        <f t="shared" si="40"/>
        <v>Attachmenttype[152]</v>
      </c>
      <c r="J239" s="207">
        <f t="shared" si="32"/>
        <v>154</v>
      </c>
      <c r="K239" s="207" t="str">
        <f t="shared" si="33"/>
        <v/>
      </c>
      <c r="L239" s="207" t="str">
        <f t="shared" si="34"/>
        <v/>
      </c>
      <c r="M239" s="207" t="str">
        <f t="shared" si="35"/>
        <v/>
      </c>
      <c r="N239" s="208">
        <f t="shared" si="36"/>
        <v>154</v>
      </c>
    </row>
    <row r="240" spans="1:14" ht="13.5" customHeight="1" x14ac:dyDescent="0.2">
      <c r="A240" s="200" t="str">
        <f t="shared" si="37"/>
        <v>Auxiliar4</v>
      </c>
      <c r="B240" s="200"/>
      <c r="C240" s="200"/>
      <c r="D240" s="200" t="str">
        <f t="shared" si="38"/>
        <v>AA153</v>
      </c>
      <c r="E240" s="200" t="str">
        <f t="shared" si="39"/>
        <v>Get Data</v>
      </c>
      <c r="F240" s="200" t="str">
        <f>'2nd_Post_Processing'!$L$6</f>
        <v>Line</v>
      </c>
      <c r="G240" s="200"/>
      <c r="H240" s="200"/>
      <c r="I240" s="200" t="str">
        <f t="shared" si="40"/>
        <v>Attachmenttype[153]</v>
      </c>
      <c r="J240" s="207">
        <f t="shared" si="32"/>
        <v>155</v>
      </c>
      <c r="K240" s="207" t="str">
        <f t="shared" si="33"/>
        <v/>
      </c>
      <c r="L240" s="207" t="str">
        <f t="shared" si="34"/>
        <v/>
      </c>
      <c r="M240" s="207" t="str">
        <f t="shared" si="35"/>
        <v/>
      </c>
      <c r="N240" s="208">
        <f t="shared" si="36"/>
        <v>155</v>
      </c>
    </row>
    <row r="241" spans="1:14" ht="13.5" customHeight="1" x14ac:dyDescent="0.2">
      <c r="A241" s="200" t="str">
        <f t="shared" si="37"/>
        <v>Auxiliar4</v>
      </c>
      <c r="B241" s="200"/>
      <c r="C241" s="200"/>
      <c r="D241" s="200" t="str">
        <f t="shared" si="38"/>
        <v>AA154</v>
      </c>
      <c r="E241" s="200" t="str">
        <f t="shared" si="39"/>
        <v>Get Data</v>
      </c>
      <c r="F241" s="200" t="str">
        <f>'2nd_Post_Processing'!$L$6</f>
        <v>Line</v>
      </c>
      <c r="G241" s="200"/>
      <c r="H241" s="200"/>
      <c r="I241" s="200" t="str">
        <f t="shared" si="40"/>
        <v>Attachmenttype[154]</v>
      </c>
      <c r="J241" s="207">
        <f t="shared" si="32"/>
        <v>156</v>
      </c>
      <c r="K241" s="207" t="str">
        <f t="shared" si="33"/>
        <v/>
      </c>
      <c r="L241" s="207" t="str">
        <f t="shared" si="34"/>
        <v/>
      </c>
      <c r="M241" s="207" t="str">
        <f t="shared" si="35"/>
        <v/>
      </c>
      <c r="N241" s="208">
        <f t="shared" si="36"/>
        <v>156</v>
      </c>
    </row>
    <row r="242" spans="1:14" ht="13.5" customHeight="1" x14ac:dyDescent="0.2">
      <c r="A242" s="200" t="str">
        <f t="shared" si="37"/>
        <v>Auxiliar4</v>
      </c>
      <c r="B242" s="200"/>
      <c r="C242" s="200"/>
      <c r="D242" s="200" t="str">
        <f t="shared" si="38"/>
        <v>AA155</v>
      </c>
      <c r="E242" s="200" t="str">
        <f t="shared" si="39"/>
        <v>Get Data</v>
      </c>
      <c r="F242" s="200" t="str">
        <f>'2nd_Post_Processing'!$L$6</f>
        <v>Line</v>
      </c>
      <c r="G242" s="200"/>
      <c r="H242" s="200"/>
      <c r="I242" s="200" t="str">
        <f t="shared" si="40"/>
        <v>Attachmenttype[155]</v>
      </c>
      <c r="J242" s="207">
        <f t="shared" si="32"/>
        <v>157</v>
      </c>
      <c r="K242" s="207" t="str">
        <f t="shared" si="33"/>
        <v/>
      </c>
      <c r="L242" s="207" t="str">
        <f t="shared" si="34"/>
        <v/>
      </c>
      <c r="M242" s="207" t="str">
        <f t="shared" si="35"/>
        <v/>
      </c>
      <c r="N242" s="208">
        <f t="shared" si="36"/>
        <v>157</v>
      </c>
    </row>
    <row r="243" spans="1:14" ht="13.5" customHeight="1" x14ac:dyDescent="0.2">
      <c r="A243" s="200" t="str">
        <f t="shared" si="37"/>
        <v>Auxiliar4</v>
      </c>
      <c r="B243" s="200"/>
      <c r="C243" s="200"/>
      <c r="D243" s="200" t="str">
        <f t="shared" si="38"/>
        <v>AA156</v>
      </c>
      <c r="E243" s="200" t="str">
        <f t="shared" si="39"/>
        <v>Get Data</v>
      </c>
      <c r="F243" s="200" t="str">
        <f>'2nd_Post_Processing'!$L$6</f>
        <v>Line</v>
      </c>
      <c r="G243" s="200"/>
      <c r="H243" s="200"/>
      <c r="I243" s="200" t="str">
        <f t="shared" si="40"/>
        <v>Attachmenttype[156]</v>
      </c>
      <c r="J243" s="207">
        <f t="shared" si="32"/>
        <v>158</v>
      </c>
      <c r="K243" s="207" t="str">
        <f t="shared" si="33"/>
        <v/>
      </c>
      <c r="L243" s="207" t="str">
        <f t="shared" si="34"/>
        <v/>
      </c>
      <c r="M243" s="207" t="str">
        <f t="shared" si="35"/>
        <v/>
      </c>
      <c r="N243" s="208">
        <f t="shared" si="36"/>
        <v>158</v>
      </c>
    </row>
    <row r="244" spans="1:14" ht="13.5" customHeight="1" x14ac:dyDescent="0.2">
      <c r="A244" s="200" t="str">
        <f t="shared" si="37"/>
        <v>Auxiliar4</v>
      </c>
      <c r="B244" s="200"/>
      <c r="C244" s="200"/>
      <c r="D244" s="200" t="str">
        <f t="shared" si="38"/>
        <v>AA157</v>
      </c>
      <c r="E244" s="200" t="str">
        <f t="shared" si="39"/>
        <v>Get Data</v>
      </c>
      <c r="F244" s="200" t="str">
        <f>'2nd_Post_Processing'!$L$6</f>
        <v>Line</v>
      </c>
      <c r="G244" s="200"/>
      <c r="H244" s="200"/>
      <c r="I244" s="200" t="str">
        <f t="shared" si="40"/>
        <v>Attachmenttype[157]</v>
      </c>
      <c r="J244" s="207">
        <f t="shared" si="32"/>
        <v>159</v>
      </c>
      <c r="K244" s="207" t="str">
        <f t="shared" si="33"/>
        <v/>
      </c>
      <c r="L244" s="207" t="str">
        <f t="shared" si="34"/>
        <v/>
      </c>
      <c r="M244" s="207" t="str">
        <f t="shared" si="35"/>
        <v/>
      </c>
      <c r="N244" s="208">
        <f t="shared" si="36"/>
        <v>159</v>
      </c>
    </row>
    <row r="245" spans="1:14" ht="13.5" customHeight="1" x14ac:dyDescent="0.2">
      <c r="A245" s="200" t="str">
        <f t="shared" si="37"/>
        <v>Auxiliar4</v>
      </c>
      <c r="B245" s="200"/>
      <c r="C245" s="200"/>
      <c r="D245" s="200" t="str">
        <f t="shared" si="38"/>
        <v>AA158</v>
      </c>
      <c r="E245" s="200" t="str">
        <f t="shared" si="39"/>
        <v>Get Data</v>
      </c>
      <c r="F245" s="200" t="str">
        <f>'2nd_Post_Processing'!$L$6</f>
        <v>Line</v>
      </c>
      <c r="G245" s="200"/>
      <c r="H245" s="200"/>
      <c r="I245" s="200" t="str">
        <f t="shared" si="40"/>
        <v>Attachmenttype[158]</v>
      </c>
      <c r="J245" s="207">
        <f t="shared" si="32"/>
        <v>160</v>
      </c>
      <c r="K245" s="207" t="str">
        <f t="shared" si="33"/>
        <v/>
      </c>
      <c r="L245" s="207" t="str">
        <f t="shared" si="34"/>
        <v/>
      </c>
      <c r="M245" s="207" t="str">
        <f t="shared" si="35"/>
        <v/>
      </c>
      <c r="N245" s="208">
        <f t="shared" si="36"/>
        <v>160</v>
      </c>
    </row>
    <row r="246" spans="1:14" ht="13.5" customHeight="1" x14ac:dyDescent="0.2">
      <c r="A246" s="200" t="str">
        <f t="shared" si="37"/>
        <v>Auxiliar4</v>
      </c>
      <c r="B246" s="200"/>
      <c r="C246" s="200"/>
      <c r="D246" s="200" t="str">
        <f t="shared" si="38"/>
        <v>AA159</v>
      </c>
      <c r="E246" s="200" t="str">
        <f t="shared" si="39"/>
        <v>Get Data</v>
      </c>
      <c r="F246" s="200" t="str">
        <f>'2nd_Post_Processing'!$L$6</f>
        <v>Line</v>
      </c>
      <c r="G246" s="200"/>
      <c r="H246" s="200"/>
      <c r="I246" s="200" t="str">
        <f t="shared" si="40"/>
        <v>Attachmenttype[159]</v>
      </c>
      <c r="J246" s="207">
        <f t="shared" si="32"/>
        <v>161</v>
      </c>
      <c r="K246" s="207" t="str">
        <f t="shared" si="33"/>
        <v/>
      </c>
      <c r="L246" s="207" t="str">
        <f t="shared" si="34"/>
        <v/>
      </c>
      <c r="M246" s="207" t="str">
        <f t="shared" si="35"/>
        <v/>
      </c>
      <c r="N246" s="208">
        <f t="shared" si="36"/>
        <v>161</v>
      </c>
    </row>
    <row r="247" spans="1:14" ht="13.5" customHeight="1" x14ac:dyDescent="0.2">
      <c r="A247" s="200" t="str">
        <f t="shared" si="37"/>
        <v>Auxiliar4</v>
      </c>
      <c r="B247" s="200"/>
      <c r="C247" s="200"/>
      <c r="D247" s="200" t="str">
        <f t="shared" si="38"/>
        <v>AA160</v>
      </c>
      <c r="E247" s="200" t="str">
        <f t="shared" si="39"/>
        <v>Get Data</v>
      </c>
      <c r="F247" s="200" t="str">
        <f>'2nd_Post_Processing'!$L$6</f>
        <v>Line</v>
      </c>
      <c r="G247" s="200"/>
      <c r="H247" s="200"/>
      <c r="I247" s="200" t="str">
        <f t="shared" si="40"/>
        <v>Attachmenttype[160]</v>
      </c>
      <c r="J247" s="207">
        <f t="shared" si="32"/>
        <v>162</v>
      </c>
      <c r="K247" s="207" t="str">
        <f t="shared" si="33"/>
        <v/>
      </c>
      <c r="L247" s="207" t="str">
        <f t="shared" si="34"/>
        <v/>
      </c>
      <c r="M247" s="207" t="str">
        <f t="shared" si="35"/>
        <v/>
      </c>
      <c r="N247" s="208">
        <f t="shared" si="36"/>
        <v>162</v>
      </c>
    </row>
    <row r="248" spans="1:14" ht="13.5" customHeight="1" x14ac:dyDescent="0.2">
      <c r="A248" s="200" t="str">
        <f t="shared" si="37"/>
        <v>Auxiliar4</v>
      </c>
      <c r="B248" s="200"/>
      <c r="C248" s="200"/>
      <c r="D248" s="200" t="str">
        <f t="shared" si="38"/>
        <v>AA161</v>
      </c>
      <c r="E248" s="200" t="str">
        <f t="shared" si="39"/>
        <v>Get Data</v>
      </c>
      <c r="F248" s="200" t="str">
        <f>'2nd_Post_Processing'!$L$6</f>
        <v>Line</v>
      </c>
      <c r="G248" s="200"/>
      <c r="H248" s="200"/>
      <c r="I248" s="200" t="str">
        <f t="shared" si="40"/>
        <v>Attachmenttype[161]</v>
      </c>
      <c r="J248" s="207">
        <f t="shared" si="32"/>
        <v>163</v>
      </c>
      <c r="K248" s="207" t="str">
        <f t="shared" si="33"/>
        <v/>
      </c>
      <c r="L248" s="207" t="str">
        <f t="shared" si="34"/>
        <v/>
      </c>
      <c r="M248" s="207" t="str">
        <f t="shared" si="35"/>
        <v/>
      </c>
      <c r="N248" s="208">
        <f t="shared" si="36"/>
        <v>163</v>
      </c>
    </row>
    <row r="249" spans="1:14" ht="13.5" customHeight="1" x14ac:dyDescent="0.2">
      <c r="A249" s="200" t="str">
        <f t="shared" si="37"/>
        <v>Auxiliar4</v>
      </c>
      <c r="B249" s="200"/>
      <c r="C249" s="200"/>
      <c r="D249" s="200" t="str">
        <f t="shared" si="38"/>
        <v>AA162</v>
      </c>
      <c r="E249" s="200" t="str">
        <f t="shared" si="39"/>
        <v>Get Data</v>
      </c>
      <c r="F249" s="200" t="str">
        <f>'2nd_Post_Processing'!$L$6</f>
        <v>Line</v>
      </c>
      <c r="G249" s="200"/>
      <c r="H249" s="200"/>
      <c r="I249" s="200" t="str">
        <f t="shared" si="40"/>
        <v>Attachmenttype[162]</v>
      </c>
      <c r="J249" s="207">
        <f t="shared" si="32"/>
        <v>164</v>
      </c>
      <c r="K249" s="207" t="str">
        <f t="shared" si="33"/>
        <v/>
      </c>
      <c r="L249" s="207" t="str">
        <f t="shared" si="34"/>
        <v/>
      </c>
      <c r="M249" s="207" t="str">
        <f t="shared" si="35"/>
        <v/>
      </c>
      <c r="N249" s="208">
        <f t="shared" si="36"/>
        <v>164</v>
      </c>
    </row>
    <row r="250" spans="1:14" ht="13.5" customHeight="1" x14ac:dyDescent="0.2">
      <c r="A250" s="200" t="str">
        <f t="shared" si="37"/>
        <v>Auxiliar4</v>
      </c>
      <c r="B250" s="200"/>
      <c r="C250" s="200"/>
      <c r="D250" s="200" t="str">
        <f t="shared" si="38"/>
        <v>AA163</v>
      </c>
      <c r="E250" s="200" t="str">
        <f t="shared" si="39"/>
        <v>Get Data</v>
      </c>
      <c r="F250" s="200" t="str">
        <f>'2nd_Post_Processing'!$L$6</f>
        <v>Line</v>
      </c>
      <c r="G250" s="200"/>
      <c r="H250" s="200"/>
      <c r="I250" s="200" t="str">
        <f t="shared" si="40"/>
        <v>Attachmenttype[163]</v>
      </c>
      <c r="J250" s="207">
        <f t="shared" si="32"/>
        <v>165</v>
      </c>
      <c r="K250" s="207" t="str">
        <f t="shared" si="33"/>
        <v/>
      </c>
      <c r="L250" s="207" t="str">
        <f t="shared" si="34"/>
        <v/>
      </c>
      <c r="M250" s="207" t="str">
        <f t="shared" si="35"/>
        <v/>
      </c>
      <c r="N250" s="208">
        <f t="shared" si="36"/>
        <v>165</v>
      </c>
    </row>
    <row r="251" spans="1:14" ht="13.5" customHeight="1" x14ac:dyDescent="0.2">
      <c r="A251" s="200" t="str">
        <f t="shared" si="37"/>
        <v>Auxiliar4</v>
      </c>
      <c r="B251" s="200"/>
      <c r="C251" s="200"/>
      <c r="D251" s="200" t="str">
        <f t="shared" si="38"/>
        <v>AA164</v>
      </c>
      <c r="E251" s="200" t="str">
        <f t="shared" si="39"/>
        <v>Get Data</v>
      </c>
      <c r="F251" s="200" t="str">
        <f>'2nd_Post_Processing'!$L$6</f>
        <v>Line</v>
      </c>
      <c r="G251" s="200"/>
      <c r="H251" s="200"/>
      <c r="I251" s="200" t="str">
        <f t="shared" si="40"/>
        <v>Attachmenttype[164]</v>
      </c>
      <c r="J251" s="207">
        <f t="shared" si="32"/>
        <v>166</v>
      </c>
      <c r="K251" s="207" t="str">
        <f t="shared" si="33"/>
        <v/>
      </c>
      <c r="L251" s="207" t="str">
        <f t="shared" si="34"/>
        <v/>
      </c>
      <c r="M251" s="207" t="str">
        <f t="shared" si="35"/>
        <v/>
      </c>
      <c r="N251" s="208">
        <f t="shared" si="36"/>
        <v>166</v>
      </c>
    </row>
    <row r="252" spans="1:14" ht="13.5" customHeight="1" x14ac:dyDescent="0.2">
      <c r="A252" s="200" t="str">
        <f t="shared" si="37"/>
        <v>Auxiliar4</v>
      </c>
      <c r="B252" s="200"/>
      <c r="C252" s="200"/>
      <c r="D252" s="200" t="str">
        <f t="shared" si="38"/>
        <v>AA165</v>
      </c>
      <c r="E252" s="200" t="str">
        <f t="shared" si="39"/>
        <v>Get Data</v>
      </c>
      <c r="F252" s="200" t="str">
        <f>'2nd_Post_Processing'!$L$6</f>
        <v>Line</v>
      </c>
      <c r="G252" s="200"/>
      <c r="H252" s="200"/>
      <c r="I252" s="200" t="str">
        <f t="shared" si="40"/>
        <v>Attachmenttype[165]</v>
      </c>
      <c r="J252" s="207">
        <f t="shared" si="32"/>
        <v>167</v>
      </c>
      <c r="K252" s="207" t="str">
        <f t="shared" si="33"/>
        <v/>
      </c>
      <c r="L252" s="207" t="str">
        <f t="shared" si="34"/>
        <v/>
      </c>
      <c r="M252" s="207" t="str">
        <f t="shared" si="35"/>
        <v/>
      </c>
      <c r="N252" s="208">
        <f t="shared" si="36"/>
        <v>167</v>
      </c>
    </row>
    <row r="253" spans="1:14" ht="13.5" customHeight="1" x14ac:dyDescent="0.2">
      <c r="A253" s="200" t="str">
        <f t="shared" si="37"/>
        <v>Auxiliar4</v>
      </c>
      <c r="B253" s="200"/>
      <c r="C253" s="200"/>
      <c r="D253" s="200" t="str">
        <f t="shared" si="38"/>
        <v>AA166</v>
      </c>
      <c r="E253" s="200" t="str">
        <f t="shared" si="39"/>
        <v>Get Data</v>
      </c>
      <c r="F253" s="200" t="str">
        <f>'2nd_Post_Processing'!$L$6</f>
        <v>Line</v>
      </c>
      <c r="G253" s="200"/>
      <c r="H253" s="200"/>
      <c r="I253" s="200" t="str">
        <f t="shared" si="40"/>
        <v>Attachmenttype[166]</v>
      </c>
      <c r="J253" s="207">
        <f t="shared" si="32"/>
        <v>168</v>
      </c>
      <c r="K253" s="207" t="str">
        <f t="shared" si="33"/>
        <v/>
      </c>
      <c r="L253" s="207" t="str">
        <f t="shared" si="34"/>
        <v/>
      </c>
      <c r="M253" s="207" t="str">
        <f t="shared" si="35"/>
        <v/>
      </c>
      <c r="N253" s="208">
        <f t="shared" si="36"/>
        <v>168</v>
      </c>
    </row>
    <row r="254" spans="1:14" ht="13.5" customHeight="1" x14ac:dyDescent="0.2">
      <c r="A254" s="200" t="str">
        <f t="shared" si="37"/>
        <v>Auxiliar4</v>
      </c>
      <c r="B254" s="200"/>
      <c r="C254" s="200"/>
      <c r="D254" s="200" t="str">
        <f t="shared" si="38"/>
        <v>AA167</v>
      </c>
      <c r="E254" s="200" t="str">
        <f t="shared" si="39"/>
        <v>Get Data</v>
      </c>
      <c r="F254" s="200" t="str">
        <f>'2nd_Post_Processing'!$L$6</f>
        <v>Line</v>
      </c>
      <c r="G254" s="200"/>
      <c r="H254" s="200"/>
      <c r="I254" s="200" t="str">
        <f t="shared" si="40"/>
        <v>Attachmenttype[167]</v>
      </c>
      <c r="J254" s="207">
        <f t="shared" si="32"/>
        <v>169</v>
      </c>
      <c r="K254" s="207" t="str">
        <f t="shared" si="33"/>
        <v/>
      </c>
      <c r="L254" s="207" t="str">
        <f t="shared" si="34"/>
        <v/>
      </c>
      <c r="M254" s="207" t="str">
        <f t="shared" si="35"/>
        <v/>
      </c>
      <c r="N254" s="208">
        <f t="shared" si="36"/>
        <v>169</v>
      </c>
    </row>
    <row r="255" spans="1:14" ht="13.5" customHeight="1" x14ac:dyDescent="0.2">
      <c r="A255" s="200" t="str">
        <f t="shared" si="37"/>
        <v>Auxiliar4</v>
      </c>
      <c r="B255" s="200"/>
      <c r="C255" s="200"/>
      <c r="D255" s="200" t="str">
        <f t="shared" si="38"/>
        <v>AA168</v>
      </c>
      <c r="E255" s="200" t="str">
        <f t="shared" si="39"/>
        <v>Get Data</v>
      </c>
      <c r="F255" s="200" t="str">
        <f>'2nd_Post_Processing'!$L$6</f>
        <v>Line</v>
      </c>
      <c r="G255" s="200"/>
      <c r="H255" s="200"/>
      <c r="I255" s="200" t="str">
        <f t="shared" si="40"/>
        <v>Attachmenttype[168]</v>
      </c>
      <c r="J255" s="207">
        <f t="shared" si="32"/>
        <v>170</v>
      </c>
      <c r="K255" s="207" t="str">
        <f t="shared" si="33"/>
        <v/>
      </c>
      <c r="L255" s="207" t="str">
        <f t="shared" si="34"/>
        <v/>
      </c>
      <c r="M255" s="207" t="str">
        <f t="shared" si="35"/>
        <v/>
      </c>
      <c r="N255" s="208">
        <f t="shared" si="36"/>
        <v>170</v>
      </c>
    </row>
    <row r="256" spans="1:14" ht="13.5" customHeight="1" x14ac:dyDescent="0.2">
      <c r="A256" s="200" t="str">
        <f t="shared" si="37"/>
        <v>Auxiliar4</v>
      </c>
      <c r="B256" s="200"/>
      <c r="C256" s="200"/>
      <c r="D256" s="200" t="str">
        <f t="shared" si="38"/>
        <v>AA169</v>
      </c>
      <c r="E256" s="200" t="str">
        <f t="shared" si="39"/>
        <v>Get Data</v>
      </c>
      <c r="F256" s="200" t="str">
        <f>'2nd_Post_Processing'!$L$6</f>
        <v>Line</v>
      </c>
      <c r="G256" s="200"/>
      <c r="H256" s="200"/>
      <c r="I256" s="200" t="str">
        <f t="shared" si="40"/>
        <v>Attachmenttype[169]</v>
      </c>
      <c r="J256" s="207">
        <f t="shared" si="32"/>
        <v>171</v>
      </c>
      <c r="K256" s="207" t="str">
        <f t="shared" si="33"/>
        <v/>
      </c>
      <c r="L256" s="207" t="str">
        <f t="shared" si="34"/>
        <v/>
      </c>
      <c r="M256" s="207" t="str">
        <f t="shared" si="35"/>
        <v/>
      </c>
      <c r="N256" s="208">
        <f t="shared" si="36"/>
        <v>171</v>
      </c>
    </row>
    <row r="257" spans="1:14" ht="13.5" customHeight="1" x14ac:dyDescent="0.2">
      <c r="A257" s="200" t="str">
        <f t="shared" si="37"/>
        <v>Auxiliar4</v>
      </c>
      <c r="B257" s="200"/>
      <c r="C257" s="200"/>
      <c r="D257" s="200" t="str">
        <f t="shared" si="38"/>
        <v>AA170</v>
      </c>
      <c r="E257" s="200" t="str">
        <f t="shared" si="39"/>
        <v>Get Data</v>
      </c>
      <c r="F257" s="200" t="str">
        <f>'2nd_Post_Processing'!$L$6</f>
        <v>Line</v>
      </c>
      <c r="G257" s="200"/>
      <c r="H257" s="200"/>
      <c r="I257" s="200" t="str">
        <f t="shared" si="40"/>
        <v>Attachmenttype[170]</v>
      </c>
      <c r="J257" s="207">
        <f t="shared" si="32"/>
        <v>172</v>
      </c>
      <c r="K257" s="207" t="str">
        <f t="shared" si="33"/>
        <v/>
      </c>
      <c r="L257" s="207" t="str">
        <f t="shared" si="34"/>
        <v/>
      </c>
      <c r="M257" s="207" t="str">
        <f t="shared" si="35"/>
        <v/>
      </c>
      <c r="N257" s="208">
        <f t="shared" si="36"/>
        <v>172</v>
      </c>
    </row>
    <row r="258" spans="1:14" ht="13.5" customHeight="1" x14ac:dyDescent="0.2">
      <c r="A258" s="200" t="str">
        <f t="shared" si="37"/>
        <v>Auxiliar4</v>
      </c>
      <c r="B258" s="200"/>
      <c r="C258" s="200"/>
      <c r="D258" s="200" t="str">
        <f t="shared" si="38"/>
        <v>AA171</v>
      </c>
      <c r="E258" s="200" t="str">
        <f t="shared" si="39"/>
        <v>Get Data</v>
      </c>
      <c r="F258" s="200" t="str">
        <f>'2nd_Post_Processing'!$L$6</f>
        <v>Line</v>
      </c>
      <c r="G258" s="200"/>
      <c r="H258" s="200"/>
      <c r="I258" s="200" t="str">
        <f t="shared" si="40"/>
        <v>Attachmenttype[171]</v>
      </c>
      <c r="J258" s="207">
        <f t="shared" si="32"/>
        <v>173</v>
      </c>
      <c r="K258" s="207" t="str">
        <f t="shared" si="33"/>
        <v/>
      </c>
      <c r="L258" s="207" t="str">
        <f t="shared" si="34"/>
        <v/>
      </c>
      <c r="M258" s="207" t="str">
        <f t="shared" si="35"/>
        <v/>
      </c>
      <c r="N258" s="208">
        <f t="shared" si="36"/>
        <v>173</v>
      </c>
    </row>
    <row r="259" spans="1:14" ht="13.5" customHeight="1" x14ac:dyDescent="0.2">
      <c r="A259" s="200" t="str">
        <f t="shared" si="37"/>
        <v>Auxiliar4</v>
      </c>
      <c r="B259" s="200"/>
      <c r="C259" s="200"/>
      <c r="D259" s="200" t="str">
        <f t="shared" si="38"/>
        <v>AA172</v>
      </c>
      <c r="E259" s="200" t="str">
        <f t="shared" si="39"/>
        <v>Get Data</v>
      </c>
      <c r="F259" s="200" t="str">
        <f>'2nd_Post_Processing'!$L$6</f>
        <v>Line</v>
      </c>
      <c r="G259" s="200"/>
      <c r="H259" s="200"/>
      <c r="I259" s="200" t="str">
        <f t="shared" si="40"/>
        <v>Attachmenttype[172]</v>
      </c>
      <c r="J259" s="207">
        <f t="shared" si="32"/>
        <v>174</v>
      </c>
      <c r="K259" s="207" t="str">
        <f t="shared" si="33"/>
        <v/>
      </c>
      <c r="L259" s="207" t="str">
        <f t="shared" si="34"/>
        <v/>
      </c>
      <c r="M259" s="207" t="str">
        <f t="shared" si="35"/>
        <v/>
      </c>
      <c r="N259" s="208">
        <f t="shared" si="36"/>
        <v>174</v>
      </c>
    </row>
    <row r="260" spans="1:14" ht="13.5" customHeight="1" x14ac:dyDescent="0.2">
      <c r="A260" s="200" t="str">
        <f t="shared" si="37"/>
        <v>Auxiliar4</v>
      </c>
      <c r="B260" s="200"/>
      <c r="C260" s="200"/>
      <c r="D260" s="200" t="str">
        <f t="shared" si="38"/>
        <v>AA173</v>
      </c>
      <c r="E260" s="200" t="str">
        <f t="shared" si="39"/>
        <v>Get Data</v>
      </c>
      <c r="F260" s="200" t="str">
        <f>'2nd_Post_Processing'!$L$6</f>
        <v>Line</v>
      </c>
      <c r="G260" s="200"/>
      <c r="H260" s="200"/>
      <c r="I260" s="200" t="str">
        <f t="shared" si="40"/>
        <v>Attachmenttype[173]</v>
      </c>
      <c r="J260" s="207">
        <f t="shared" si="32"/>
        <v>175</v>
      </c>
      <c r="K260" s="207" t="str">
        <f t="shared" si="33"/>
        <v/>
      </c>
      <c r="L260" s="207" t="str">
        <f t="shared" si="34"/>
        <v/>
      </c>
      <c r="M260" s="207" t="str">
        <f t="shared" si="35"/>
        <v/>
      </c>
      <c r="N260" s="208">
        <f t="shared" si="36"/>
        <v>175</v>
      </c>
    </row>
    <row r="261" spans="1:14" ht="13.5" customHeight="1" x14ac:dyDescent="0.2">
      <c r="A261" s="200" t="str">
        <f t="shared" si="37"/>
        <v>Auxiliar4</v>
      </c>
      <c r="B261" s="200"/>
      <c r="C261" s="200"/>
      <c r="D261" s="200" t="str">
        <f t="shared" si="38"/>
        <v>AA174</v>
      </c>
      <c r="E261" s="200" t="str">
        <f t="shared" si="39"/>
        <v>Get Data</v>
      </c>
      <c r="F261" s="200" t="str">
        <f>'2nd_Post_Processing'!$L$6</f>
        <v>Line</v>
      </c>
      <c r="G261" s="200"/>
      <c r="H261" s="200"/>
      <c r="I261" s="200" t="str">
        <f t="shared" si="40"/>
        <v>Attachmenttype[174]</v>
      </c>
      <c r="J261" s="207">
        <f t="shared" si="32"/>
        <v>176</v>
      </c>
      <c r="K261" s="207" t="str">
        <f t="shared" si="33"/>
        <v/>
      </c>
      <c r="L261" s="207" t="str">
        <f t="shared" si="34"/>
        <v/>
      </c>
      <c r="M261" s="207" t="str">
        <f t="shared" si="35"/>
        <v/>
      </c>
      <c r="N261" s="208">
        <f t="shared" si="36"/>
        <v>176</v>
      </c>
    </row>
    <row r="262" spans="1:14" ht="13.5" customHeight="1" x14ac:dyDescent="0.2">
      <c r="A262" s="200" t="str">
        <f t="shared" si="37"/>
        <v>Auxiliar4</v>
      </c>
      <c r="B262" s="200"/>
      <c r="C262" s="200"/>
      <c r="D262" s="200" t="str">
        <f t="shared" si="38"/>
        <v>AA175</v>
      </c>
      <c r="E262" s="200" t="str">
        <f t="shared" si="39"/>
        <v>Get Data</v>
      </c>
      <c r="F262" s="200" t="str">
        <f>'2nd_Post_Processing'!$L$6</f>
        <v>Line</v>
      </c>
      <c r="G262" s="200"/>
      <c r="H262" s="200"/>
      <c r="I262" s="200" t="str">
        <f t="shared" si="40"/>
        <v>Attachmenttype[175]</v>
      </c>
      <c r="J262" s="207">
        <f t="shared" si="32"/>
        <v>177</v>
      </c>
      <c r="K262" s="207" t="str">
        <f t="shared" si="33"/>
        <v/>
      </c>
      <c r="L262" s="207" t="str">
        <f t="shared" si="34"/>
        <v/>
      </c>
      <c r="M262" s="207" t="str">
        <f t="shared" si="35"/>
        <v/>
      </c>
      <c r="N262" s="208">
        <f t="shared" si="36"/>
        <v>177</v>
      </c>
    </row>
    <row r="263" spans="1:14" ht="13.5" customHeight="1" x14ac:dyDescent="0.2">
      <c r="A263" s="200" t="str">
        <f t="shared" si="37"/>
        <v>Auxiliar4</v>
      </c>
      <c r="B263" s="200"/>
      <c r="C263" s="200"/>
      <c r="D263" s="200" t="str">
        <f t="shared" si="38"/>
        <v>AA176</v>
      </c>
      <c r="E263" s="200" t="str">
        <f t="shared" si="39"/>
        <v>Get Data</v>
      </c>
      <c r="F263" s="200" t="str">
        <f>'2nd_Post_Processing'!$L$6</f>
        <v>Line</v>
      </c>
      <c r="G263" s="200"/>
      <c r="H263" s="200"/>
      <c r="I263" s="200" t="str">
        <f t="shared" si="40"/>
        <v>Attachmenttype[176]</v>
      </c>
      <c r="J263" s="207">
        <f t="shared" si="32"/>
        <v>178</v>
      </c>
      <c r="K263" s="207" t="str">
        <f t="shared" si="33"/>
        <v/>
      </c>
      <c r="L263" s="207" t="str">
        <f t="shared" si="34"/>
        <v/>
      </c>
      <c r="M263" s="207" t="str">
        <f t="shared" si="35"/>
        <v/>
      </c>
      <c r="N263" s="208">
        <f t="shared" si="36"/>
        <v>178</v>
      </c>
    </row>
    <row r="264" spans="1:14" ht="13.5" customHeight="1" x14ac:dyDescent="0.2">
      <c r="A264" s="200" t="str">
        <f t="shared" si="37"/>
        <v>Auxiliar4</v>
      </c>
      <c r="B264" s="200"/>
      <c r="C264" s="200"/>
      <c r="D264" s="200" t="str">
        <f t="shared" si="38"/>
        <v>AA177</v>
      </c>
      <c r="E264" s="200" t="str">
        <f t="shared" si="39"/>
        <v>Get Data</v>
      </c>
      <c r="F264" s="200" t="str">
        <f>'2nd_Post_Processing'!$L$6</f>
        <v>Line</v>
      </c>
      <c r="G264" s="200"/>
      <c r="H264" s="200"/>
      <c r="I264" s="200" t="str">
        <f t="shared" si="40"/>
        <v>Attachmenttype[177]</v>
      </c>
      <c r="J264" s="207">
        <f t="shared" si="32"/>
        <v>179</v>
      </c>
      <c r="K264" s="207" t="str">
        <f t="shared" si="33"/>
        <v/>
      </c>
      <c r="L264" s="207" t="str">
        <f t="shared" si="34"/>
        <v/>
      </c>
      <c r="M264" s="207" t="str">
        <f t="shared" si="35"/>
        <v/>
      </c>
      <c r="N264" s="208">
        <f t="shared" si="36"/>
        <v>179</v>
      </c>
    </row>
    <row r="265" spans="1:14" ht="13.5" customHeight="1" x14ac:dyDescent="0.2">
      <c r="A265" s="200" t="str">
        <f t="shared" si="37"/>
        <v>Auxiliar4</v>
      </c>
      <c r="B265" s="200"/>
      <c r="C265" s="200"/>
      <c r="D265" s="200" t="str">
        <f t="shared" si="38"/>
        <v>AA178</v>
      </c>
      <c r="E265" s="200" t="str">
        <f t="shared" si="39"/>
        <v>Get Data</v>
      </c>
      <c r="F265" s="200" t="str">
        <f>'2nd_Post_Processing'!$L$6</f>
        <v>Line</v>
      </c>
      <c r="G265" s="200"/>
      <c r="H265" s="200"/>
      <c r="I265" s="200" t="str">
        <f t="shared" si="40"/>
        <v>Attachmenttype[178]</v>
      </c>
      <c r="J265" s="207">
        <f t="shared" si="32"/>
        <v>180</v>
      </c>
      <c r="K265" s="207" t="str">
        <f t="shared" si="33"/>
        <v/>
      </c>
      <c r="L265" s="207" t="str">
        <f t="shared" si="34"/>
        <v/>
      </c>
      <c r="M265" s="207" t="str">
        <f t="shared" si="35"/>
        <v/>
      </c>
      <c r="N265" s="208">
        <f t="shared" si="36"/>
        <v>180</v>
      </c>
    </row>
    <row r="266" spans="1:14" ht="13.5" customHeight="1" x14ac:dyDescent="0.2">
      <c r="A266" s="200" t="str">
        <f t="shared" si="37"/>
        <v>Auxiliar4</v>
      </c>
      <c r="B266" s="200"/>
      <c r="C266" s="200"/>
      <c r="D266" s="200" t="str">
        <f t="shared" si="38"/>
        <v>AA179</v>
      </c>
      <c r="E266" s="200" t="str">
        <f t="shared" si="39"/>
        <v>Get Data</v>
      </c>
      <c r="F266" s="200" t="str">
        <f>'2nd_Post_Processing'!$L$6</f>
        <v>Line</v>
      </c>
      <c r="G266" s="200"/>
      <c r="H266" s="200"/>
      <c r="I266" s="200" t="str">
        <f t="shared" si="40"/>
        <v>Attachmenttype[179]</v>
      </c>
      <c r="J266" s="207">
        <f t="shared" si="32"/>
        <v>181</v>
      </c>
      <c r="K266" s="207" t="str">
        <f t="shared" si="33"/>
        <v/>
      </c>
      <c r="L266" s="207" t="str">
        <f t="shared" si="34"/>
        <v/>
      </c>
      <c r="M266" s="207" t="str">
        <f t="shared" si="35"/>
        <v/>
      </c>
      <c r="N266" s="208">
        <f t="shared" si="36"/>
        <v>181</v>
      </c>
    </row>
    <row r="267" spans="1:14" ht="13.5" customHeight="1" x14ac:dyDescent="0.2">
      <c r="A267" s="200" t="str">
        <f t="shared" si="37"/>
        <v>Auxiliar4</v>
      </c>
      <c r="B267" s="200"/>
      <c r="C267" s="200"/>
      <c r="D267" s="200" t="str">
        <f t="shared" si="38"/>
        <v>AA180</v>
      </c>
      <c r="E267" s="200" t="str">
        <f t="shared" si="39"/>
        <v>Get Data</v>
      </c>
      <c r="F267" s="200" t="str">
        <f>'2nd_Post_Processing'!$L$6</f>
        <v>Line</v>
      </c>
      <c r="G267" s="200"/>
      <c r="H267" s="200"/>
      <c r="I267" s="200" t="str">
        <f t="shared" si="40"/>
        <v>Attachmenttype[180]</v>
      </c>
      <c r="J267" s="207">
        <f t="shared" si="32"/>
        <v>182</v>
      </c>
      <c r="K267" s="207" t="str">
        <f t="shared" si="33"/>
        <v/>
      </c>
      <c r="L267" s="207" t="str">
        <f t="shared" si="34"/>
        <v/>
      </c>
      <c r="M267" s="207" t="str">
        <f t="shared" si="35"/>
        <v/>
      </c>
      <c r="N267" s="208">
        <f t="shared" si="36"/>
        <v>182</v>
      </c>
    </row>
    <row r="268" spans="1:14" ht="13.5" customHeight="1" x14ac:dyDescent="0.2">
      <c r="A268" s="200" t="str">
        <f t="shared" si="37"/>
        <v>Auxiliar4</v>
      </c>
      <c r="B268" s="200"/>
      <c r="C268" s="200"/>
      <c r="D268" s="200" t="str">
        <f t="shared" si="38"/>
        <v>AA181</v>
      </c>
      <c r="E268" s="200" t="str">
        <f t="shared" si="39"/>
        <v>Get Data</v>
      </c>
      <c r="F268" s="200" t="str">
        <f>'2nd_Post_Processing'!$L$6</f>
        <v>Line</v>
      </c>
      <c r="G268" s="200"/>
      <c r="H268" s="200"/>
      <c r="I268" s="200" t="str">
        <f t="shared" si="40"/>
        <v>Attachmenttype[181]</v>
      </c>
      <c r="J268" s="207">
        <f t="shared" si="32"/>
        <v>183</v>
      </c>
      <c r="K268" s="207" t="str">
        <f t="shared" si="33"/>
        <v/>
      </c>
      <c r="L268" s="207" t="str">
        <f t="shared" si="34"/>
        <v/>
      </c>
      <c r="M268" s="207" t="str">
        <f t="shared" si="35"/>
        <v/>
      </c>
      <c r="N268" s="208">
        <f t="shared" si="36"/>
        <v>183</v>
      </c>
    </row>
    <row r="269" spans="1:14" ht="13.5" customHeight="1" x14ac:dyDescent="0.2">
      <c r="A269" s="200" t="str">
        <f t="shared" si="37"/>
        <v>Auxiliar4</v>
      </c>
      <c r="B269" s="200"/>
      <c r="C269" s="200"/>
      <c r="D269" s="200" t="str">
        <f t="shared" si="38"/>
        <v>AA182</v>
      </c>
      <c r="E269" s="200" t="str">
        <f t="shared" si="39"/>
        <v>Get Data</v>
      </c>
      <c r="F269" s="200" t="str">
        <f>'2nd_Post_Processing'!$L$6</f>
        <v>Line</v>
      </c>
      <c r="G269" s="200"/>
      <c r="H269" s="200"/>
      <c r="I269" s="200" t="str">
        <f t="shared" si="40"/>
        <v>Attachmenttype[182]</v>
      </c>
      <c r="J269" s="207">
        <f t="shared" si="32"/>
        <v>184</v>
      </c>
      <c r="K269" s="207" t="str">
        <f t="shared" si="33"/>
        <v/>
      </c>
      <c r="L269" s="207" t="str">
        <f t="shared" si="34"/>
        <v/>
      </c>
      <c r="M269" s="207" t="str">
        <f t="shared" si="35"/>
        <v/>
      </c>
      <c r="N269" s="208">
        <f t="shared" si="36"/>
        <v>184</v>
      </c>
    </row>
    <row r="270" spans="1:14" ht="13.5" customHeight="1" x14ac:dyDescent="0.2">
      <c r="A270" s="200" t="str">
        <f t="shared" si="37"/>
        <v>Auxiliar4</v>
      </c>
      <c r="B270" s="200"/>
      <c r="C270" s="200"/>
      <c r="D270" s="200" t="str">
        <f t="shared" si="38"/>
        <v>AA183</v>
      </c>
      <c r="E270" s="200" t="str">
        <f t="shared" si="39"/>
        <v>Get Data</v>
      </c>
      <c r="F270" s="200" t="str">
        <f>'2nd_Post_Processing'!$L$6</f>
        <v>Line</v>
      </c>
      <c r="G270" s="200"/>
      <c r="H270" s="200"/>
      <c r="I270" s="200" t="str">
        <f t="shared" si="40"/>
        <v>Attachmenttype[183]</v>
      </c>
      <c r="J270" s="207">
        <f t="shared" si="32"/>
        <v>185</v>
      </c>
      <c r="K270" s="207" t="str">
        <f t="shared" si="33"/>
        <v/>
      </c>
      <c r="L270" s="207" t="str">
        <f t="shared" si="34"/>
        <v/>
      </c>
      <c r="M270" s="207" t="str">
        <f t="shared" si="35"/>
        <v/>
      </c>
      <c r="N270" s="208">
        <f t="shared" si="36"/>
        <v>185</v>
      </c>
    </row>
    <row r="271" spans="1:14" ht="13.5" customHeight="1" x14ac:dyDescent="0.2">
      <c r="A271" s="200" t="str">
        <f t="shared" si="37"/>
        <v>Auxiliar4</v>
      </c>
      <c r="B271" s="200"/>
      <c r="C271" s="200"/>
      <c r="D271" s="200" t="str">
        <f t="shared" si="38"/>
        <v>AA184</v>
      </c>
      <c r="E271" s="200" t="str">
        <f t="shared" si="39"/>
        <v>Get Data</v>
      </c>
      <c r="F271" s="200" t="str">
        <f>'2nd_Post_Processing'!$L$6</f>
        <v>Line</v>
      </c>
      <c r="G271" s="200"/>
      <c r="H271" s="200"/>
      <c r="I271" s="200" t="str">
        <f t="shared" si="40"/>
        <v>Attachmenttype[184]</v>
      </c>
      <c r="J271" s="207">
        <f t="shared" si="32"/>
        <v>186</v>
      </c>
      <c r="K271" s="207" t="str">
        <f t="shared" si="33"/>
        <v/>
      </c>
      <c r="L271" s="207" t="str">
        <f t="shared" si="34"/>
        <v/>
      </c>
      <c r="M271" s="207" t="str">
        <f t="shared" si="35"/>
        <v/>
      </c>
      <c r="N271" s="208">
        <f t="shared" si="36"/>
        <v>186</v>
      </c>
    </row>
    <row r="272" spans="1:14" ht="13.5" customHeight="1" x14ac:dyDescent="0.2">
      <c r="A272" s="200" t="str">
        <f t="shared" si="37"/>
        <v>Auxiliar4</v>
      </c>
      <c r="B272" s="200"/>
      <c r="C272" s="200"/>
      <c r="D272" s="200" t="str">
        <f t="shared" si="38"/>
        <v>AA185</v>
      </c>
      <c r="E272" s="200" t="str">
        <f t="shared" si="39"/>
        <v>Get Data</v>
      </c>
      <c r="F272" s="200" t="str">
        <f>'2nd_Post_Processing'!$L$6</f>
        <v>Line</v>
      </c>
      <c r="G272" s="200"/>
      <c r="H272" s="200"/>
      <c r="I272" s="200" t="str">
        <f t="shared" si="40"/>
        <v>Attachmenttype[185]</v>
      </c>
      <c r="J272" s="207">
        <f t="shared" si="32"/>
        <v>187</v>
      </c>
      <c r="K272" s="207" t="str">
        <f t="shared" si="33"/>
        <v/>
      </c>
      <c r="L272" s="207" t="str">
        <f t="shared" si="34"/>
        <v/>
      </c>
      <c r="M272" s="207" t="str">
        <f t="shared" si="35"/>
        <v/>
      </c>
      <c r="N272" s="208">
        <f t="shared" si="36"/>
        <v>187</v>
      </c>
    </row>
    <row r="273" spans="1:14" ht="13.5" customHeight="1" x14ac:dyDescent="0.2">
      <c r="A273" s="200" t="str">
        <f t="shared" si="37"/>
        <v>Auxiliar4</v>
      </c>
      <c r="B273" s="200"/>
      <c r="C273" s="200"/>
      <c r="D273" s="200" t="str">
        <f t="shared" si="38"/>
        <v>AA186</v>
      </c>
      <c r="E273" s="200" t="str">
        <f t="shared" si="39"/>
        <v>Get Data</v>
      </c>
      <c r="F273" s="200" t="str">
        <f>'2nd_Post_Processing'!$L$6</f>
        <v>Line</v>
      </c>
      <c r="G273" s="200"/>
      <c r="H273" s="200"/>
      <c r="I273" s="200" t="str">
        <f t="shared" si="40"/>
        <v>Attachmenttype[186]</v>
      </c>
      <c r="J273" s="207">
        <f t="shared" si="32"/>
        <v>188</v>
      </c>
      <c r="K273" s="207" t="str">
        <f t="shared" si="33"/>
        <v/>
      </c>
      <c r="L273" s="207" t="str">
        <f t="shared" si="34"/>
        <v/>
      </c>
      <c r="M273" s="207" t="str">
        <f t="shared" si="35"/>
        <v/>
      </c>
      <c r="N273" s="208">
        <f t="shared" si="36"/>
        <v>188</v>
      </c>
    </row>
    <row r="274" spans="1:14" ht="13.5" customHeight="1" x14ac:dyDescent="0.2">
      <c r="A274" s="200" t="str">
        <f t="shared" si="37"/>
        <v>Auxiliar4</v>
      </c>
      <c r="B274" s="200"/>
      <c r="C274" s="200"/>
      <c r="D274" s="200" t="str">
        <f t="shared" si="38"/>
        <v>AA187</v>
      </c>
      <c r="E274" s="200" t="str">
        <f t="shared" si="39"/>
        <v>Get Data</v>
      </c>
      <c r="F274" s="200" t="str">
        <f>'2nd_Post_Processing'!$L$6</f>
        <v>Line</v>
      </c>
      <c r="G274" s="200"/>
      <c r="H274" s="200"/>
      <c r="I274" s="200" t="str">
        <f t="shared" si="40"/>
        <v>Attachmenttype[187]</v>
      </c>
      <c r="J274" s="207">
        <f t="shared" si="32"/>
        <v>189</v>
      </c>
      <c r="K274" s="207" t="str">
        <f t="shared" si="33"/>
        <v/>
      </c>
      <c r="L274" s="207" t="str">
        <f t="shared" si="34"/>
        <v/>
      </c>
      <c r="M274" s="207" t="str">
        <f t="shared" si="35"/>
        <v/>
      </c>
      <c r="N274" s="208">
        <f t="shared" si="36"/>
        <v>189</v>
      </c>
    </row>
    <row r="275" spans="1:14" ht="13.5" customHeight="1" x14ac:dyDescent="0.2">
      <c r="A275" s="200" t="str">
        <f t="shared" si="37"/>
        <v>Auxiliar4</v>
      </c>
      <c r="B275" s="200"/>
      <c r="C275" s="200"/>
      <c r="D275" s="200" t="str">
        <f t="shared" si="38"/>
        <v>AA188</v>
      </c>
      <c r="E275" s="200" t="str">
        <f t="shared" si="39"/>
        <v>Get Data</v>
      </c>
      <c r="F275" s="200" t="str">
        <f>'2nd_Post_Processing'!$L$6</f>
        <v>Line</v>
      </c>
      <c r="G275" s="200"/>
      <c r="H275" s="200"/>
      <c r="I275" s="200" t="str">
        <f t="shared" si="40"/>
        <v>Attachmenttype[188]</v>
      </c>
      <c r="J275" s="207">
        <f t="shared" si="32"/>
        <v>190</v>
      </c>
      <c r="K275" s="207" t="str">
        <f t="shared" si="33"/>
        <v/>
      </c>
      <c r="L275" s="207" t="str">
        <f t="shared" si="34"/>
        <v/>
      </c>
      <c r="M275" s="207" t="str">
        <f t="shared" si="35"/>
        <v/>
      </c>
      <c r="N275" s="208">
        <f t="shared" si="36"/>
        <v>190</v>
      </c>
    </row>
    <row r="276" spans="1:14" ht="13.5" customHeight="1" x14ac:dyDescent="0.2">
      <c r="A276" s="200" t="str">
        <f t="shared" si="37"/>
        <v>Auxiliar4</v>
      </c>
      <c r="B276" s="200"/>
      <c r="C276" s="200"/>
      <c r="D276" s="200" t="str">
        <f t="shared" si="38"/>
        <v>AA189</v>
      </c>
      <c r="E276" s="200" t="str">
        <f t="shared" si="39"/>
        <v>Get Data</v>
      </c>
      <c r="F276" s="200" t="str">
        <f>'2nd_Post_Processing'!$L$6</f>
        <v>Line</v>
      </c>
      <c r="G276" s="200"/>
      <c r="H276" s="200"/>
      <c r="I276" s="200" t="str">
        <f t="shared" si="40"/>
        <v>Attachmenttype[189]</v>
      </c>
      <c r="J276" s="207">
        <f t="shared" si="32"/>
        <v>191</v>
      </c>
      <c r="K276" s="207" t="str">
        <f t="shared" si="33"/>
        <v/>
      </c>
      <c r="L276" s="207" t="str">
        <f t="shared" si="34"/>
        <v/>
      </c>
      <c r="M276" s="207" t="str">
        <f t="shared" si="35"/>
        <v/>
      </c>
      <c r="N276" s="208">
        <f t="shared" si="36"/>
        <v>191</v>
      </c>
    </row>
    <row r="277" spans="1:14" ht="13.5" customHeight="1" x14ac:dyDescent="0.2">
      <c r="A277" s="200" t="str">
        <f t="shared" si="37"/>
        <v>Auxiliar4</v>
      </c>
      <c r="B277" s="200"/>
      <c r="C277" s="200"/>
      <c r="D277" s="200" t="str">
        <f t="shared" si="38"/>
        <v>AA190</v>
      </c>
      <c r="E277" s="200" t="str">
        <f t="shared" si="39"/>
        <v>Get Data</v>
      </c>
      <c r="F277" s="200" t="str">
        <f>'2nd_Post_Processing'!$L$6</f>
        <v>Line</v>
      </c>
      <c r="G277" s="200"/>
      <c r="H277" s="200"/>
      <c r="I277" s="200" t="str">
        <f t="shared" si="40"/>
        <v>Attachmenttype[190]</v>
      </c>
      <c r="J277" s="207">
        <f t="shared" si="32"/>
        <v>192</v>
      </c>
      <c r="K277" s="207" t="str">
        <f t="shared" si="33"/>
        <v/>
      </c>
      <c r="L277" s="207" t="str">
        <f t="shared" si="34"/>
        <v/>
      </c>
      <c r="M277" s="207" t="str">
        <f t="shared" si="35"/>
        <v/>
      </c>
      <c r="N277" s="208">
        <f t="shared" si="36"/>
        <v>192</v>
      </c>
    </row>
    <row r="278" spans="1:14" ht="13.5" customHeight="1" x14ac:dyDescent="0.2">
      <c r="A278" s="200" t="str">
        <f t="shared" si="37"/>
        <v>Auxiliar4</v>
      </c>
      <c r="B278" s="200"/>
      <c r="C278" s="200"/>
      <c r="D278" s="200" t="str">
        <f t="shared" si="38"/>
        <v>AA191</v>
      </c>
      <c r="E278" s="200" t="str">
        <f t="shared" si="39"/>
        <v>Get Data</v>
      </c>
      <c r="F278" s="200" t="str">
        <f>'2nd_Post_Processing'!$L$6</f>
        <v>Line</v>
      </c>
      <c r="G278" s="200"/>
      <c r="H278" s="200"/>
      <c r="I278" s="200" t="str">
        <f t="shared" si="40"/>
        <v>Attachmenttype[191]</v>
      </c>
      <c r="J278" s="207">
        <f t="shared" ref="J278:J313" si="41">IFERROR(IF(J277="",J$26+1,IF(J277=J$84,"j",J277+1)),"jj")</f>
        <v>193</v>
      </c>
      <c r="K278" s="207" t="str">
        <f t="shared" ref="K278:K313" si="42">IF((J278="jj"),IFERROR(IF(K277="",J$26+1,IF(K277=J$76,"k",K277+1)),"kk"),"")</f>
        <v/>
      </c>
      <c r="L278" s="207" t="str">
        <f t="shared" ref="L278:L313" si="43">IF((K278="kk"),IFERROR(IF(L277="",2,IF(L277=J$26,"l",L277+1)),"ll"),"")</f>
        <v/>
      </c>
      <c r="M278" s="207" t="str">
        <f t="shared" ref="M278:M313" si="44">IF(OR(L278="l",L278="ll"),IFERROR(IF(M277="",2,IF(M277=J$26,"m",M277+1)),"mm"),"")</f>
        <v/>
      </c>
      <c r="N278" s="208">
        <f t="shared" si="36"/>
        <v>193</v>
      </c>
    </row>
    <row r="279" spans="1:14" ht="13.5" customHeight="1" x14ac:dyDescent="0.2">
      <c r="A279" s="200" t="str">
        <f t="shared" si="37"/>
        <v>Auxiliar4</v>
      </c>
      <c r="B279" s="200"/>
      <c r="C279" s="200"/>
      <c r="D279" s="200" t="str">
        <f t="shared" si="38"/>
        <v>AA192</v>
      </c>
      <c r="E279" s="200" t="str">
        <f t="shared" si="39"/>
        <v>Get Data</v>
      </c>
      <c r="F279" s="200" t="str">
        <f>'2nd_Post_Processing'!$L$6</f>
        <v>Line</v>
      </c>
      <c r="G279" s="200"/>
      <c r="H279" s="200"/>
      <c r="I279" s="200" t="str">
        <f t="shared" si="40"/>
        <v>Attachmenttype[192]</v>
      </c>
      <c r="J279" s="207">
        <f t="shared" si="41"/>
        <v>194</v>
      </c>
      <c r="K279" s="207" t="str">
        <f t="shared" si="42"/>
        <v/>
      </c>
      <c r="L279" s="207" t="str">
        <f t="shared" si="43"/>
        <v/>
      </c>
      <c r="M279" s="207" t="str">
        <f t="shared" si="44"/>
        <v/>
      </c>
      <c r="N279" s="208">
        <f t="shared" ref="N279:N313" si="45">IF(ISNUMBER(M279),"z",IF(ISNUMBER(L279),L279,IF(ISNUMBER(K279),K279,IF(ISNUMBER(J279),J279,""))))</f>
        <v>194</v>
      </c>
    </row>
    <row r="280" spans="1:14" ht="13.5" customHeight="1" x14ac:dyDescent="0.2">
      <c r="A280" s="200" t="str">
        <f t="shared" si="37"/>
        <v>Auxiliar4</v>
      </c>
      <c r="B280" s="200"/>
      <c r="C280" s="200"/>
      <c r="D280" s="200" t="str">
        <f t="shared" si="38"/>
        <v>AA193</v>
      </c>
      <c r="E280" s="200" t="str">
        <f t="shared" si="39"/>
        <v>Get Data</v>
      </c>
      <c r="F280" s="200" t="str">
        <f>'2nd_Post_Processing'!$L$6</f>
        <v>Line</v>
      </c>
      <c r="G280" s="200"/>
      <c r="H280" s="200"/>
      <c r="I280" s="200" t="str">
        <f t="shared" si="40"/>
        <v>Attachmenttype[193]</v>
      </c>
      <c r="J280" s="207">
        <f t="shared" si="41"/>
        <v>195</v>
      </c>
      <c r="K280" s="207" t="str">
        <f t="shared" si="42"/>
        <v/>
      </c>
      <c r="L280" s="207" t="str">
        <f t="shared" si="43"/>
        <v/>
      </c>
      <c r="M280" s="207" t="str">
        <f t="shared" si="44"/>
        <v/>
      </c>
      <c r="N280" s="208">
        <f t="shared" si="45"/>
        <v>195</v>
      </c>
    </row>
    <row r="281" spans="1:14" ht="13.5" customHeight="1" x14ac:dyDescent="0.2">
      <c r="A281" s="200" t="str">
        <f t="shared" ref="A281:A315" si="46">IF(N279="","",IF(ISNUMBER(J279),"Auxiliar4",IF(ISNUMBER(K279),"Auxiliar3",IF(ISNUMBER(L279),"Auxiliar2",IF(ISNUMBER(M279),"Auxiliar2")))))</f>
        <v>Auxiliar4</v>
      </c>
      <c r="B281" s="200"/>
      <c r="C281" s="200"/>
      <c r="D281" s="200" t="str">
        <f t="shared" ref="D281:D315" si="47">IF(N279="z",CONCATENATE("AB",M279),IF(N279="","",CONCATENATE("AA",N279)))</f>
        <v>AA194</v>
      </c>
      <c r="E281" s="200" t="str">
        <f t="shared" ref="E281:E315" si="48">IF(N279="",IF(J279="j","Load Cont1.sim",IF(K279="k","Load Estatico.sim","")),"Get Data")</f>
        <v>Get Data</v>
      </c>
      <c r="F281" s="200" t="str">
        <f>'2nd_Post_Processing'!$L$6</f>
        <v>Line</v>
      </c>
      <c r="G281" s="200"/>
      <c r="H281" s="200"/>
      <c r="I281" s="200" t="str">
        <f t="shared" ref="I281:I315" si="49">IF(N279="z",CONCATENATE("Attachmentz[",M279,"]"),IF(N279="","",CONCATENATE("Attachmenttype[",N279,"]")))</f>
        <v>Attachmenttype[194]</v>
      </c>
      <c r="J281" s="207">
        <f t="shared" si="41"/>
        <v>196</v>
      </c>
      <c r="K281" s="207" t="str">
        <f t="shared" si="42"/>
        <v/>
      </c>
      <c r="L281" s="207" t="str">
        <f t="shared" si="43"/>
        <v/>
      </c>
      <c r="M281" s="207" t="str">
        <f t="shared" si="44"/>
        <v/>
      </c>
      <c r="N281" s="208">
        <f t="shared" si="45"/>
        <v>196</v>
      </c>
    </row>
    <row r="282" spans="1:14" ht="13.5" customHeight="1" x14ac:dyDescent="0.2">
      <c r="A282" s="200" t="str">
        <f t="shared" si="46"/>
        <v>Auxiliar4</v>
      </c>
      <c r="B282" s="200"/>
      <c r="C282" s="200"/>
      <c r="D282" s="200" t="str">
        <f t="shared" si="47"/>
        <v>AA195</v>
      </c>
      <c r="E282" s="200" t="str">
        <f t="shared" si="48"/>
        <v>Get Data</v>
      </c>
      <c r="F282" s="200" t="str">
        <f>'2nd_Post_Processing'!$L$6</f>
        <v>Line</v>
      </c>
      <c r="G282" s="200"/>
      <c r="H282" s="200"/>
      <c r="I282" s="200" t="str">
        <f t="shared" si="49"/>
        <v>Attachmenttype[195]</v>
      </c>
      <c r="J282" s="207">
        <f t="shared" si="41"/>
        <v>197</v>
      </c>
      <c r="K282" s="207" t="str">
        <f t="shared" si="42"/>
        <v/>
      </c>
      <c r="L282" s="207" t="str">
        <f t="shared" si="43"/>
        <v/>
      </c>
      <c r="M282" s="207" t="str">
        <f t="shared" si="44"/>
        <v/>
      </c>
      <c r="N282" s="208">
        <f t="shared" si="45"/>
        <v>197</v>
      </c>
    </row>
    <row r="283" spans="1:14" ht="13.5" customHeight="1" x14ac:dyDescent="0.2">
      <c r="A283" s="200" t="str">
        <f t="shared" si="46"/>
        <v>Auxiliar4</v>
      </c>
      <c r="B283" s="200"/>
      <c r="C283" s="200"/>
      <c r="D283" s="200" t="str">
        <f t="shared" si="47"/>
        <v>AA196</v>
      </c>
      <c r="E283" s="200" t="str">
        <f t="shared" si="48"/>
        <v>Get Data</v>
      </c>
      <c r="F283" s="200" t="str">
        <f>'2nd_Post_Processing'!$L$6</f>
        <v>Line</v>
      </c>
      <c r="G283" s="200"/>
      <c r="H283" s="200"/>
      <c r="I283" s="200" t="str">
        <f t="shared" si="49"/>
        <v>Attachmenttype[196]</v>
      </c>
      <c r="J283" s="207">
        <f t="shared" si="41"/>
        <v>198</v>
      </c>
      <c r="K283" s="207" t="str">
        <f t="shared" si="42"/>
        <v/>
      </c>
      <c r="L283" s="207" t="str">
        <f t="shared" si="43"/>
        <v/>
      </c>
      <c r="M283" s="207" t="str">
        <f t="shared" si="44"/>
        <v/>
      </c>
      <c r="N283" s="208">
        <f t="shared" si="45"/>
        <v>198</v>
      </c>
    </row>
    <row r="284" spans="1:14" ht="13.5" customHeight="1" x14ac:dyDescent="0.2">
      <c r="A284" s="200" t="str">
        <f t="shared" si="46"/>
        <v>Auxiliar4</v>
      </c>
      <c r="B284" s="200"/>
      <c r="C284" s="200"/>
      <c r="D284" s="200" t="str">
        <f t="shared" si="47"/>
        <v>AA197</v>
      </c>
      <c r="E284" s="200" t="str">
        <f t="shared" si="48"/>
        <v>Get Data</v>
      </c>
      <c r="F284" s="200" t="str">
        <f>'2nd_Post_Processing'!$L$6</f>
        <v>Line</v>
      </c>
      <c r="G284" s="200"/>
      <c r="H284" s="200"/>
      <c r="I284" s="200" t="str">
        <f t="shared" si="49"/>
        <v>Attachmenttype[197]</v>
      </c>
      <c r="J284" s="207">
        <f t="shared" si="41"/>
        <v>199</v>
      </c>
      <c r="K284" s="207" t="str">
        <f t="shared" si="42"/>
        <v/>
      </c>
      <c r="L284" s="207" t="str">
        <f t="shared" si="43"/>
        <v/>
      </c>
      <c r="M284" s="207" t="str">
        <f t="shared" si="44"/>
        <v/>
      </c>
      <c r="N284" s="208">
        <f t="shared" si="45"/>
        <v>199</v>
      </c>
    </row>
    <row r="285" spans="1:14" ht="13.5" customHeight="1" x14ac:dyDescent="0.2">
      <c r="A285" s="200" t="str">
        <f t="shared" si="46"/>
        <v>Auxiliar4</v>
      </c>
      <c r="B285" s="200"/>
      <c r="C285" s="200"/>
      <c r="D285" s="200" t="str">
        <f t="shared" si="47"/>
        <v>AA198</v>
      </c>
      <c r="E285" s="200" t="str">
        <f t="shared" si="48"/>
        <v>Get Data</v>
      </c>
      <c r="F285" s="200" t="str">
        <f>'2nd_Post_Processing'!$L$6</f>
        <v>Line</v>
      </c>
      <c r="G285" s="200"/>
      <c r="H285" s="200"/>
      <c r="I285" s="200" t="str">
        <f t="shared" si="49"/>
        <v>Attachmenttype[198]</v>
      </c>
      <c r="J285" s="207">
        <f t="shared" si="41"/>
        <v>200</v>
      </c>
      <c r="K285" s="207" t="str">
        <f t="shared" si="42"/>
        <v/>
      </c>
      <c r="L285" s="207" t="str">
        <f t="shared" si="43"/>
        <v/>
      </c>
      <c r="M285" s="207" t="str">
        <f t="shared" si="44"/>
        <v/>
      </c>
      <c r="N285" s="208">
        <f t="shared" si="45"/>
        <v>200</v>
      </c>
    </row>
    <row r="286" spans="1:14" ht="13.5" customHeight="1" x14ac:dyDescent="0.2">
      <c r="A286" s="200" t="str">
        <f t="shared" si="46"/>
        <v>Auxiliar4</v>
      </c>
      <c r="B286" s="200"/>
      <c r="C286" s="200"/>
      <c r="D286" s="200" t="str">
        <f t="shared" si="47"/>
        <v>AA199</v>
      </c>
      <c r="E286" s="200" t="str">
        <f t="shared" si="48"/>
        <v>Get Data</v>
      </c>
      <c r="F286" s="200" t="str">
        <f>'2nd_Post_Processing'!$L$6</f>
        <v>Line</v>
      </c>
      <c r="G286" s="200"/>
      <c r="H286" s="200"/>
      <c r="I286" s="200" t="str">
        <f t="shared" si="49"/>
        <v>Attachmenttype[199]</v>
      </c>
      <c r="J286" s="207">
        <f t="shared" si="41"/>
        <v>201</v>
      </c>
      <c r="K286" s="207" t="str">
        <f t="shared" si="42"/>
        <v/>
      </c>
      <c r="L286" s="207" t="str">
        <f t="shared" si="43"/>
        <v/>
      </c>
      <c r="M286" s="207" t="str">
        <f t="shared" si="44"/>
        <v/>
      </c>
      <c r="N286" s="208">
        <f t="shared" si="45"/>
        <v>201</v>
      </c>
    </row>
    <row r="287" spans="1:14" ht="13.5" customHeight="1" x14ac:dyDescent="0.2">
      <c r="A287" s="200" t="str">
        <f t="shared" si="46"/>
        <v>Auxiliar4</v>
      </c>
      <c r="B287" s="200"/>
      <c r="C287" s="200"/>
      <c r="D287" s="200" t="str">
        <f t="shared" si="47"/>
        <v>AA200</v>
      </c>
      <c r="E287" s="200" t="str">
        <f t="shared" si="48"/>
        <v>Get Data</v>
      </c>
      <c r="F287" s="200" t="str">
        <f>'2nd_Post_Processing'!$L$6</f>
        <v>Line</v>
      </c>
      <c r="G287" s="200"/>
      <c r="H287" s="200"/>
      <c r="I287" s="200" t="str">
        <f t="shared" si="49"/>
        <v>Attachmenttype[200]</v>
      </c>
      <c r="J287" s="207">
        <f t="shared" si="41"/>
        <v>202</v>
      </c>
      <c r="K287" s="207" t="str">
        <f t="shared" si="42"/>
        <v/>
      </c>
      <c r="L287" s="207" t="str">
        <f t="shared" si="43"/>
        <v/>
      </c>
      <c r="M287" s="207" t="str">
        <f t="shared" si="44"/>
        <v/>
      </c>
      <c r="N287" s="208">
        <f t="shared" si="45"/>
        <v>202</v>
      </c>
    </row>
    <row r="288" spans="1:14" ht="13.5" customHeight="1" x14ac:dyDescent="0.2">
      <c r="A288" s="200" t="str">
        <f t="shared" si="46"/>
        <v>Auxiliar4</v>
      </c>
      <c r="B288" s="200"/>
      <c r="C288" s="200"/>
      <c r="D288" s="200" t="str">
        <f t="shared" si="47"/>
        <v>AA201</v>
      </c>
      <c r="E288" s="200" t="str">
        <f t="shared" si="48"/>
        <v>Get Data</v>
      </c>
      <c r="F288" s="200" t="str">
        <f>'2nd_Post_Processing'!$L$6</f>
        <v>Line</v>
      </c>
      <c r="G288" s="200"/>
      <c r="H288" s="200"/>
      <c r="I288" s="200" t="str">
        <f t="shared" si="49"/>
        <v>Attachmenttype[201]</v>
      </c>
      <c r="J288" s="207">
        <f t="shared" si="41"/>
        <v>203</v>
      </c>
      <c r="K288" s="207" t="str">
        <f t="shared" si="42"/>
        <v/>
      </c>
      <c r="L288" s="207" t="str">
        <f t="shared" si="43"/>
        <v/>
      </c>
      <c r="M288" s="207" t="str">
        <f t="shared" si="44"/>
        <v/>
      </c>
      <c r="N288" s="208">
        <f t="shared" si="45"/>
        <v>203</v>
      </c>
    </row>
    <row r="289" spans="1:14" ht="13.5" customHeight="1" x14ac:dyDescent="0.2">
      <c r="A289" s="200" t="str">
        <f t="shared" si="46"/>
        <v>Auxiliar4</v>
      </c>
      <c r="B289" s="200"/>
      <c r="C289" s="200"/>
      <c r="D289" s="200" t="str">
        <f t="shared" si="47"/>
        <v>AA202</v>
      </c>
      <c r="E289" s="200" t="str">
        <f t="shared" si="48"/>
        <v>Get Data</v>
      </c>
      <c r="F289" s="200" t="str">
        <f>'2nd_Post_Processing'!$L$6</f>
        <v>Line</v>
      </c>
      <c r="G289" s="200"/>
      <c r="H289" s="200"/>
      <c r="I289" s="200" t="str">
        <f t="shared" si="49"/>
        <v>Attachmenttype[202]</v>
      </c>
      <c r="J289" s="207">
        <f t="shared" si="41"/>
        <v>204</v>
      </c>
      <c r="K289" s="207" t="str">
        <f t="shared" si="42"/>
        <v/>
      </c>
      <c r="L289" s="207" t="str">
        <f t="shared" si="43"/>
        <v/>
      </c>
      <c r="M289" s="207" t="str">
        <f t="shared" si="44"/>
        <v/>
      </c>
      <c r="N289" s="208">
        <f t="shared" si="45"/>
        <v>204</v>
      </c>
    </row>
    <row r="290" spans="1:14" ht="13.5" customHeight="1" x14ac:dyDescent="0.2">
      <c r="A290" s="200" t="str">
        <f t="shared" si="46"/>
        <v>Auxiliar4</v>
      </c>
      <c r="B290" s="200"/>
      <c r="C290" s="200"/>
      <c r="D290" s="200" t="str">
        <f t="shared" si="47"/>
        <v>AA203</v>
      </c>
      <c r="E290" s="200" t="str">
        <f t="shared" si="48"/>
        <v>Get Data</v>
      </c>
      <c r="F290" s="200" t="str">
        <f>'2nd_Post_Processing'!$L$6</f>
        <v>Line</v>
      </c>
      <c r="G290" s="200"/>
      <c r="H290" s="200"/>
      <c r="I290" s="200" t="str">
        <f t="shared" si="49"/>
        <v>Attachmenttype[203]</v>
      </c>
      <c r="J290" s="207">
        <f t="shared" si="41"/>
        <v>205</v>
      </c>
      <c r="K290" s="207" t="str">
        <f t="shared" si="42"/>
        <v/>
      </c>
      <c r="L290" s="207" t="str">
        <f t="shared" si="43"/>
        <v/>
      </c>
      <c r="M290" s="207" t="str">
        <f t="shared" si="44"/>
        <v/>
      </c>
      <c r="N290" s="208">
        <f t="shared" si="45"/>
        <v>205</v>
      </c>
    </row>
    <row r="291" spans="1:14" ht="13.5" customHeight="1" x14ac:dyDescent="0.2">
      <c r="A291" s="200" t="str">
        <f t="shared" si="46"/>
        <v>Auxiliar4</v>
      </c>
      <c r="B291" s="200"/>
      <c r="C291" s="200"/>
      <c r="D291" s="200" t="str">
        <f t="shared" si="47"/>
        <v>AA204</v>
      </c>
      <c r="E291" s="200" t="str">
        <f t="shared" si="48"/>
        <v>Get Data</v>
      </c>
      <c r="F291" s="200" t="str">
        <f>'2nd_Post_Processing'!$L$6</f>
        <v>Line</v>
      </c>
      <c r="G291" s="200"/>
      <c r="H291" s="200"/>
      <c r="I291" s="200" t="str">
        <f t="shared" si="49"/>
        <v>Attachmenttype[204]</v>
      </c>
      <c r="J291" s="207">
        <f t="shared" si="41"/>
        <v>206</v>
      </c>
      <c r="K291" s="207" t="str">
        <f t="shared" si="42"/>
        <v/>
      </c>
      <c r="L291" s="207" t="str">
        <f t="shared" si="43"/>
        <v/>
      </c>
      <c r="M291" s="207" t="str">
        <f t="shared" si="44"/>
        <v/>
      </c>
      <c r="N291" s="208">
        <f t="shared" si="45"/>
        <v>206</v>
      </c>
    </row>
    <row r="292" spans="1:14" ht="13.5" customHeight="1" x14ac:dyDescent="0.2">
      <c r="A292" s="200" t="str">
        <f t="shared" si="46"/>
        <v>Auxiliar4</v>
      </c>
      <c r="B292" s="200"/>
      <c r="C292" s="200"/>
      <c r="D292" s="200" t="str">
        <f t="shared" si="47"/>
        <v>AA205</v>
      </c>
      <c r="E292" s="200" t="str">
        <f t="shared" si="48"/>
        <v>Get Data</v>
      </c>
      <c r="F292" s="200" t="str">
        <f>'2nd_Post_Processing'!$L$6</f>
        <v>Line</v>
      </c>
      <c r="G292" s="200"/>
      <c r="H292" s="200"/>
      <c r="I292" s="200" t="str">
        <f t="shared" si="49"/>
        <v>Attachmenttype[205]</v>
      </c>
      <c r="J292" s="207">
        <f t="shared" si="41"/>
        <v>207</v>
      </c>
      <c r="K292" s="207" t="str">
        <f t="shared" si="42"/>
        <v/>
      </c>
      <c r="L292" s="207" t="str">
        <f t="shared" si="43"/>
        <v/>
      </c>
      <c r="M292" s="207" t="str">
        <f t="shared" si="44"/>
        <v/>
      </c>
      <c r="N292" s="208">
        <f t="shared" si="45"/>
        <v>207</v>
      </c>
    </row>
    <row r="293" spans="1:14" ht="13.5" customHeight="1" x14ac:dyDescent="0.2">
      <c r="A293" s="200" t="str">
        <f t="shared" si="46"/>
        <v>Auxiliar4</v>
      </c>
      <c r="B293" s="200"/>
      <c r="C293" s="200"/>
      <c r="D293" s="200" t="str">
        <f t="shared" si="47"/>
        <v>AA206</v>
      </c>
      <c r="E293" s="200" t="str">
        <f t="shared" si="48"/>
        <v>Get Data</v>
      </c>
      <c r="F293" s="200" t="str">
        <f>'2nd_Post_Processing'!$L$6</f>
        <v>Line</v>
      </c>
      <c r="G293" s="200"/>
      <c r="H293" s="200"/>
      <c r="I293" s="200" t="str">
        <f t="shared" si="49"/>
        <v>Attachmenttype[206]</v>
      </c>
      <c r="J293" s="207">
        <f t="shared" si="41"/>
        <v>208</v>
      </c>
      <c r="K293" s="207" t="str">
        <f t="shared" si="42"/>
        <v/>
      </c>
      <c r="L293" s="207" t="str">
        <f t="shared" si="43"/>
        <v/>
      </c>
      <c r="M293" s="207" t="str">
        <f t="shared" si="44"/>
        <v/>
      </c>
      <c r="N293" s="208">
        <f t="shared" si="45"/>
        <v>208</v>
      </c>
    </row>
    <row r="294" spans="1:14" ht="13.5" customHeight="1" x14ac:dyDescent="0.2">
      <c r="A294" s="200" t="str">
        <f t="shared" si="46"/>
        <v>Auxiliar4</v>
      </c>
      <c r="B294" s="200"/>
      <c r="C294" s="200"/>
      <c r="D294" s="200" t="str">
        <f t="shared" si="47"/>
        <v>AA207</v>
      </c>
      <c r="E294" s="200" t="str">
        <f t="shared" si="48"/>
        <v>Get Data</v>
      </c>
      <c r="F294" s="200" t="str">
        <f>'2nd_Post_Processing'!$L$6</f>
        <v>Line</v>
      </c>
      <c r="G294" s="200"/>
      <c r="H294" s="200"/>
      <c r="I294" s="200" t="str">
        <f t="shared" si="49"/>
        <v>Attachmenttype[207]</v>
      </c>
      <c r="J294" s="207">
        <f t="shared" si="41"/>
        <v>209</v>
      </c>
      <c r="K294" s="207" t="str">
        <f t="shared" si="42"/>
        <v/>
      </c>
      <c r="L294" s="207" t="str">
        <f t="shared" si="43"/>
        <v/>
      </c>
      <c r="M294" s="207" t="str">
        <f t="shared" si="44"/>
        <v/>
      </c>
      <c r="N294" s="208">
        <f t="shared" si="45"/>
        <v>209</v>
      </c>
    </row>
    <row r="295" spans="1:14" ht="13.5" customHeight="1" x14ac:dyDescent="0.2">
      <c r="A295" s="200" t="str">
        <f t="shared" si="46"/>
        <v>Auxiliar4</v>
      </c>
      <c r="B295" s="200"/>
      <c r="C295" s="200"/>
      <c r="D295" s="200" t="str">
        <f t="shared" si="47"/>
        <v>AA208</v>
      </c>
      <c r="E295" s="200" t="str">
        <f t="shared" si="48"/>
        <v>Get Data</v>
      </c>
      <c r="F295" s="200" t="str">
        <f>'2nd_Post_Processing'!$L$6</f>
        <v>Line</v>
      </c>
      <c r="G295" s="200"/>
      <c r="H295" s="200"/>
      <c r="I295" s="200" t="str">
        <f t="shared" si="49"/>
        <v>Attachmenttype[208]</v>
      </c>
      <c r="J295" s="207">
        <f t="shared" si="41"/>
        <v>210</v>
      </c>
      <c r="K295" s="207" t="str">
        <f t="shared" si="42"/>
        <v/>
      </c>
      <c r="L295" s="207" t="str">
        <f t="shared" si="43"/>
        <v/>
      </c>
      <c r="M295" s="207" t="str">
        <f t="shared" si="44"/>
        <v/>
      </c>
      <c r="N295" s="208">
        <f t="shared" si="45"/>
        <v>210</v>
      </c>
    </row>
    <row r="296" spans="1:14" ht="13.5" customHeight="1" x14ac:dyDescent="0.2">
      <c r="A296" s="200" t="str">
        <f t="shared" si="46"/>
        <v>Auxiliar4</v>
      </c>
      <c r="B296" s="200"/>
      <c r="C296" s="200"/>
      <c r="D296" s="200" t="str">
        <f t="shared" si="47"/>
        <v>AA209</v>
      </c>
      <c r="E296" s="200" t="str">
        <f t="shared" si="48"/>
        <v>Get Data</v>
      </c>
      <c r="F296" s="200" t="str">
        <f>'2nd_Post_Processing'!$L$6</f>
        <v>Line</v>
      </c>
      <c r="G296" s="200"/>
      <c r="H296" s="200"/>
      <c r="I296" s="200" t="str">
        <f t="shared" si="49"/>
        <v>Attachmenttype[209]</v>
      </c>
      <c r="J296" s="207">
        <f t="shared" si="41"/>
        <v>211</v>
      </c>
      <c r="K296" s="207" t="str">
        <f t="shared" si="42"/>
        <v/>
      </c>
      <c r="L296" s="207" t="str">
        <f t="shared" si="43"/>
        <v/>
      </c>
      <c r="M296" s="207" t="str">
        <f t="shared" si="44"/>
        <v/>
      </c>
      <c r="N296" s="208">
        <f t="shared" si="45"/>
        <v>211</v>
      </c>
    </row>
    <row r="297" spans="1:14" ht="13.5" customHeight="1" x14ac:dyDescent="0.2">
      <c r="A297" s="200" t="str">
        <f t="shared" si="46"/>
        <v>Auxiliar4</v>
      </c>
      <c r="B297" s="200"/>
      <c r="C297" s="200"/>
      <c r="D297" s="200" t="str">
        <f t="shared" si="47"/>
        <v>AA210</v>
      </c>
      <c r="E297" s="200" t="str">
        <f t="shared" si="48"/>
        <v>Get Data</v>
      </c>
      <c r="F297" s="200" t="str">
        <f>'2nd_Post_Processing'!$L$6</f>
        <v>Line</v>
      </c>
      <c r="G297" s="200"/>
      <c r="H297" s="200"/>
      <c r="I297" s="200" t="str">
        <f t="shared" si="49"/>
        <v>Attachmenttype[210]</v>
      </c>
      <c r="J297" s="207">
        <f t="shared" si="41"/>
        <v>212</v>
      </c>
      <c r="K297" s="207" t="str">
        <f t="shared" si="42"/>
        <v/>
      </c>
      <c r="L297" s="207" t="str">
        <f t="shared" si="43"/>
        <v/>
      </c>
      <c r="M297" s="207" t="str">
        <f t="shared" si="44"/>
        <v/>
      </c>
      <c r="N297" s="208">
        <f t="shared" si="45"/>
        <v>212</v>
      </c>
    </row>
    <row r="298" spans="1:14" ht="13.5" customHeight="1" x14ac:dyDescent="0.2">
      <c r="A298" s="200" t="str">
        <f t="shared" si="46"/>
        <v>Auxiliar4</v>
      </c>
      <c r="B298" s="200"/>
      <c r="C298" s="200"/>
      <c r="D298" s="200" t="str">
        <f t="shared" si="47"/>
        <v>AA211</v>
      </c>
      <c r="E298" s="200" t="str">
        <f t="shared" si="48"/>
        <v>Get Data</v>
      </c>
      <c r="F298" s="200" t="str">
        <f>'2nd_Post_Processing'!$L$6</f>
        <v>Line</v>
      </c>
      <c r="G298" s="200"/>
      <c r="H298" s="200"/>
      <c r="I298" s="200" t="str">
        <f t="shared" si="49"/>
        <v>Attachmenttype[211]</v>
      </c>
      <c r="J298" s="207">
        <f t="shared" si="41"/>
        <v>213</v>
      </c>
      <c r="K298" s="207" t="str">
        <f t="shared" si="42"/>
        <v/>
      </c>
      <c r="L298" s="207" t="str">
        <f t="shared" si="43"/>
        <v/>
      </c>
      <c r="M298" s="207" t="str">
        <f t="shared" si="44"/>
        <v/>
      </c>
      <c r="N298" s="208">
        <f t="shared" si="45"/>
        <v>213</v>
      </c>
    </row>
    <row r="299" spans="1:14" ht="13.5" customHeight="1" x14ac:dyDescent="0.2">
      <c r="A299" s="200" t="str">
        <f t="shared" si="46"/>
        <v>Auxiliar4</v>
      </c>
      <c r="B299" s="200"/>
      <c r="C299" s="200"/>
      <c r="D299" s="200" t="str">
        <f t="shared" si="47"/>
        <v>AA212</v>
      </c>
      <c r="E299" s="200" t="str">
        <f t="shared" si="48"/>
        <v>Get Data</v>
      </c>
      <c r="F299" s="200" t="str">
        <f>'2nd_Post_Processing'!$L$6</f>
        <v>Line</v>
      </c>
      <c r="G299" s="200"/>
      <c r="H299" s="200"/>
      <c r="I299" s="200" t="str">
        <f t="shared" si="49"/>
        <v>Attachmenttype[212]</v>
      </c>
      <c r="J299" s="207">
        <f t="shared" si="41"/>
        <v>214</v>
      </c>
      <c r="K299" s="207" t="str">
        <f t="shared" si="42"/>
        <v/>
      </c>
      <c r="L299" s="207" t="str">
        <f t="shared" si="43"/>
        <v/>
      </c>
      <c r="M299" s="207" t="str">
        <f t="shared" si="44"/>
        <v/>
      </c>
      <c r="N299" s="208">
        <f t="shared" si="45"/>
        <v>214</v>
      </c>
    </row>
    <row r="300" spans="1:14" ht="13.5" customHeight="1" x14ac:dyDescent="0.2">
      <c r="A300" s="200" t="str">
        <f t="shared" si="46"/>
        <v>Auxiliar4</v>
      </c>
      <c r="B300" s="200"/>
      <c r="C300" s="200"/>
      <c r="D300" s="200" t="str">
        <f t="shared" si="47"/>
        <v>AA213</v>
      </c>
      <c r="E300" s="200" t="str">
        <f t="shared" si="48"/>
        <v>Get Data</v>
      </c>
      <c r="F300" s="200" t="str">
        <f>'2nd_Post_Processing'!$L$6</f>
        <v>Line</v>
      </c>
      <c r="G300" s="200"/>
      <c r="H300" s="200"/>
      <c r="I300" s="200" t="str">
        <f t="shared" si="49"/>
        <v>Attachmenttype[213]</v>
      </c>
      <c r="J300" s="207">
        <f t="shared" si="41"/>
        <v>215</v>
      </c>
      <c r="K300" s="207" t="str">
        <f t="shared" si="42"/>
        <v/>
      </c>
      <c r="L300" s="207" t="str">
        <f t="shared" si="43"/>
        <v/>
      </c>
      <c r="M300" s="207" t="str">
        <f t="shared" si="44"/>
        <v/>
      </c>
      <c r="N300" s="208">
        <f t="shared" si="45"/>
        <v>215</v>
      </c>
    </row>
    <row r="301" spans="1:14" ht="13.5" customHeight="1" x14ac:dyDescent="0.2">
      <c r="A301" s="200" t="str">
        <f t="shared" si="46"/>
        <v>Auxiliar4</v>
      </c>
      <c r="B301" s="200"/>
      <c r="C301" s="200"/>
      <c r="D301" s="200" t="str">
        <f t="shared" si="47"/>
        <v>AA214</v>
      </c>
      <c r="E301" s="200" t="str">
        <f t="shared" si="48"/>
        <v>Get Data</v>
      </c>
      <c r="F301" s="200" t="str">
        <f>'2nd_Post_Processing'!$L$6</f>
        <v>Line</v>
      </c>
      <c r="G301" s="200"/>
      <c r="H301" s="200"/>
      <c r="I301" s="200" t="str">
        <f t="shared" si="49"/>
        <v>Attachmenttype[214]</v>
      </c>
      <c r="J301" s="207">
        <f t="shared" si="41"/>
        <v>216</v>
      </c>
      <c r="K301" s="207" t="str">
        <f t="shared" si="42"/>
        <v/>
      </c>
      <c r="L301" s="207" t="str">
        <f t="shared" si="43"/>
        <v/>
      </c>
      <c r="M301" s="207" t="str">
        <f t="shared" si="44"/>
        <v/>
      </c>
      <c r="N301" s="208">
        <f t="shared" si="45"/>
        <v>216</v>
      </c>
    </row>
    <row r="302" spans="1:14" ht="13.5" customHeight="1" x14ac:dyDescent="0.2">
      <c r="A302" s="200" t="str">
        <f t="shared" si="46"/>
        <v>Auxiliar4</v>
      </c>
      <c r="B302" s="200"/>
      <c r="C302" s="200"/>
      <c r="D302" s="200" t="str">
        <f t="shared" si="47"/>
        <v>AA215</v>
      </c>
      <c r="E302" s="200" t="str">
        <f t="shared" si="48"/>
        <v>Get Data</v>
      </c>
      <c r="F302" s="200" t="str">
        <f>'2nd_Post_Processing'!$L$6</f>
        <v>Line</v>
      </c>
      <c r="G302" s="200"/>
      <c r="H302" s="200"/>
      <c r="I302" s="200" t="str">
        <f t="shared" si="49"/>
        <v>Attachmenttype[215]</v>
      </c>
      <c r="J302" s="207">
        <f t="shared" si="41"/>
        <v>217</v>
      </c>
      <c r="K302" s="207" t="str">
        <f t="shared" si="42"/>
        <v/>
      </c>
      <c r="L302" s="207" t="str">
        <f t="shared" si="43"/>
        <v/>
      </c>
      <c r="M302" s="207" t="str">
        <f t="shared" si="44"/>
        <v/>
      </c>
      <c r="N302" s="208">
        <f t="shared" si="45"/>
        <v>217</v>
      </c>
    </row>
    <row r="303" spans="1:14" ht="13.5" customHeight="1" x14ac:dyDescent="0.2">
      <c r="A303" s="200" t="str">
        <f t="shared" si="46"/>
        <v>Auxiliar4</v>
      </c>
      <c r="B303" s="200"/>
      <c r="C303" s="200"/>
      <c r="D303" s="200" t="str">
        <f t="shared" si="47"/>
        <v>AA216</v>
      </c>
      <c r="E303" s="200" t="str">
        <f t="shared" si="48"/>
        <v>Get Data</v>
      </c>
      <c r="F303" s="200" t="str">
        <f>'2nd_Post_Processing'!$L$6</f>
        <v>Line</v>
      </c>
      <c r="G303" s="200"/>
      <c r="H303" s="200"/>
      <c r="I303" s="200" t="str">
        <f t="shared" si="49"/>
        <v>Attachmenttype[216]</v>
      </c>
      <c r="J303" s="207">
        <f t="shared" si="41"/>
        <v>218</v>
      </c>
      <c r="K303" s="207" t="str">
        <f t="shared" si="42"/>
        <v/>
      </c>
      <c r="L303" s="207" t="str">
        <f t="shared" si="43"/>
        <v/>
      </c>
      <c r="M303" s="207" t="str">
        <f t="shared" si="44"/>
        <v/>
      </c>
      <c r="N303" s="208">
        <f t="shared" si="45"/>
        <v>218</v>
      </c>
    </row>
    <row r="304" spans="1:14" ht="13.5" customHeight="1" x14ac:dyDescent="0.2">
      <c r="A304" s="200" t="str">
        <f t="shared" si="46"/>
        <v>Auxiliar4</v>
      </c>
      <c r="B304" s="200"/>
      <c r="C304" s="200"/>
      <c r="D304" s="200" t="str">
        <f t="shared" si="47"/>
        <v>AA217</v>
      </c>
      <c r="E304" s="200" t="str">
        <f t="shared" si="48"/>
        <v>Get Data</v>
      </c>
      <c r="F304" s="200" t="str">
        <f>'2nd_Post_Processing'!$L$6</f>
        <v>Line</v>
      </c>
      <c r="G304" s="200"/>
      <c r="H304" s="200"/>
      <c r="I304" s="200" t="str">
        <f t="shared" si="49"/>
        <v>Attachmenttype[217]</v>
      </c>
      <c r="J304" s="207">
        <f t="shared" si="41"/>
        <v>219</v>
      </c>
      <c r="K304" s="207" t="str">
        <f t="shared" si="42"/>
        <v/>
      </c>
      <c r="L304" s="207" t="str">
        <f t="shared" si="43"/>
        <v/>
      </c>
      <c r="M304" s="207" t="str">
        <f t="shared" si="44"/>
        <v/>
      </c>
      <c r="N304" s="208">
        <f t="shared" si="45"/>
        <v>219</v>
      </c>
    </row>
    <row r="305" spans="1:14" ht="13.5" customHeight="1" x14ac:dyDescent="0.2">
      <c r="A305" s="200" t="str">
        <f t="shared" si="46"/>
        <v>Auxiliar4</v>
      </c>
      <c r="B305" s="200"/>
      <c r="C305" s="200"/>
      <c r="D305" s="200" t="str">
        <f t="shared" si="47"/>
        <v>AA218</v>
      </c>
      <c r="E305" s="200" t="str">
        <f t="shared" si="48"/>
        <v>Get Data</v>
      </c>
      <c r="F305" s="200" t="str">
        <f>'2nd_Post_Processing'!$L$6</f>
        <v>Line</v>
      </c>
      <c r="G305" s="200"/>
      <c r="H305" s="200"/>
      <c r="I305" s="200" t="str">
        <f t="shared" si="49"/>
        <v>Attachmenttype[218]</v>
      </c>
      <c r="J305" s="207">
        <f t="shared" si="41"/>
        <v>220</v>
      </c>
      <c r="K305" s="207" t="str">
        <f t="shared" si="42"/>
        <v/>
      </c>
      <c r="L305" s="207" t="str">
        <f t="shared" si="43"/>
        <v/>
      </c>
      <c r="M305" s="207" t="str">
        <f t="shared" si="44"/>
        <v/>
      </c>
      <c r="N305" s="208">
        <f t="shared" si="45"/>
        <v>220</v>
      </c>
    </row>
    <row r="306" spans="1:14" ht="13.5" customHeight="1" x14ac:dyDescent="0.2">
      <c r="A306" s="200" t="str">
        <f t="shared" si="46"/>
        <v>Auxiliar4</v>
      </c>
      <c r="B306" s="200"/>
      <c r="C306" s="200"/>
      <c r="D306" s="200" t="str">
        <f t="shared" si="47"/>
        <v>AA219</v>
      </c>
      <c r="E306" s="200" t="str">
        <f t="shared" si="48"/>
        <v>Get Data</v>
      </c>
      <c r="F306" s="200" t="str">
        <f>'2nd_Post_Processing'!$L$6</f>
        <v>Line</v>
      </c>
      <c r="G306" s="200"/>
      <c r="H306" s="200"/>
      <c r="I306" s="200" t="str">
        <f t="shared" si="49"/>
        <v>Attachmenttype[219]</v>
      </c>
      <c r="J306" s="207">
        <f t="shared" si="41"/>
        <v>221</v>
      </c>
      <c r="K306" s="207" t="str">
        <f t="shared" si="42"/>
        <v/>
      </c>
      <c r="L306" s="207" t="str">
        <f t="shared" si="43"/>
        <v/>
      </c>
      <c r="M306" s="207" t="str">
        <f t="shared" si="44"/>
        <v/>
      </c>
      <c r="N306" s="208">
        <f t="shared" si="45"/>
        <v>221</v>
      </c>
    </row>
    <row r="307" spans="1:14" ht="13.5" customHeight="1" x14ac:dyDescent="0.2">
      <c r="A307" s="200" t="str">
        <f t="shared" si="46"/>
        <v>Auxiliar4</v>
      </c>
      <c r="B307" s="200"/>
      <c r="C307" s="200"/>
      <c r="D307" s="200" t="str">
        <f t="shared" si="47"/>
        <v>AA220</v>
      </c>
      <c r="E307" s="200" t="str">
        <f t="shared" si="48"/>
        <v>Get Data</v>
      </c>
      <c r="F307" s="200" t="str">
        <f>'2nd_Post_Processing'!$L$6</f>
        <v>Line</v>
      </c>
      <c r="G307" s="200"/>
      <c r="H307" s="200"/>
      <c r="I307" s="200" t="str">
        <f t="shared" si="49"/>
        <v>Attachmenttype[220]</v>
      </c>
      <c r="J307" s="207">
        <f t="shared" si="41"/>
        <v>222</v>
      </c>
      <c r="K307" s="207" t="str">
        <f t="shared" si="42"/>
        <v/>
      </c>
      <c r="L307" s="207" t="str">
        <f t="shared" si="43"/>
        <v/>
      </c>
      <c r="M307" s="207" t="str">
        <f t="shared" si="44"/>
        <v/>
      </c>
      <c r="N307" s="208">
        <f t="shared" si="45"/>
        <v>222</v>
      </c>
    </row>
    <row r="308" spans="1:14" ht="13.5" customHeight="1" x14ac:dyDescent="0.2">
      <c r="A308" s="200" t="str">
        <f t="shared" si="46"/>
        <v>Auxiliar4</v>
      </c>
      <c r="B308" s="200"/>
      <c r="C308" s="200"/>
      <c r="D308" s="200" t="str">
        <f t="shared" si="47"/>
        <v>AA221</v>
      </c>
      <c r="E308" s="200" t="str">
        <f t="shared" si="48"/>
        <v>Get Data</v>
      </c>
      <c r="F308" s="200" t="str">
        <f>'2nd_Post_Processing'!$L$6</f>
        <v>Line</v>
      </c>
      <c r="G308" s="200"/>
      <c r="H308" s="200"/>
      <c r="I308" s="200" t="str">
        <f t="shared" si="49"/>
        <v>Attachmenttype[221]</v>
      </c>
      <c r="J308" s="207">
        <f t="shared" si="41"/>
        <v>223</v>
      </c>
      <c r="K308" s="207" t="str">
        <f t="shared" si="42"/>
        <v/>
      </c>
      <c r="L308" s="207" t="str">
        <f t="shared" si="43"/>
        <v/>
      </c>
      <c r="M308" s="207" t="str">
        <f t="shared" si="44"/>
        <v/>
      </c>
      <c r="N308" s="208">
        <f t="shared" si="45"/>
        <v>223</v>
      </c>
    </row>
    <row r="309" spans="1:14" ht="13.5" customHeight="1" x14ac:dyDescent="0.2">
      <c r="A309" s="200" t="str">
        <f t="shared" si="46"/>
        <v>Auxiliar4</v>
      </c>
      <c r="B309" s="200"/>
      <c r="C309" s="200"/>
      <c r="D309" s="200" t="str">
        <f t="shared" si="47"/>
        <v>AA222</v>
      </c>
      <c r="E309" s="200" t="str">
        <f t="shared" si="48"/>
        <v>Get Data</v>
      </c>
      <c r="F309" s="200" t="str">
        <f>'2nd_Post_Processing'!$L$6</f>
        <v>Line</v>
      </c>
      <c r="G309" s="200"/>
      <c r="H309" s="200"/>
      <c r="I309" s="200" t="str">
        <f t="shared" si="49"/>
        <v>Attachmenttype[222]</v>
      </c>
      <c r="J309" s="207">
        <f t="shared" si="41"/>
        <v>224</v>
      </c>
      <c r="K309" s="207" t="str">
        <f t="shared" si="42"/>
        <v/>
      </c>
      <c r="L309" s="207" t="str">
        <f t="shared" si="43"/>
        <v/>
      </c>
      <c r="M309" s="207" t="str">
        <f t="shared" si="44"/>
        <v/>
      </c>
      <c r="N309" s="208">
        <f t="shared" si="45"/>
        <v>224</v>
      </c>
    </row>
    <row r="310" spans="1:14" ht="13.5" customHeight="1" x14ac:dyDescent="0.2">
      <c r="A310" s="200" t="str">
        <f t="shared" si="46"/>
        <v>Auxiliar4</v>
      </c>
      <c r="B310" s="200"/>
      <c r="C310" s="200"/>
      <c r="D310" s="200" t="str">
        <f t="shared" si="47"/>
        <v>AA223</v>
      </c>
      <c r="E310" s="200" t="str">
        <f t="shared" si="48"/>
        <v>Get Data</v>
      </c>
      <c r="F310" s="200" t="str">
        <f>'2nd_Post_Processing'!$L$6</f>
        <v>Line</v>
      </c>
      <c r="G310" s="200"/>
      <c r="H310" s="200"/>
      <c r="I310" s="200" t="str">
        <f t="shared" si="49"/>
        <v>Attachmenttype[223]</v>
      </c>
      <c r="J310" s="207">
        <f t="shared" si="41"/>
        <v>225</v>
      </c>
      <c r="K310" s="207" t="str">
        <f t="shared" si="42"/>
        <v/>
      </c>
      <c r="L310" s="207" t="str">
        <f t="shared" si="43"/>
        <v/>
      </c>
      <c r="M310" s="207" t="str">
        <f t="shared" si="44"/>
        <v/>
      </c>
      <c r="N310" s="208">
        <f t="shared" si="45"/>
        <v>225</v>
      </c>
    </row>
    <row r="311" spans="1:14" ht="13.5" customHeight="1" x14ac:dyDescent="0.2">
      <c r="A311" s="200" t="str">
        <f t="shared" si="46"/>
        <v>Auxiliar4</v>
      </c>
      <c r="B311" s="200"/>
      <c r="C311" s="200"/>
      <c r="D311" s="200" t="str">
        <f t="shared" si="47"/>
        <v>AA224</v>
      </c>
      <c r="E311" s="200" t="str">
        <f t="shared" si="48"/>
        <v>Get Data</v>
      </c>
      <c r="F311" s="200" t="str">
        <f>'2nd_Post_Processing'!$L$6</f>
        <v>Line</v>
      </c>
      <c r="G311" s="200"/>
      <c r="H311" s="200"/>
      <c r="I311" s="200" t="str">
        <f t="shared" si="49"/>
        <v>Attachmenttype[224]</v>
      </c>
      <c r="J311" s="207">
        <f t="shared" si="41"/>
        <v>226</v>
      </c>
      <c r="K311" s="207" t="str">
        <f t="shared" si="42"/>
        <v/>
      </c>
      <c r="L311" s="207" t="str">
        <f t="shared" si="43"/>
        <v/>
      </c>
      <c r="M311" s="207" t="str">
        <f t="shared" si="44"/>
        <v/>
      </c>
      <c r="N311" s="208">
        <f t="shared" si="45"/>
        <v>226</v>
      </c>
    </row>
    <row r="312" spans="1:14" ht="13.5" customHeight="1" x14ac:dyDescent="0.2">
      <c r="A312" s="200" t="str">
        <f t="shared" si="46"/>
        <v>Auxiliar4</v>
      </c>
      <c r="B312" s="200"/>
      <c r="C312" s="200"/>
      <c r="D312" s="200" t="str">
        <f t="shared" si="47"/>
        <v>AA225</v>
      </c>
      <c r="E312" s="200" t="str">
        <f t="shared" si="48"/>
        <v>Get Data</v>
      </c>
      <c r="F312" s="200" t="str">
        <f>'2nd_Post_Processing'!$L$6</f>
        <v>Line</v>
      </c>
      <c r="G312" s="200"/>
      <c r="H312" s="200"/>
      <c r="I312" s="200" t="str">
        <f t="shared" si="49"/>
        <v>Attachmenttype[225]</v>
      </c>
      <c r="J312" s="207">
        <f t="shared" si="41"/>
        <v>227</v>
      </c>
      <c r="K312" s="207" t="str">
        <f t="shared" si="42"/>
        <v/>
      </c>
      <c r="L312" s="207" t="str">
        <f t="shared" si="43"/>
        <v/>
      </c>
      <c r="M312" s="207" t="str">
        <f t="shared" si="44"/>
        <v/>
      </c>
      <c r="N312" s="208">
        <f t="shared" si="45"/>
        <v>227</v>
      </c>
    </row>
    <row r="313" spans="1:14" ht="13.5" customHeight="1" x14ac:dyDescent="0.2">
      <c r="A313" s="200" t="str">
        <f t="shared" si="46"/>
        <v>Auxiliar4</v>
      </c>
      <c r="B313" s="200"/>
      <c r="C313" s="200"/>
      <c r="D313" s="200" t="str">
        <f t="shared" si="47"/>
        <v>AA226</v>
      </c>
      <c r="E313" s="200" t="str">
        <f t="shared" si="48"/>
        <v>Get Data</v>
      </c>
      <c r="F313" s="200" t="str">
        <f>'2nd_Post_Processing'!$L$6</f>
        <v>Line</v>
      </c>
      <c r="G313" s="200"/>
      <c r="H313" s="200"/>
      <c r="I313" s="200" t="str">
        <f t="shared" si="49"/>
        <v>Attachmenttype[226]</v>
      </c>
      <c r="J313" s="207">
        <f t="shared" si="41"/>
        <v>228</v>
      </c>
      <c r="K313" s="207" t="str">
        <f t="shared" si="42"/>
        <v/>
      </c>
      <c r="L313" s="207" t="str">
        <f t="shared" si="43"/>
        <v/>
      </c>
      <c r="M313" s="207" t="str">
        <f t="shared" si="44"/>
        <v/>
      </c>
      <c r="N313" s="208">
        <f t="shared" si="45"/>
        <v>228</v>
      </c>
    </row>
    <row r="314" spans="1:14" ht="13.5" customHeight="1" x14ac:dyDescent="0.2">
      <c r="A314" s="200" t="str">
        <f t="shared" si="46"/>
        <v>Auxiliar4</v>
      </c>
      <c r="B314" s="200"/>
      <c r="C314" s="200"/>
      <c r="D314" s="200" t="str">
        <f t="shared" si="47"/>
        <v>AA227</v>
      </c>
      <c r="E314" s="200" t="str">
        <f t="shared" si="48"/>
        <v>Get Data</v>
      </c>
      <c r="F314" s="200" t="str">
        <f>'2nd_Post_Processing'!$L$6</f>
        <v>Line</v>
      </c>
      <c r="G314" s="200"/>
      <c r="H314" s="200"/>
      <c r="I314" s="200" t="str">
        <f t="shared" si="49"/>
        <v>Attachmenttype[227]</v>
      </c>
    </row>
    <row r="315" spans="1:14" ht="13.5" customHeight="1" x14ac:dyDescent="0.2">
      <c r="A315" s="200" t="str">
        <f t="shared" si="46"/>
        <v>Auxiliar4</v>
      </c>
      <c r="B315" s="200"/>
      <c r="C315" s="200"/>
      <c r="D315" s="200" t="str">
        <f t="shared" si="47"/>
        <v>AA228</v>
      </c>
      <c r="E315" s="200" t="str">
        <f t="shared" si="48"/>
        <v>Get Data</v>
      </c>
      <c r="F315" s="200" t="str">
        <f>'2nd_Post_Processing'!$L$6</f>
        <v>Line</v>
      </c>
      <c r="G315" s="200"/>
      <c r="H315" s="200"/>
      <c r="I315" s="200" t="str">
        <f t="shared" si="49"/>
        <v>Attachmenttype[228]</v>
      </c>
    </row>
  </sheetData>
  <dataConsolidate/>
  <mergeCells count="2">
    <mergeCell ref="K5:L5"/>
    <mergeCell ref="J85:N85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7 F54" formula="1"/>
    <ignoredError sqref="C38 H38" evalError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270"/>
  <sheetViews>
    <sheetView workbookViewId="0"/>
  </sheetViews>
  <sheetFormatPr defaultColWidth="0" defaultRowHeight="12.75" zeroHeight="1" x14ac:dyDescent="0.2"/>
  <cols>
    <col min="1" max="1" width="2.7109375" style="245" customWidth="1"/>
    <col min="2" max="2" width="25.7109375" style="58" customWidth="1"/>
    <col min="3" max="6" width="14.7109375" style="58" customWidth="1"/>
    <col min="7" max="7" width="5.7109375" style="245" customWidth="1"/>
    <col min="8" max="8" width="25.7109375" style="58" customWidth="1"/>
    <col min="9" max="12" width="14.7109375" style="58" customWidth="1"/>
    <col min="13" max="13" width="2.7109375" style="245" customWidth="1"/>
    <col min="14" max="15" width="20.7109375" style="58" customWidth="1"/>
    <col min="16" max="16" width="2.7109375" style="245" customWidth="1"/>
    <col min="17" max="19" width="20.7109375" style="58" customWidth="1"/>
    <col min="20" max="20" width="2.7109375" style="245" customWidth="1"/>
    <col min="21" max="62" width="0" style="58" hidden="1" customWidth="1"/>
    <col min="63" max="16384" width="9.140625" style="171" hidden="1"/>
  </cols>
  <sheetData>
    <row r="1" spans="1:62" s="605" customFormat="1" x14ac:dyDescent="0.2">
      <c r="A1" s="245"/>
      <c r="B1" s="42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5"/>
      <c r="AR1" s="245"/>
      <c r="AS1" s="245"/>
      <c r="AT1" s="245"/>
      <c r="AU1" s="245"/>
      <c r="AV1" s="245"/>
      <c r="AW1" s="245"/>
      <c r="AX1" s="245"/>
      <c r="AY1" s="245"/>
      <c r="AZ1" s="245"/>
      <c r="BA1" s="245"/>
      <c r="BB1" s="245"/>
      <c r="BC1" s="245"/>
      <c r="BD1" s="245"/>
      <c r="BE1" s="245"/>
      <c r="BF1" s="245"/>
      <c r="BG1" s="245"/>
      <c r="BH1" s="245"/>
      <c r="BI1" s="245"/>
      <c r="BJ1" s="245"/>
    </row>
    <row r="2" spans="1:62" s="605" customFormat="1" x14ac:dyDescent="0.2">
      <c r="A2" s="429" t="s">
        <v>1775</v>
      </c>
      <c r="B2" s="429"/>
      <c r="C2" s="245"/>
      <c r="D2" s="245"/>
      <c r="E2" s="245"/>
      <c r="F2" s="245"/>
      <c r="G2" s="429" t="s">
        <v>1776</v>
      </c>
      <c r="H2" s="429"/>
      <c r="I2" s="429"/>
      <c r="J2" s="429"/>
      <c r="K2" s="429"/>
      <c r="L2" s="429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  <c r="AK2" s="245"/>
      <c r="AL2" s="245"/>
      <c r="AM2" s="245"/>
      <c r="AN2" s="245"/>
      <c r="AO2" s="245"/>
      <c r="AP2" s="245"/>
      <c r="AQ2" s="245"/>
      <c r="AR2" s="245"/>
      <c r="AS2" s="245"/>
      <c r="AT2" s="245"/>
      <c r="AU2" s="245"/>
      <c r="AV2" s="245"/>
      <c r="AW2" s="245"/>
      <c r="AX2" s="245"/>
      <c r="AY2" s="245"/>
      <c r="AZ2" s="245"/>
      <c r="BA2" s="245"/>
      <c r="BB2" s="245"/>
      <c r="BC2" s="245"/>
      <c r="BD2" s="245"/>
      <c r="BE2" s="245"/>
      <c r="BF2" s="245"/>
      <c r="BG2" s="245"/>
      <c r="BH2" s="245"/>
      <c r="BI2" s="245"/>
      <c r="BJ2" s="245"/>
    </row>
    <row r="3" spans="1:62" s="605" customFormat="1" ht="13.5" thickBot="1" x14ac:dyDescent="0.25">
      <c r="A3" s="245"/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/>
      <c r="AU3" s="245"/>
      <c r="AV3" s="245"/>
      <c r="AW3" s="245"/>
      <c r="AX3" s="245"/>
      <c r="AY3" s="245"/>
      <c r="AZ3" s="245"/>
      <c r="BA3" s="245"/>
      <c r="BB3" s="245"/>
      <c r="BC3" s="245"/>
      <c r="BD3" s="245"/>
      <c r="BE3" s="245"/>
      <c r="BF3" s="245"/>
      <c r="BG3" s="245"/>
      <c r="BH3" s="245"/>
      <c r="BI3" s="245"/>
      <c r="BJ3" s="245"/>
    </row>
    <row r="4" spans="1:62" x14ac:dyDescent="0.2">
      <c r="B4" s="344"/>
      <c r="C4" s="353"/>
      <c r="D4" s="353"/>
      <c r="E4" s="353"/>
      <c r="F4" s="354"/>
      <c r="H4" s="344"/>
      <c r="I4" s="353"/>
      <c r="J4" s="353"/>
      <c r="K4" s="353"/>
      <c r="L4" s="354"/>
      <c r="N4" s="776" t="s">
        <v>1762</v>
      </c>
      <c r="O4" s="776"/>
      <c r="Q4" s="776" t="s">
        <v>1764</v>
      </c>
      <c r="R4" s="776"/>
      <c r="S4" s="776"/>
    </row>
    <row r="5" spans="1:62" ht="13.5" thickBot="1" x14ac:dyDescent="0.25">
      <c r="B5" s="345"/>
      <c r="C5" s="346"/>
      <c r="D5" s="346"/>
      <c r="E5" s="346"/>
      <c r="F5" s="347"/>
      <c r="H5" s="345"/>
      <c r="I5" s="346"/>
      <c r="J5" s="346"/>
      <c r="K5" s="346"/>
      <c r="L5" s="347"/>
      <c r="N5" s="357" t="s">
        <v>1761</v>
      </c>
      <c r="O5" s="370" t="str">
        <f>IF(AND(O6&gt;0,ISNUMBER(O7)), MIN(O10:O11), IF(AND(O6&gt;0, ISTEXT(O7)), O6, IF(O6&lt;=0, O7)))</f>
        <v/>
      </c>
      <c r="Q5" s="357"/>
      <c r="R5" s="357"/>
      <c r="S5" s="357"/>
    </row>
    <row r="6" spans="1:62" ht="13.5" thickTop="1" x14ac:dyDescent="0.2">
      <c r="B6" s="340"/>
      <c r="C6" s="341"/>
      <c r="D6" s="341"/>
      <c r="E6" s="341"/>
      <c r="F6" s="348"/>
      <c r="H6" s="340"/>
      <c r="I6" s="341"/>
      <c r="J6" s="341"/>
      <c r="K6" s="341"/>
      <c r="L6" s="348"/>
      <c r="N6" s="357" t="s">
        <v>487</v>
      </c>
      <c r="O6" s="66" t="str">
        <f>IF(O10&lt;=0,"",O10)</f>
        <v/>
      </c>
      <c r="Q6" s="66"/>
      <c r="R6" s="66"/>
      <c r="S6" s="66"/>
    </row>
    <row r="7" spans="1:62" x14ac:dyDescent="0.2">
      <c r="B7" s="339"/>
      <c r="C7" s="66"/>
      <c r="D7" s="66"/>
      <c r="E7" s="66"/>
      <c r="F7" s="349"/>
      <c r="H7" s="339"/>
      <c r="I7" s="66"/>
      <c r="J7" s="66"/>
      <c r="K7" s="66"/>
      <c r="L7" s="349"/>
      <c r="N7" s="357" t="s">
        <v>305</v>
      </c>
      <c r="O7" s="431" t="str">
        <f>IF(O11&lt;=0, "Empty", O11)</f>
        <v>Empty</v>
      </c>
      <c r="Q7" s="66"/>
      <c r="R7" s="66"/>
      <c r="S7" s="66"/>
    </row>
    <row r="8" spans="1:62" x14ac:dyDescent="0.2">
      <c r="B8" s="339"/>
      <c r="C8" s="66"/>
      <c r="D8" s="66"/>
      <c r="E8" s="66"/>
      <c r="F8" s="349"/>
      <c r="H8" s="339"/>
      <c r="I8" s="66"/>
      <c r="J8" s="66"/>
      <c r="K8" s="66"/>
      <c r="L8" s="349"/>
      <c r="N8" s="245"/>
      <c r="O8" s="245"/>
      <c r="Q8" s="66"/>
      <c r="R8" s="66"/>
      <c r="S8" s="66"/>
    </row>
    <row r="9" spans="1:62" x14ac:dyDescent="0.2">
      <c r="B9" s="339"/>
      <c r="C9" s="66"/>
      <c r="D9" s="66"/>
      <c r="E9" s="66"/>
      <c r="F9" s="349"/>
      <c r="H9" s="339"/>
      <c r="I9" s="66"/>
      <c r="J9" s="66"/>
      <c r="K9" s="66"/>
      <c r="L9" s="349"/>
      <c r="N9" s="776" t="s">
        <v>1763</v>
      </c>
      <c r="O9" s="776"/>
      <c r="Q9" s="66"/>
      <c r="R9" s="66"/>
      <c r="S9" s="66"/>
    </row>
    <row r="10" spans="1:62" x14ac:dyDescent="0.2">
      <c r="B10" s="339"/>
      <c r="C10" s="66"/>
      <c r="D10" s="66"/>
      <c r="E10" s="66"/>
      <c r="F10" s="349"/>
      <c r="H10" s="339"/>
      <c r="I10" s="66"/>
      <c r="J10" s="66"/>
      <c r="K10" s="66"/>
      <c r="L10" s="349"/>
      <c r="N10" s="357" t="s">
        <v>487</v>
      </c>
      <c r="O10" s="370" cm="1">
        <f t="array" ref="O10">IF(estudo_cvd_type=2,MIN(IF((Q5:Q2005&gt;=postproc_arclength_cabrestante2),S5:S2005)),MIN(IF(ISNUMBER(Q5:Q2005),S5:S2005)))</f>
        <v>0</v>
      </c>
      <c r="Q10" s="66"/>
      <c r="R10" s="66"/>
      <c r="S10" s="66"/>
    </row>
    <row r="11" spans="1:62" x14ac:dyDescent="0.2">
      <c r="B11" s="339"/>
      <c r="C11" s="66"/>
      <c r="D11" s="66"/>
      <c r="E11" s="66"/>
      <c r="F11" s="349"/>
      <c r="H11" s="339"/>
      <c r="I11" s="66"/>
      <c r="J11" s="66"/>
      <c r="K11" s="66"/>
      <c r="L11" s="349"/>
      <c r="N11" s="357" t="s">
        <v>305</v>
      </c>
      <c r="O11" s="66" cm="1">
        <f t="array" ref="O11">MIN(IF(ISNUMBER(R5:R2005),S5:S2005))</f>
        <v>0</v>
      </c>
      <c r="Q11" s="66"/>
      <c r="R11" s="66"/>
      <c r="S11" s="66"/>
    </row>
    <row r="12" spans="1:62" x14ac:dyDescent="0.2">
      <c r="B12" s="339"/>
      <c r="C12" s="66"/>
      <c r="D12" s="66"/>
      <c r="E12" s="66"/>
      <c r="F12" s="349"/>
      <c r="H12" s="339"/>
      <c r="I12" s="66"/>
      <c r="J12" s="66"/>
      <c r="K12" s="66"/>
      <c r="L12" s="349"/>
      <c r="N12" s="245"/>
      <c r="O12" s="245"/>
      <c r="Q12" s="66"/>
      <c r="R12" s="66"/>
      <c r="S12" s="66"/>
    </row>
    <row r="13" spans="1:62" x14ac:dyDescent="0.2">
      <c r="B13" s="339"/>
      <c r="C13" s="66"/>
      <c r="D13" s="66"/>
      <c r="E13" s="66"/>
      <c r="F13" s="349"/>
      <c r="H13" s="339"/>
      <c r="I13" s="66"/>
      <c r="J13" s="66"/>
      <c r="K13" s="66"/>
      <c r="L13" s="349"/>
      <c r="N13" s="245"/>
      <c r="O13" s="245"/>
      <c r="Q13" s="66"/>
      <c r="R13" s="66"/>
      <c r="S13" s="66"/>
    </row>
    <row r="14" spans="1:62" x14ac:dyDescent="0.2">
      <c r="B14" s="339"/>
      <c r="C14" s="66"/>
      <c r="D14" s="66"/>
      <c r="E14" s="66"/>
      <c r="F14" s="349"/>
      <c r="H14" s="339"/>
      <c r="I14" s="66"/>
      <c r="J14" s="66"/>
      <c r="K14" s="66"/>
      <c r="L14" s="349"/>
      <c r="N14" s="245"/>
      <c r="O14" s="245"/>
      <c r="Q14" s="66"/>
      <c r="R14" s="66"/>
      <c r="S14" s="66"/>
    </row>
    <row r="15" spans="1:62" x14ac:dyDescent="0.2">
      <c r="B15" s="69"/>
      <c r="C15" s="66"/>
      <c r="D15" s="700"/>
      <c r="E15" s="66"/>
      <c r="F15" s="349"/>
      <c r="H15" s="69"/>
      <c r="I15" s="66"/>
      <c r="J15" s="700"/>
      <c r="K15" s="66"/>
      <c r="L15" s="349"/>
      <c r="N15" s="245"/>
      <c r="O15" s="245"/>
      <c r="Q15" s="66"/>
      <c r="R15" s="66"/>
      <c r="S15" s="66"/>
    </row>
    <row r="16" spans="1:62" x14ac:dyDescent="0.2">
      <c r="B16" s="69"/>
      <c r="C16" s="66"/>
      <c r="D16" s="700"/>
      <c r="E16" s="66"/>
      <c r="F16" s="349"/>
      <c r="H16" s="69"/>
      <c r="I16" s="66"/>
      <c r="J16" s="700"/>
      <c r="K16" s="66"/>
      <c r="L16" s="349"/>
      <c r="N16" s="245"/>
      <c r="O16" s="245"/>
      <c r="Q16" s="66"/>
      <c r="R16" s="66"/>
      <c r="S16" s="66"/>
    </row>
    <row r="17" spans="1:19" x14ac:dyDescent="0.2">
      <c r="B17" s="69"/>
      <c r="C17" s="66"/>
      <c r="D17" s="66"/>
      <c r="E17" s="700"/>
      <c r="F17" s="349"/>
      <c r="H17" s="69"/>
      <c r="I17" s="66"/>
      <c r="J17" s="66"/>
      <c r="K17" s="700"/>
      <c r="L17" s="349"/>
      <c r="N17" s="245"/>
      <c r="O17" s="245"/>
      <c r="Q17" s="66"/>
      <c r="R17" s="66"/>
      <c r="S17" s="66"/>
    </row>
    <row r="18" spans="1:19" x14ac:dyDescent="0.2">
      <c r="B18" s="69"/>
      <c r="C18" s="66"/>
      <c r="D18" s="591"/>
      <c r="E18" s="701"/>
      <c r="F18" s="592"/>
      <c r="H18" s="69"/>
      <c r="I18" s="66"/>
      <c r="J18" s="66"/>
      <c r="K18" s="700"/>
      <c r="L18" s="349"/>
      <c r="N18" s="245"/>
      <c r="O18" s="245"/>
      <c r="Q18" s="66"/>
      <c r="R18" s="66"/>
      <c r="S18" s="371"/>
    </row>
    <row r="19" spans="1:19" x14ac:dyDescent="0.2">
      <c r="B19" s="69"/>
      <c r="C19" s="66"/>
      <c r="D19" s="698"/>
      <c r="E19" s="698"/>
      <c r="F19" s="209"/>
      <c r="H19" s="69"/>
      <c r="I19" s="66"/>
      <c r="J19" s="698"/>
      <c r="K19" s="698"/>
      <c r="L19" s="209"/>
      <c r="N19" s="245"/>
      <c r="O19" s="245"/>
      <c r="Q19" s="66"/>
      <c r="R19" s="66"/>
      <c r="S19" s="66"/>
    </row>
    <row r="20" spans="1:19" ht="13.5" thickBot="1" x14ac:dyDescent="0.25">
      <c r="B20" s="350"/>
      <c r="C20" s="352"/>
      <c r="D20" s="699"/>
      <c r="E20" s="699"/>
      <c r="F20" s="218"/>
      <c r="H20" s="350"/>
      <c r="I20" s="352"/>
      <c r="J20" s="699"/>
      <c r="K20" s="699"/>
      <c r="L20" s="218"/>
      <c r="N20" s="245"/>
      <c r="O20" s="245"/>
      <c r="Q20" s="66"/>
      <c r="R20" s="66"/>
      <c r="S20" s="66"/>
    </row>
    <row r="21" spans="1:19" x14ac:dyDescent="0.2">
      <c r="B21" s="245"/>
      <c r="C21" s="245"/>
      <c r="D21" s="429"/>
      <c r="E21" s="245"/>
      <c r="F21" s="245"/>
      <c r="H21" s="245"/>
      <c r="I21" s="245"/>
      <c r="J21" s="245"/>
      <c r="K21" s="429"/>
      <c r="L21" s="245"/>
      <c r="N21" s="245"/>
      <c r="O21" s="245"/>
      <c r="Q21" s="66"/>
      <c r="R21" s="66"/>
      <c r="S21" s="66"/>
    </row>
    <row r="22" spans="1:19" x14ac:dyDescent="0.2">
      <c r="A22" s="429" t="s">
        <v>1885</v>
      </c>
      <c r="B22" s="429"/>
      <c r="C22" s="429"/>
      <c r="D22" s="429"/>
      <c r="E22" s="429"/>
      <c r="F22" s="429"/>
      <c r="G22" s="429" t="s">
        <v>1886</v>
      </c>
      <c r="H22" s="429"/>
      <c r="I22" s="429"/>
      <c r="J22" s="429"/>
      <c r="K22" s="429"/>
      <c r="L22" s="429"/>
      <c r="N22" s="429"/>
      <c r="O22" s="429"/>
      <c r="Q22" s="66"/>
      <c r="R22" s="66"/>
      <c r="S22" s="66"/>
    </row>
    <row r="23" spans="1:19" ht="13.5" thickBot="1" x14ac:dyDescent="0.25">
      <c r="B23" s="245"/>
      <c r="C23" s="245"/>
      <c r="D23" s="245"/>
      <c r="E23" s="245"/>
      <c r="F23" s="245"/>
      <c r="H23" s="245"/>
      <c r="I23" s="245"/>
      <c r="J23" s="245"/>
      <c r="K23" s="429"/>
      <c r="L23" s="245"/>
      <c r="N23" s="245"/>
      <c r="O23" s="245"/>
      <c r="Q23" s="66"/>
      <c r="R23" s="66"/>
      <c r="S23" s="66"/>
    </row>
    <row r="24" spans="1:19" x14ac:dyDescent="0.2">
      <c r="B24" s="344"/>
      <c r="C24" s="353"/>
      <c r="D24" s="353"/>
      <c r="E24" s="353"/>
      <c r="F24" s="354"/>
      <c r="H24" s="344"/>
      <c r="I24" s="353"/>
      <c r="J24" s="353"/>
      <c r="K24" s="353"/>
      <c r="L24" s="354"/>
      <c r="N24" s="245"/>
      <c r="O24" s="245"/>
      <c r="Q24" s="66"/>
      <c r="R24" s="66"/>
      <c r="S24" s="66"/>
    </row>
    <row r="25" spans="1:19" ht="13.5" thickBot="1" x14ac:dyDescent="0.25">
      <c r="B25" s="345"/>
      <c r="C25" s="346"/>
      <c r="D25" s="346"/>
      <c r="E25" s="346"/>
      <c r="F25" s="347"/>
      <c r="H25" s="345"/>
      <c r="I25" s="346"/>
      <c r="J25" s="346"/>
      <c r="K25" s="346"/>
      <c r="L25" s="347"/>
      <c r="N25" s="245"/>
      <c r="O25" s="245"/>
      <c r="Q25" s="66"/>
      <c r="R25" s="66"/>
      <c r="S25" s="66"/>
    </row>
    <row r="26" spans="1:19" ht="13.5" thickTop="1" x14ac:dyDescent="0.2">
      <c r="B26" s="340"/>
      <c r="C26" s="341"/>
      <c r="D26" s="341"/>
      <c r="E26" s="341"/>
      <c r="F26" s="348"/>
      <c r="H26" s="340"/>
      <c r="I26" s="341"/>
      <c r="J26" s="341"/>
      <c r="K26" s="341"/>
      <c r="L26" s="348"/>
      <c r="N26" s="245"/>
      <c r="O26" s="245"/>
      <c r="Q26" s="66"/>
      <c r="R26" s="66"/>
      <c r="S26" s="66"/>
    </row>
    <row r="27" spans="1:19" x14ac:dyDescent="0.2">
      <c r="B27" s="339"/>
      <c r="C27" s="66"/>
      <c r="D27" s="66"/>
      <c r="E27" s="66"/>
      <c r="F27" s="349"/>
      <c r="H27" s="339"/>
      <c r="I27" s="66"/>
      <c r="J27" s="66"/>
      <c r="K27" s="66"/>
      <c r="L27" s="349"/>
      <c r="N27" s="429"/>
      <c r="O27" s="245"/>
      <c r="Q27" s="66"/>
      <c r="R27" s="66"/>
      <c r="S27" s="66"/>
    </row>
    <row r="28" spans="1:19" x14ac:dyDescent="0.2">
      <c r="B28" s="339"/>
      <c r="C28" s="66"/>
      <c r="D28" s="66"/>
      <c r="E28" s="66"/>
      <c r="F28" s="349"/>
      <c r="H28" s="339"/>
      <c r="I28" s="66"/>
      <c r="J28" s="66"/>
      <c r="K28" s="66"/>
      <c r="L28" s="349"/>
      <c r="N28" s="429"/>
      <c r="O28" s="245"/>
      <c r="Q28" s="66"/>
      <c r="R28" s="66"/>
      <c r="S28" s="66"/>
    </row>
    <row r="29" spans="1:19" x14ac:dyDescent="0.2">
      <c r="B29" s="339"/>
      <c r="C29" s="66"/>
      <c r="D29" s="66"/>
      <c r="E29" s="66"/>
      <c r="F29" s="349"/>
      <c r="H29" s="339"/>
      <c r="I29" s="66"/>
      <c r="J29" s="66"/>
      <c r="K29" s="66"/>
      <c r="L29" s="349"/>
      <c r="N29" s="429"/>
      <c r="O29" s="245"/>
      <c r="Q29" s="66"/>
      <c r="R29" s="66"/>
      <c r="S29" s="66"/>
    </row>
    <row r="30" spans="1:19" x14ac:dyDescent="0.2">
      <c r="B30" s="339"/>
      <c r="C30" s="66"/>
      <c r="D30" s="66"/>
      <c r="E30" s="66"/>
      <c r="F30" s="349"/>
      <c r="H30" s="339"/>
      <c r="I30" s="66"/>
      <c r="J30" s="66"/>
      <c r="K30" s="66"/>
      <c r="L30" s="349"/>
      <c r="N30" s="429"/>
      <c r="O30" s="245"/>
      <c r="Q30" s="66"/>
      <c r="R30" s="66"/>
      <c r="S30" s="66"/>
    </row>
    <row r="31" spans="1:19" x14ac:dyDescent="0.2">
      <c r="B31" s="339"/>
      <c r="C31" s="66"/>
      <c r="D31" s="66"/>
      <c r="E31" s="66"/>
      <c r="F31" s="349"/>
      <c r="H31" s="339"/>
      <c r="I31" s="66"/>
      <c r="J31" s="66"/>
      <c r="K31" s="66"/>
      <c r="L31" s="349"/>
      <c r="N31" s="429"/>
      <c r="O31" s="245"/>
      <c r="Q31" s="66"/>
      <c r="R31" s="66"/>
      <c r="S31" s="66"/>
    </row>
    <row r="32" spans="1:19" x14ac:dyDescent="0.2">
      <c r="B32" s="339"/>
      <c r="C32" s="66"/>
      <c r="D32" s="66"/>
      <c r="E32" s="66"/>
      <c r="F32" s="349"/>
      <c r="H32" s="339"/>
      <c r="I32" s="66"/>
      <c r="J32" s="66"/>
      <c r="K32" s="66"/>
      <c r="L32" s="349"/>
      <c r="N32" s="429"/>
      <c r="O32" s="245"/>
      <c r="Q32" s="66"/>
      <c r="R32" s="66"/>
      <c r="S32" s="66"/>
    </row>
    <row r="33" spans="1:19" x14ac:dyDescent="0.2">
      <c r="B33" s="339"/>
      <c r="C33" s="66"/>
      <c r="D33" s="66"/>
      <c r="E33" s="66"/>
      <c r="F33" s="349"/>
      <c r="H33" s="339"/>
      <c r="I33" s="66"/>
      <c r="J33" s="66"/>
      <c r="K33" s="66"/>
      <c r="L33" s="349"/>
      <c r="N33" s="429"/>
      <c r="O33" s="245"/>
      <c r="Q33" s="66"/>
      <c r="R33" s="66"/>
      <c r="S33" s="66"/>
    </row>
    <row r="34" spans="1:19" x14ac:dyDescent="0.2">
      <c r="B34" s="339"/>
      <c r="C34" s="66"/>
      <c r="D34" s="66"/>
      <c r="E34" s="66"/>
      <c r="F34" s="349"/>
      <c r="H34" s="339"/>
      <c r="I34" s="66"/>
      <c r="J34" s="66"/>
      <c r="K34" s="66"/>
      <c r="L34" s="349"/>
      <c r="N34" s="429"/>
      <c r="O34" s="245"/>
      <c r="Q34" s="66"/>
      <c r="R34" s="66"/>
      <c r="S34" s="66"/>
    </row>
    <row r="35" spans="1:19" x14ac:dyDescent="0.2">
      <c r="B35" s="69"/>
      <c r="C35" s="66"/>
      <c r="D35" s="700"/>
      <c r="E35" s="66"/>
      <c r="F35" s="349"/>
      <c r="H35" s="69"/>
      <c r="I35" s="66"/>
      <c r="J35" s="700"/>
      <c r="K35" s="66"/>
      <c r="L35" s="349"/>
      <c r="N35" s="245"/>
      <c r="O35" s="245"/>
      <c r="Q35" s="66"/>
      <c r="R35" s="66"/>
      <c r="S35" s="66"/>
    </row>
    <row r="36" spans="1:19" x14ac:dyDescent="0.2">
      <c r="B36" s="69"/>
      <c r="C36" s="66"/>
      <c r="D36" s="700"/>
      <c r="E36" s="66"/>
      <c r="F36" s="349"/>
      <c r="H36" s="69"/>
      <c r="I36" s="66"/>
      <c r="J36" s="700"/>
      <c r="K36" s="66"/>
      <c r="L36" s="349"/>
      <c r="N36" s="245"/>
      <c r="O36" s="245"/>
      <c r="Q36" s="66"/>
      <c r="R36" s="66"/>
      <c r="S36" s="66"/>
    </row>
    <row r="37" spans="1:19" x14ac:dyDescent="0.2">
      <c r="B37" s="69"/>
      <c r="C37" s="66"/>
      <c r="D37" s="66"/>
      <c r="E37" s="700"/>
      <c r="F37" s="349"/>
      <c r="G37" s="578"/>
      <c r="H37" s="69"/>
      <c r="I37" s="66"/>
      <c r="J37" s="66"/>
      <c r="K37" s="700"/>
      <c r="L37" s="349"/>
      <c r="N37" s="245"/>
      <c r="O37" s="245"/>
      <c r="Q37" s="66"/>
      <c r="R37" s="66"/>
      <c r="S37" s="66"/>
    </row>
    <row r="38" spans="1:19" x14ac:dyDescent="0.2">
      <c r="B38" s="69"/>
      <c r="C38" s="66"/>
      <c r="D38" s="66"/>
      <c r="E38" s="700"/>
      <c r="F38" s="349"/>
      <c r="H38" s="69"/>
      <c r="I38" s="66"/>
      <c r="J38" s="66"/>
      <c r="K38" s="700"/>
      <c r="L38" s="349"/>
      <c r="N38" s="245"/>
      <c r="O38" s="245"/>
      <c r="P38" s="579"/>
      <c r="Q38" s="66"/>
      <c r="R38" s="66"/>
      <c r="S38" s="66"/>
    </row>
    <row r="39" spans="1:19" x14ac:dyDescent="0.2">
      <c r="B39" s="69"/>
      <c r="C39" s="66"/>
      <c r="D39" s="66"/>
      <c r="E39" s="66"/>
      <c r="F39" s="209"/>
      <c r="H39" s="69"/>
      <c r="I39" s="66"/>
      <c r="J39" s="66"/>
      <c r="K39" s="66"/>
      <c r="L39" s="209"/>
      <c r="N39" s="245"/>
      <c r="O39" s="245"/>
      <c r="P39" s="579"/>
      <c r="Q39" s="66"/>
      <c r="R39" s="66"/>
      <c r="S39" s="66"/>
    </row>
    <row r="40" spans="1:19" ht="13.5" thickBot="1" x14ac:dyDescent="0.25">
      <c r="B40" s="350"/>
      <c r="C40" s="352"/>
      <c r="D40" s="352"/>
      <c r="E40" s="352"/>
      <c r="F40" s="218"/>
      <c r="H40" s="350"/>
      <c r="I40" s="352"/>
      <c r="J40" s="352"/>
      <c r="K40" s="352"/>
      <c r="L40" s="218"/>
      <c r="N40" s="245"/>
      <c r="O40" s="245"/>
      <c r="P40" s="579"/>
      <c r="Q40" s="66"/>
      <c r="R40" s="66"/>
      <c r="S40" s="66"/>
    </row>
    <row r="41" spans="1:19" x14ac:dyDescent="0.2">
      <c r="B41" s="245"/>
      <c r="C41" s="245"/>
      <c r="D41" s="245"/>
      <c r="E41" s="245"/>
      <c r="F41" s="245"/>
      <c r="H41" s="245"/>
      <c r="I41" s="245"/>
      <c r="J41" s="245"/>
      <c r="K41" s="245"/>
      <c r="L41" s="245"/>
      <c r="N41" s="245"/>
      <c r="O41" s="245"/>
      <c r="Q41" s="66"/>
      <c r="R41" s="66"/>
      <c r="S41" s="66"/>
    </row>
    <row r="42" spans="1:19" x14ac:dyDescent="0.2">
      <c r="A42" s="429" t="s">
        <v>1840</v>
      </c>
      <c r="B42" s="429"/>
      <c r="C42" s="429"/>
      <c r="D42" s="429"/>
      <c r="E42" s="429"/>
      <c r="F42" s="429"/>
      <c r="G42" s="429" t="s">
        <v>1841</v>
      </c>
      <c r="H42" s="429"/>
      <c r="I42" s="429"/>
      <c r="J42" s="429"/>
      <c r="K42" s="429"/>
      <c r="L42" s="429"/>
      <c r="N42" s="429"/>
      <c r="O42" s="429"/>
      <c r="Q42" s="66"/>
      <c r="R42" s="66"/>
      <c r="S42" s="66"/>
    </row>
    <row r="43" spans="1:19" ht="13.5" thickBot="1" x14ac:dyDescent="0.25">
      <c r="B43" s="245"/>
      <c r="C43" s="245"/>
      <c r="D43" s="245"/>
      <c r="E43" s="245"/>
      <c r="F43" s="245"/>
      <c r="H43" s="245"/>
      <c r="I43" s="245"/>
      <c r="J43" s="245"/>
      <c r="K43" s="245"/>
      <c r="L43" s="245"/>
      <c r="N43" s="245"/>
      <c r="O43" s="245"/>
      <c r="Q43" s="66"/>
      <c r="R43" s="66"/>
      <c r="S43" s="66"/>
    </row>
    <row r="44" spans="1:19" x14ac:dyDescent="0.2">
      <c r="B44" s="344"/>
      <c r="C44" s="353"/>
      <c r="D44" s="353"/>
      <c r="E44" s="353"/>
      <c r="F44" s="354"/>
      <c r="H44" s="344"/>
      <c r="I44" s="353"/>
      <c r="J44" s="353"/>
      <c r="K44" s="353"/>
      <c r="L44" s="354"/>
      <c r="N44" s="245"/>
      <c r="O44" s="245"/>
      <c r="Q44" s="66"/>
      <c r="R44" s="66"/>
      <c r="S44" s="66"/>
    </row>
    <row r="45" spans="1:19" ht="13.5" thickBot="1" x14ac:dyDescent="0.25">
      <c r="B45" s="345"/>
      <c r="C45" s="346"/>
      <c r="D45" s="346"/>
      <c r="E45" s="346"/>
      <c r="F45" s="347"/>
      <c r="H45" s="345"/>
      <c r="I45" s="346"/>
      <c r="J45" s="346"/>
      <c r="K45" s="346"/>
      <c r="L45" s="347"/>
      <c r="N45" s="245"/>
      <c r="O45" s="245"/>
      <c r="Q45" s="66"/>
      <c r="R45" s="66"/>
      <c r="S45" s="66"/>
    </row>
    <row r="46" spans="1:19" ht="13.5" thickTop="1" x14ac:dyDescent="0.2">
      <c r="B46" s="340"/>
      <c r="C46" s="341"/>
      <c r="D46" s="341"/>
      <c r="E46" s="341"/>
      <c r="F46" s="348"/>
      <c r="H46" s="340"/>
      <c r="I46" s="341"/>
      <c r="J46" s="341"/>
      <c r="K46" s="341"/>
      <c r="L46" s="348"/>
      <c r="N46" s="245"/>
      <c r="O46" s="245"/>
      <c r="Q46" s="66"/>
      <c r="R46" s="66"/>
      <c r="S46" s="66"/>
    </row>
    <row r="47" spans="1:19" x14ac:dyDescent="0.2">
      <c r="B47" s="339"/>
      <c r="C47" s="66"/>
      <c r="D47" s="66"/>
      <c r="E47" s="66"/>
      <c r="F47" s="349"/>
      <c r="H47" s="339"/>
      <c r="I47" s="66"/>
      <c r="J47" s="66"/>
      <c r="K47" s="66"/>
      <c r="L47" s="349"/>
      <c r="N47" s="429"/>
      <c r="O47" s="245"/>
      <c r="Q47" s="66"/>
      <c r="R47" s="66"/>
      <c r="S47" s="66"/>
    </row>
    <row r="48" spans="1:19" x14ac:dyDescent="0.2">
      <c r="B48" s="339"/>
      <c r="C48" s="66"/>
      <c r="D48" s="66"/>
      <c r="E48" s="66"/>
      <c r="F48" s="349"/>
      <c r="H48" s="339"/>
      <c r="I48" s="66"/>
      <c r="J48" s="66"/>
      <c r="K48" s="66"/>
      <c r="L48" s="349"/>
      <c r="N48" s="429"/>
      <c r="O48" s="245"/>
      <c r="Q48" s="66"/>
      <c r="R48" s="66"/>
      <c r="S48" s="66"/>
    </row>
    <row r="49" spans="1:19" x14ac:dyDescent="0.2">
      <c r="B49" s="339"/>
      <c r="C49" s="66"/>
      <c r="D49" s="66"/>
      <c r="E49" s="66"/>
      <c r="F49" s="349"/>
      <c r="H49" s="339"/>
      <c r="I49" s="66"/>
      <c r="J49" s="66"/>
      <c r="K49" s="66"/>
      <c r="L49" s="349"/>
      <c r="N49" s="429"/>
      <c r="O49" s="245"/>
      <c r="Q49" s="66"/>
      <c r="R49" s="66"/>
      <c r="S49" s="66"/>
    </row>
    <row r="50" spans="1:19" x14ac:dyDescent="0.2">
      <c r="B50" s="339"/>
      <c r="C50" s="66"/>
      <c r="D50" s="66"/>
      <c r="E50" s="66"/>
      <c r="F50" s="349"/>
      <c r="H50" s="339"/>
      <c r="I50" s="66"/>
      <c r="J50" s="66"/>
      <c r="K50" s="66"/>
      <c r="L50" s="349"/>
      <c r="N50" s="429"/>
      <c r="O50" s="245"/>
      <c r="Q50" s="66"/>
      <c r="R50" s="66"/>
      <c r="S50" s="66"/>
    </row>
    <row r="51" spans="1:19" x14ac:dyDescent="0.2">
      <c r="B51" s="339"/>
      <c r="C51" s="66"/>
      <c r="D51" s="66"/>
      <c r="E51" s="66"/>
      <c r="F51" s="349"/>
      <c r="H51" s="339"/>
      <c r="I51" s="66"/>
      <c r="J51" s="66"/>
      <c r="K51" s="66"/>
      <c r="L51" s="349"/>
      <c r="N51" s="429"/>
      <c r="O51" s="245"/>
      <c r="Q51" s="66"/>
      <c r="R51" s="66"/>
      <c r="S51" s="66"/>
    </row>
    <row r="52" spans="1:19" x14ac:dyDescent="0.2">
      <c r="B52" s="339"/>
      <c r="C52" s="66"/>
      <c r="D52" s="66"/>
      <c r="E52" s="66"/>
      <c r="F52" s="349"/>
      <c r="H52" s="339"/>
      <c r="I52" s="66"/>
      <c r="J52" s="66"/>
      <c r="K52" s="66"/>
      <c r="L52" s="349"/>
      <c r="N52" s="429"/>
      <c r="O52" s="245"/>
      <c r="Q52" s="66"/>
      <c r="R52" s="66"/>
      <c r="S52" s="66"/>
    </row>
    <row r="53" spans="1:19" x14ac:dyDescent="0.2">
      <c r="B53" s="339"/>
      <c r="C53" s="66"/>
      <c r="D53" s="66"/>
      <c r="E53" s="66"/>
      <c r="F53" s="349"/>
      <c r="H53" s="339"/>
      <c r="I53" s="66"/>
      <c r="J53" s="66"/>
      <c r="K53" s="66"/>
      <c r="L53" s="349"/>
      <c r="N53" s="429"/>
      <c r="O53" s="245"/>
      <c r="Q53" s="66"/>
      <c r="R53" s="66"/>
      <c r="S53" s="66"/>
    </row>
    <row r="54" spans="1:19" x14ac:dyDescent="0.2">
      <c r="B54" s="339"/>
      <c r="C54" s="66"/>
      <c r="D54" s="66"/>
      <c r="E54" s="66"/>
      <c r="F54" s="349"/>
      <c r="H54" s="339"/>
      <c r="I54" s="66"/>
      <c r="J54" s="66"/>
      <c r="K54" s="66"/>
      <c r="L54" s="349"/>
      <c r="N54" s="429"/>
      <c r="O54" s="245"/>
      <c r="Q54" s="66"/>
      <c r="R54" s="66"/>
      <c r="S54" s="66"/>
    </row>
    <row r="55" spans="1:19" x14ac:dyDescent="0.2">
      <c r="B55" s="69"/>
      <c r="C55" s="66"/>
      <c r="D55" s="342"/>
      <c r="E55" s="66"/>
      <c r="F55" s="349"/>
      <c r="H55" s="69"/>
      <c r="I55" s="66"/>
      <c r="J55" s="700"/>
      <c r="K55" s="66"/>
      <c r="L55" s="349"/>
      <c r="N55" s="245"/>
      <c r="O55" s="245"/>
      <c r="Q55" s="66"/>
      <c r="R55" s="66"/>
      <c r="S55" s="66"/>
    </row>
    <row r="56" spans="1:19" x14ac:dyDescent="0.2">
      <c r="B56" s="69"/>
      <c r="C56" s="66"/>
      <c r="D56" s="342"/>
      <c r="E56" s="66"/>
      <c r="F56" s="349"/>
      <c r="H56" s="69"/>
      <c r="I56" s="66"/>
      <c r="J56" s="700"/>
      <c r="K56" s="66"/>
      <c r="L56" s="349"/>
      <c r="N56" s="245"/>
      <c r="O56" s="245"/>
      <c r="Q56" s="66"/>
      <c r="R56" s="66"/>
      <c r="S56" s="66"/>
    </row>
    <row r="57" spans="1:19" x14ac:dyDescent="0.2">
      <c r="B57" s="69"/>
      <c r="C57" s="66"/>
      <c r="D57" s="66"/>
      <c r="E57" s="342"/>
      <c r="F57" s="349"/>
      <c r="G57" s="578"/>
      <c r="H57" s="69"/>
      <c r="I57" s="66"/>
      <c r="J57" s="66"/>
      <c r="K57" s="700"/>
      <c r="L57" s="349"/>
      <c r="N57" s="245"/>
      <c r="O57" s="245"/>
      <c r="Q57" s="66"/>
      <c r="R57" s="66"/>
      <c r="S57" s="66"/>
    </row>
    <row r="58" spans="1:19" x14ac:dyDescent="0.2">
      <c r="B58" s="69"/>
      <c r="C58" s="66"/>
      <c r="D58" s="66"/>
      <c r="E58" s="342"/>
      <c r="F58" s="349"/>
      <c r="H58" s="69"/>
      <c r="I58" s="66"/>
      <c r="J58" s="66"/>
      <c r="K58" s="700"/>
      <c r="L58" s="349"/>
      <c r="N58" s="245"/>
      <c r="O58" s="245"/>
      <c r="P58" s="579"/>
      <c r="Q58" s="66"/>
      <c r="R58" s="66"/>
      <c r="S58" s="66"/>
    </row>
    <row r="59" spans="1:19" x14ac:dyDescent="0.2">
      <c r="B59" s="69"/>
      <c r="C59" s="66"/>
      <c r="D59" s="66"/>
      <c r="E59" s="66"/>
      <c r="F59" s="209"/>
      <c r="H59" s="69"/>
      <c r="I59" s="66"/>
      <c r="J59" s="66"/>
      <c r="K59" s="66"/>
      <c r="L59" s="209"/>
      <c r="N59" s="245"/>
      <c r="O59" s="245"/>
      <c r="P59" s="579"/>
      <c r="Q59" s="66"/>
      <c r="R59" s="66"/>
      <c r="S59" s="66"/>
    </row>
    <row r="60" spans="1:19" ht="13.5" thickBot="1" x14ac:dyDescent="0.25">
      <c r="B60" s="350"/>
      <c r="C60" s="352"/>
      <c r="D60" s="352"/>
      <c r="E60" s="352"/>
      <c r="F60" s="218"/>
      <c r="H60" s="350"/>
      <c r="I60" s="352"/>
      <c r="J60" s="352"/>
      <c r="K60" s="352"/>
      <c r="L60" s="218"/>
      <c r="N60" s="245"/>
      <c r="O60" s="245"/>
      <c r="P60" s="579"/>
      <c r="Q60" s="66"/>
      <c r="R60" s="66"/>
      <c r="S60" s="66"/>
    </row>
    <row r="61" spans="1:19" x14ac:dyDescent="0.2">
      <c r="B61" s="245"/>
      <c r="C61" s="245"/>
      <c r="D61" s="245"/>
      <c r="E61" s="245"/>
      <c r="F61" s="245"/>
      <c r="H61" s="245"/>
      <c r="I61" s="245"/>
      <c r="J61" s="245"/>
      <c r="K61" s="245"/>
      <c r="L61" s="245"/>
      <c r="N61" s="245"/>
      <c r="O61" s="245"/>
      <c r="P61" s="579"/>
      <c r="Q61" s="66"/>
      <c r="R61" s="66"/>
      <c r="S61" s="66"/>
    </row>
    <row r="62" spans="1:19" x14ac:dyDescent="0.2">
      <c r="A62" s="429" t="s">
        <v>1842</v>
      </c>
      <c r="B62" s="429"/>
      <c r="C62" s="429"/>
      <c r="D62" s="429"/>
      <c r="E62" s="429"/>
      <c r="F62" s="429"/>
      <c r="G62" s="429" t="s">
        <v>1843</v>
      </c>
      <c r="H62" s="429"/>
      <c r="I62" s="429"/>
      <c r="J62" s="429"/>
      <c r="K62" s="429"/>
      <c r="L62" s="429"/>
      <c r="N62" s="429"/>
      <c r="O62" s="429"/>
      <c r="P62" s="579"/>
      <c r="Q62" s="66"/>
      <c r="R62" s="66"/>
      <c r="S62" s="66"/>
    </row>
    <row r="63" spans="1:19" ht="13.5" thickBot="1" x14ac:dyDescent="0.25">
      <c r="B63" s="245"/>
      <c r="C63" s="245"/>
      <c r="D63" s="245"/>
      <c r="E63" s="245"/>
      <c r="F63" s="245"/>
      <c r="H63" s="245"/>
      <c r="I63" s="245"/>
      <c r="J63" s="245"/>
      <c r="K63" s="245"/>
      <c r="L63" s="245"/>
      <c r="N63" s="245"/>
      <c r="O63" s="245"/>
      <c r="P63" s="579"/>
      <c r="Q63" s="66"/>
      <c r="R63" s="66"/>
      <c r="S63" s="66"/>
    </row>
    <row r="64" spans="1:19" x14ac:dyDescent="0.2">
      <c r="B64" s="344"/>
      <c r="C64" s="353"/>
      <c r="D64" s="353"/>
      <c r="E64" s="353"/>
      <c r="F64" s="354"/>
      <c r="H64" s="344"/>
      <c r="I64" s="353"/>
      <c r="J64" s="353"/>
      <c r="K64" s="353"/>
      <c r="L64" s="354"/>
      <c r="N64" s="245"/>
      <c r="O64" s="245"/>
      <c r="P64" s="579"/>
      <c r="Q64" s="66"/>
      <c r="R64" s="66"/>
      <c r="S64" s="66"/>
    </row>
    <row r="65" spans="2:19" ht="13.5" thickBot="1" x14ac:dyDescent="0.25">
      <c r="B65" s="345"/>
      <c r="C65" s="346"/>
      <c r="D65" s="346"/>
      <c r="E65" s="346"/>
      <c r="F65" s="347"/>
      <c r="H65" s="345"/>
      <c r="I65" s="346"/>
      <c r="J65" s="346"/>
      <c r="K65" s="346"/>
      <c r="L65" s="347"/>
      <c r="N65" s="245"/>
      <c r="O65" s="245"/>
      <c r="P65" s="579"/>
      <c r="Q65" s="66"/>
      <c r="R65" s="66"/>
      <c r="S65" s="66"/>
    </row>
    <row r="66" spans="2:19" ht="13.5" thickTop="1" x14ac:dyDescent="0.2">
      <c r="B66" s="340"/>
      <c r="C66" s="341"/>
      <c r="D66" s="341"/>
      <c r="E66" s="341"/>
      <c r="F66" s="348"/>
      <c r="H66" s="340"/>
      <c r="I66" s="341"/>
      <c r="J66" s="341"/>
      <c r="K66" s="341"/>
      <c r="L66" s="348"/>
      <c r="N66" s="245"/>
      <c r="O66" s="245"/>
      <c r="P66" s="579"/>
      <c r="Q66" s="66"/>
      <c r="R66" s="66"/>
      <c r="S66" s="66"/>
    </row>
    <row r="67" spans="2:19" x14ac:dyDescent="0.2">
      <c r="B67" s="339"/>
      <c r="C67" s="66"/>
      <c r="D67" s="66"/>
      <c r="E67" s="66"/>
      <c r="F67" s="349"/>
      <c r="H67" s="339"/>
      <c r="I67" s="66"/>
      <c r="J67" s="66"/>
      <c r="K67" s="66"/>
      <c r="L67" s="349"/>
      <c r="N67" s="429"/>
      <c r="O67" s="245"/>
      <c r="P67" s="579"/>
      <c r="Q67" s="66"/>
      <c r="R67" s="66"/>
      <c r="S67" s="66"/>
    </row>
    <row r="68" spans="2:19" x14ac:dyDescent="0.2">
      <c r="B68" s="339"/>
      <c r="C68" s="66"/>
      <c r="D68" s="66"/>
      <c r="E68" s="66"/>
      <c r="F68" s="349"/>
      <c r="H68" s="339"/>
      <c r="I68" s="66"/>
      <c r="J68" s="66"/>
      <c r="K68" s="66"/>
      <c r="L68" s="349"/>
      <c r="N68" s="429"/>
      <c r="O68" s="245"/>
      <c r="P68" s="579"/>
      <c r="Q68" s="66"/>
      <c r="R68" s="66"/>
      <c r="S68" s="66"/>
    </row>
    <row r="69" spans="2:19" x14ac:dyDescent="0.2">
      <c r="B69" s="339"/>
      <c r="C69" s="66"/>
      <c r="D69" s="66"/>
      <c r="E69" s="66"/>
      <c r="F69" s="349"/>
      <c r="H69" s="339"/>
      <c r="I69" s="66"/>
      <c r="J69" s="66"/>
      <c r="K69" s="66"/>
      <c r="L69" s="349"/>
      <c r="N69" s="429"/>
      <c r="O69" s="245"/>
      <c r="P69" s="579"/>
      <c r="Q69" s="66"/>
      <c r="R69" s="66"/>
      <c r="S69" s="66"/>
    </row>
    <row r="70" spans="2:19" x14ac:dyDescent="0.2">
      <c r="B70" s="339"/>
      <c r="C70" s="66"/>
      <c r="D70" s="66"/>
      <c r="E70" s="66"/>
      <c r="F70" s="349"/>
      <c r="H70" s="339"/>
      <c r="I70" s="66"/>
      <c r="J70" s="66"/>
      <c r="K70" s="66"/>
      <c r="L70" s="349"/>
      <c r="N70" s="429"/>
      <c r="O70" s="245"/>
      <c r="P70" s="579"/>
      <c r="Q70" s="66"/>
      <c r="R70" s="66"/>
      <c r="S70" s="66"/>
    </row>
    <row r="71" spans="2:19" x14ac:dyDescent="0.2">
      <c r="B71" s="339"/>
      <c r="C71" s="66"/>
      <c r="D71" s="66"/>
      <c r="E71" s="66"/>
      <c r="F71" s="349"/>
      <c r="H71" s="339"/>
      <c r="I71" s="66"/>
      <c r="J71" s="66"/>
      <c r="K71" s="66"/>
      <c r="L71" s="349"/>
      <c r="N71" s="429"/>
      <c r="O71" s="245"/>
      <c r="P71" s="579"/>
      <c r="Q71" s="66"/>
      <c r="R71" s="66"/>
      <c r="S71" s="66"/>
    </row>
    <row r="72" spans="2:19" x14ac:dyDescent="0.2">
      <c r="B72" s="339"/>
      <c r="C72" s="66"/>
      <c r="D72" s="66"/>
      <c r="E72" s="66"/>
      <c r="F72" s="349"/>
      <c r="H72" s="339"/>
      <c r="I72" s="66"/>
      <c r="J72" s="66"/>
      <c r="K72" s="66"/>
      <c r="L72" s="349"/>
      <c r="N72" s="429"/>
      <c r="O72" s="245"/>
      <c r="P72" s="579"/>
      <c r="Q72" s="66"/>
      <c r="R72" s="66"/>
      <c r="S72" s="66"/>
    </row>
    <row r="73" spans="2:19" x14ac:dyDescent="0.2">
      <c r="B73" s="339"/>
      <c r="C73" s="66"/>
      <c r="D73" s="66"/>
      <c r="E73" s="66"/>
      <c r="F73" s="349"/>
      <c r="H73" s="339"/>
      <c r="I73" s="66"/>
      <c r="J73" s="66"/>
      <c r="K73" s="66"/>
      <c r="L73" s="349"/>
      <c r="N73" s="429"/>
      <c r="O73" s="245"/>
      <c r="P73" s="579"/>
      <c r="Q73" s="66"/>
      <c r="R73" s="66"/>
      <c r="S73" s="66"/>
    </row>
    <row r="74" spans="2:19" x14ac:dyDescent="0.2">
      <c r="B74" s="339"/>
      <c r="C74" s="66"/>
      <c r="D74" s="66"/>
      <c r="E74" s="66"/>
      <c r="F74" s="349"/>
      <c r="H74" s="339"/>
      <c r="I74" s="66"/>
      <c r="J74" s="66"/>
      <c r="K74" s="66"/>
      <c r="L74" s="349"/>
      <c r="N74" s="429"/>
      <c r="O74" s="245"/>
      <c r="P74" s="579"/>
      <c r="Q74" s="66"/>
      <c r="R74" s="66"/>
      <c r="S74" s="66"/>
    </row>
    <row r="75" spans="2:19" x14ac:dyDescent="0.2">
      <c r="B75" s="69"/>
      <c r="C75" s="66"/>
      <c r="D75" s="700"/>
      <c r="E75" s="66"/>
      <c r="F75" s="349"/>
      <c r="H75" s="69"/>
      <c r="I75" s="66"/>
      <c r="J75" s="700"/>
      <c r="K75" s="66"/>
      <c r="L75" s="349"/>
      <c r="N75" s="245"/>
      <c r="O75" s="245"/>
      <c r="P75" s="579"/>
      <c r="Q75" s="66"/>
      <c r="R75" s="66"/>
      <c r="S75" s="66"/>
    </row>
    <row r="76" spans="2:19" x14ac:dyDescent="0.2">
      <c r="B76" s="69"/>
      <c r="C76" s="66"/>
      <c r="D76" s="700"/>
      <c r="E76" s="66"/>
      <c r="F76" s="349"/>
      <c r="H76" s="69"/>
      <c r="I76" s="66"/>
      <c r="J76" s="700"/>
      <c r="K76" s="66"/>
      <c r="L76" s="349"/>
      <c r="N76" s="245"/>
      <c r="O76" s="245"/>
      <c r="P76" s="579"/>
      <c r="Q76" s="66"/>
      <c r="R76" s="66"/>
      <c r="S76" s="66"/>
    </row>
    <row r="77" spans="2:19" x14ac:dyDescent="0.2">
      <c r="B77" s="69"/>
      <c r="C77" s="66"/>
      <c r="D77" s="66"/>
      <c r="E77" s="700"/>
      <c r="F77" s="349"/>
      <c r="G77" s="578"/>
      <c r="H77" s="69"/>
      <c r="I77" s="66"/>
      <c r="J77" s="66"/>
      <c r="K77" s="700"/>
      <c r="L77" s="349"/>
      <c r="N77" s="245"/>
      <c r="O77" s="245"/>
      <c r="P77" s="579"/>
      <c r="Q77" s="66"/>
      <c r="R77" s="66"/>
      <c r="S77" s="66"/>
    </row>
    <row r="78" spans="2:19" x14ac:dyDescent="0.2">
      <c r="B78" s="69"/>
      <c r="C78" s="66"/>
      <c r="D78" s="66"/>
      <c r="E78" s="700"/>
      <c r="F78" s="349"/>
      <c r="H78" s="69"/>
      <c r="I78" s="66"/>
      <c r="J78" s="66"/>
      <c r="K78" s="700"/>
      <c r="L78" s="349"/>
      <c r="N78" s="245"/>
      <c r="O78" s="245"/>
      <c r="P78" s="579"/>
      <c r="Q78" s="66"/>
      <c r="R78" s="66"/>
      <c r="S78" s="66"/>
    </row>
    <row r="79" spans="2:19" x14ac:dyDescent="0.2">
      <c r="B79" s="69"/>
      <c r="C79" s="66"/>
      <c r="D79" s="66"/>
      <c r="E79" s="66"/>
      <c r="F79" s="209"/>
      <c r="H79" s="69"/>
      <c r="I79" s="66"/>
      <c r="J79" s="66"/>
      <c r="K79" s="66"/>
      <c r="L79" s="209"/>
      <c r="N79" s="245"/>
      <c r="O79" s="245"/>
      <c r="P79" s="579"/>
      <c r="Q79" s="66"/>
      <c r="R79" s="66"/>
      <c r="S79" s="66"/>
    </row>
    <row r="80" spans="2:19" ht="13.5" thickBot="1" x14ac:dyDescent="0.25">
      <c r="B80" s="350"/>
      <c r="C80" s="352"/>
      <c r="D80" s="352"/>
      <c r="E80" s="352"/>
      <c r="F80" s="218"/>
      <c r="H80" s="350"/>
      <c r="I80" s="352"/>
      <c r="J80" s="352"/>
      <c r="K80" s="352"/>
      <c r="L80" s="218"/>
      <c r="N80" s="245"/>
      <c r="O80" s="245"/>
      <c r="P80" s="579"/>
      <c r="Q80" s="66"/>
      <c r="R80" s="66"/>
      <c r="S80" s="66"/>
    </row>
    <row r="81" spans="1:19" x14ac:dyDescent="0.2">
      <c r="B81" s="245"/>
      <c r="C81" s="245"/>
      <c r="D81" s="245"/>
      <c r="E81" s="245"/>
      <c r="F81" s="245"/>
      <c r="H81" s="245"/>
      <c r="I81" s="245"/>
      <c r="J81" s="245"/>
      <c r="K81" s="245"/>
      <c r="L81" s="245"/>
      <c r="N81" s="245"/>
      <c r="O81" s="245"/>
      <c r="P81" s="579"/>
      <c r="Q81" s="66"/>
      <c r="R81" s="66"/>
      <c r="S81" s="66"/>
    </row>
    <row r="82" spans="1:19" x14ac:dyDescent="0.2">
      <c r="A82" s="429" t="s">
        <v>1844</v>
      </c>
      <c r="B82" s="429"/>
      <c r="C82" s="429"/>
      <c r="D82" s="429"/>
      <c r="E82" s="429"/>
      <c r="F82" s="429"/>
      <c r="G82" s="429" t="s">
        <v>1777</v>
      </c>
      <c r="H82" s="429"/>
      <c r="I82" s="429"/>
      <c r="J82" s="429"/>
      <c r="K82" s="429"/>
      <c r="L82" s="429"/>
      <c r="N82" s="429"/>
      <c r="O82" s="429"/>
      <c r="P82" s="579"/>
      <c r="Q82" s="66"/>
      <c r="R82" s="66"/>
      <c r="S82" s="66"/>
    </row>
    <row r="83" spans="1:19" ht="13.5" thickBot="1" x14ac:dyDescent="0.25">
      <c r="B83" s="245"/>
      <c r="C83" s="245"/>
      <c r="D83" s="245"/>
      <c r="E83" s="245"/>
      <c r="F83" s="245"/>
      <c r="H83" s="245"/>
      <c r="I83" s="245"/>
      <c r="J83" s="245"/>
      <c r="K83" s="429"/>
      <c r="L83" s="245"/>
      <c r="N83" s="245"/>
      <c r="O83" s="245"/>
      <c r="P83" s="579"/>
      <c r="Q83" s="66"/>
      <c r="R83" s="66"/>
      <c r="S83" s="66"/>
    </row>
    <row r="84" spans="1:19" x14ac:dyDescent="0.2">
      <c r="B84" s="344"/>
      <c r="C84" s="353"/>
      <c r="D84" s="353"/>
      <c r="E84" s="353"/>
      <c r="F84" s="354"/>
      <c r="H84" s="344"/>
      <c r="I84" s="353"/>
      <c r="J84" s="353"/>
      <c r="K84" s="353"/>
      <c r="L84" s="354"/>
      <c r="N84" s="245"/>
      <c r="O84" s="245"/>
      <c r="P84" s="579"/>
      <c r="Q84" s="66"/>
      <c r="R84" s="66"/>
      <c r="S84" s="66"/>
    </row>
    <row r="85" spans="1:19" ht="13.5" thickBot="1" x14ac:dyDescent="0.25">
      <c r="B85" s="345"/>
      <c r="C85" s="346"/>
      <c r="D85" s="346"/>
      <c r="E85" s="346"/>
      <c r="F85" s="347"/>
      <c r="H85" s="345"/>
      <c r="I85" s="346"/>
      <c r="J85" s="346"/>
      <c r="K85" s="346"/>
      <c r="L85" s="347"/>
      <c r="N85" s="245"/>
      <c r="O85" s="245"/>
      <c r="P85" s="579"/>
      <c r="Q85" s="66"/>
      <c r="R85" s="66"/>
      <c r="S85" s="66"/>
    </row>
    <row r="86" spans="1:19" ht="13.5" thickTop="1" x14ac:dyDescent="0.2">
      <c r="B86" s="340"/>
      <c r="C86" s="341"/>
      <c r="D86" s="341"/>
      <c r="E86" s="341"/>
      <c r="F86" s="348"/>
      <c r="H86" s="340"/>
      <c r="I86" s="341"/>
      <c r="J86" s="341"/>
      <c r="K86" s="341"/>
      <c r="L86" s="348"/>
      <c r="N86" s="245"/>
      <c r="O86" s="245"/>
      <c r="P86" s="579"/>
      <c r="Q86" s="66"/>
      <c r="R86" s="66"/>
      <c r="S86" s="66"/>
    </row>
    <row r="87" spans="1:19" x14ac:dyDescent="0.2">
      <c r="B87" s="339"/>
      <c r="C87" s="66"/>
      <c r="D87" s="66"/>
      <c r="E87" s="66"/>
      <c r="F87" s="349"/>
      <c r="H87" s="339"/>
      <c r="I87" s="66"/>
      <c r="J87" s="66"/>
      <c r="K87" s="66"/>
      <c r="L87" s="349"/>
      <c r="N87" s="245"/>
      <c r="O87" s="245"/>
      <c r="P87" s="579"/>
      <c r="Q87" s="66"/>
      <c r="R87" s="66"/>
      <c r="S87" s="66"/>
    </row>
    <row r="88" spans="1:19" x14ac:dyDescent="0.2">
      <c r="B88" s="339"/>
      <c r="C88" s="66"/>
      <c r="D88" s="66"/>
      <c r="E88" s="66"/>
      <c r="F88" s="349"/>
      <c r="H88" s="339"/>
      <c r="I88" s="66"/>
      <c r="J88" s="66"/>
      <c r="K88" s="66"/>
      <c r="L88" s="349"/>
      <c r="N88" s="245"/>
      <c r="O88" s="245"/>
      <c r="P88" s="579"/>
      <c r="Q88" s="66"/>
      <c r="R88" s="66"/>
      <c r="S88" s="66"/>
    </row>
    <row r="89" spans="1:19" x14ac:dyDescent="0.2">
      <c r="B89" s="339"/>
      <c r="C89" s="66"/>
      <c r="D89" s="66"/>
      <c r="E89" s="66"/>
      <c r="F89" s="349"/>
      <c r="H89" s="339"/>
      <c r="I89" s="66"/>
      <c r="J89" s="66"/>
      <c r="K89" s="66"/>
      <c r="L89" s="349"/>
      <c r="N89" s="245"/>
      <c r="O89" s="245"/>
      <c r="P89" s="579"/>
      <c r="Q89" s="66"/>
      <c r="R89" s="66"/>
      <c r="S89" s="66"/>
    </row>
    <row r="90" spans="1:19" x14ac:dyDescent="0.2">
      <c r="B90" s="339"/>
      <c r="C90" s="66"/>
      <c r="D90" s="66"/>
      <c r="E90" s="66"/>
      <c r="F90" s="349"/>
      <c r="H90" s="339"/>
      <c r="I90" s="66"/>
      <c r="J90" s="66"/>
      <c r="K90" s="66"/>
      <c r="L90" s="349"/>
      <c r="N90" s="245"/>
      <c r="O90" s="245"/>
      <c r="P90" s="579"/>
      <c r="Q90" s="66"/>
      <c r="R90" s="66"/>
      <c r="S90" s="66"/>
    </row>
    <row r="91" spans="1:19" x14ac:dyDescent="0.2">
      <c r="B91" s="339"/>
      <c r="C91" s="66"/>
      <c r="D91" s="66"/>
      <c r="E91" s="66"/>
      <c r="F91" s="349"/>
      <c r="H91" s="339"/>
      <c r="I91" s="66"/>
      <c r="J91" s="66"/>
      <c r="K91" s="66"/>
      <c r="L91" s="349"/>
      <c r="N91" s="245"/>
      <c r="O91" s="245"/>
      <c r="P91" s="579"/>
      <c r="Q91" s="66"/>
      <c r="R91" s="66"/>
      <c r="S91" s="66"/>
    </row>
    <row r="92" spans="1:19" x14ac:dyDescent="0.2">
      <c r="B92" s="339"/>
      <c r="C92" s="66"/>
      <c r="D92" s="66"/>
      <c r="E92" s="66"/>
      <c r="F92" s="349"/>
      <c r="H92" s="339"/>
      <c r="I92" s="66"/>
      <c r="J92" s="66"/>
      <c r="K92" s="66"/>
      <c r="L92" s="349"/>
      <c r="N92" s="245"/>
      <c r="O92" s="245"/>
      <c r="P92" s="579"/>
      <c r="Q92" s="66"/>
      <c r="R92" s="66"/>
      <c r="S92" s="66"/>
    </row>
    <row r="93" spans="1:19" x14ac:dyDescent="0.2">
      <c r="B93" s="339"/>
      <c r="C93" s="66"/>
      <c r="D93" s="66"/>
      <c r="E93" s="66"/>
      <c r="F93" s="349"/>
      <c r="H93" s="339"/>
      <c r="I93" s="66"/>
      <c r="J93" s="66"/>
      <c r="K93" s="66"/>
      <c r="L93" s="349"/>
      <c r="N93" s="245"/>
      <c r="O93" s="245"/>
      <c r="P93" s="579"/>
      <c r="Q93" s="66"/>
      <c r="R93" s="66"/>
      <c r="S93" s="66"/>
    </row>
    <row r="94" spans="1:19" x14ac:dyDescent="0.2">
      <c r="B94" s="339"/>
      <c r="C94" s="66"/>
      <c r="D94" s="66"/>
      <c r="E94" s="66"/>
      <c r="F94" s="349"/>
      <c r="H94" s="339"/>
      <c r="I94" s="66"/>
      <c r="J94" s="66"/>
      <c r="K94" s="66"/>
      <c r="L94" s="349"/>
      <c r="N94" s="245"/>
      <c r="O94" s="245"/>
      <c r="P94" s="579"/>
      <c r="Q94" s="66"/>
      <c r="R94" s="66"/>
      <c r="S94" s="66"/>
    </row>
    <row r="95" spans="1:19" x14ac:dyDescent="0.2">
      <c r="B95" s="69"/>
      <c r="C95" s="66"/>
      <c r="D95" s="700"/>
      <c r="E95" s="66"/>
      <c r="F95" s="349"/>
      <c r="H95" s="69"/>
      <c r="I95" s="66"/>
      <c r="J95" s="700"/>
      <c r="K95" s="66"/>
      <c r="L95" s="349"/>
      <c r="N95" s="245"/>
      <c r="O95" s="245"/>
      <c r="P95" s="579"/>
      <c r="Q95" s="66"/>
      <c r="R95" s="66"/>
      <c r="S95" s="66"/>
    </row>
    <row r="96" spans="1:19" x14ac:dyDescent="0.2">
      <c r="B96" s="69"/>
      <c r="C96" s="66"/>
      <c r="D96" s="700"/>
      <c r="E96" s="66"/>
      <c r="F96" s="349"/>
      <c r="H96" s="69"/>
      <c r="I96" s="66"/>
      <c r="J96" s="700"/>
      <c r="K96" s="66"/>
      <c r="L96" s="349"/>
      <c r="N96" s="245"/>
      <c r="O96" s="245"/>
      <c r="P96" s="579"/>
      <c r="Q96" s="66"/>
      <c r="R96" s="66"/>
      <c r="S96" s="66"/>
    </row>
    <row r="97" spans="1:19" x14ac:dyDescent="0.2">
      <c r="B97" s="69"/>
      <c r="C97" s="66"/>
      <c r="D97" s="66"/>
      <c r="E97" s="700"/>
      <c r="F97" s="349"/>
      <c r="G97" s="578"/>
      <c r="H97" s="69"/>
      <c r="I97" s="66"/>
      <c r="J97" s="66"/>
      <c r="K97" s="700"/>
      <c r="L97" s="349"/>
      <c r="N97" s="245"/>
      <c r="O97" s="245"/>
      <c r="P97" s="579"/>
      <c r="Q97" s="66"/>
      <c r="R97" s="66"/>
      <c r="S97" s="66"/>
    </row>
    <row r="98" spans="1:19" x14ac:dyDescent="0.2">
      <c r="B98" s="69"/>
      <c r="C98" s="66"/>
      <c r="D98" s="66"/>
      <c r="E98" s="700"/>
      <c r="F98" s="349"/>
      <c r="H98" s="69"/>
      <c r="I98" s="66"/>
      <c r="J98" s="66"/>
      <c r="K98" s="700"/>
      <c r="L98" s="349"/>
      <c r="N98" s="245"/>
      <c r="O98" s="245"/>
      <c r="P98" s="579"/>
      <c r="Q98" s="66"/>
      <c r="R98" s="66"/>
      <c r="S98" s="66"/>
    </row>
    <row r="99" spans="1:19" x14ac:dyDescent="0.2">
      <c r="B99" s="69"/>
      <c r="C99" s="66"/>
      <c r="D99" s="66"/>
      <c r="E99" s="66"/>
      <c r="F99" s="209"/>
      <c r="H99" s="69"/>
      <c r="I99" s="66"/>
      <c r="J99" s="66"/>
      <c r="K99" s="66"/>
      <c r="L99" s="209"/>
      <c r="N99" s="245"/>
      <c r="O99" s="245"/>
      <c r="P99" s="579"/>
      <c r="Q99" s="66"/>
      <c r="R99" s="66"/>
      <c r="S99" s="66"/>
    </row>
    <row r="100" spans="1:19" ht="13.5" thickBot="1" x14ac:dyDescent="0.25">
      <c r="B100" s="350"/>
      <c r="C100" s="352"/>
      <c r="D100" s="352"/>
      <c r="E100" s="352"/>
      <c r="F100" s="218"/>
      <c r="H100" s="350"/>
      <c r="I100" s="352"/>
      <c r="J100" s="352"/>
      <c r="K100" s="352"/>
      <c r="L100" s="218"/>
      <c r="N100" s="245"/>
      <c r="O100" s="245"/>
      <c r="P100" s="579"/>
      <c r="Q100" s="66"/>
      <c r="R100" s="66"/>
      <c r="S100" s="66"/>
    </row>
    <row r="101" spans="1:19" x14ac:dyDescent="0.2">
      <c r="B101" s="245"/>
      <c r="C101" s="245"/>
      <c r="D101" s="245"/>
      <c r="E101" s="245"/>
      <c r="F101" s="245"/>
      <c r="H101" s="245"/>
      <c r="I101" s="245"/>
      <c r="J101" s="245"/>
      <c r="K101" s="245"/>
      <c r="L101" s="245"/>
      <c r="N101" s="245"/>
      <c r="O101" s="245"/>
      <c r="P101" s="579"/>
      <c r="Q101" s="66"/>
      <c r="R101" s="66"/>
      <c r="S101" s="66"/>
    </row>
    <row r="102" spans="1:19" x14ac:dyDescent="0.2">
      <c r="A102" s="429"/>
      <c r="B102" s="245"/>
      <c r="C102" s="245"/>
      <c r="D102" s="245"/>
      <c r="E102" s="245"/>
      <c r="F102" s="245"/>
      <c r="G102" s="429"/>
      <c r="H102" s="245"/>
      <c r="I102" s="245"/>
      <c r="J102" s="245"/>
      <c r="K102" s="245"/>
      <c r="L102" s="245"/>
      <c r="N102" s="429"/>
      <c r="O102" s="429"/>
      <c r="P102" s="579"/>
      <c r="Q102" s="66"/>
      <c r="R102" s="66"/>
      <c r="S102" s="66"/>
    </row>
    <row r="103" spans="1:19" x14ac:dyDescent="0.2">
      <c r="B103" s="245"/>
      <c r="C103" s="245"/>
      <c r="D103" s="245"/>
      <c r="E103" s="245"/>
      <c r="F103" s="245"/>
      <c r="H103" s="245"/>
      <c r="I103" s="245"/>
      <c r="J103" s="245"/>
      <c r="K103" s="245"/>
      <c r="L103" s="245"/>
      <c r="N103" s="245"/>
      <c r="O103" s="245"/>
      <c r="P103" s="579"/>
      <c r="Q103" s="66"/>
      <c r="R103" s="66"/>
      <c r="S103" s="66"/>
    </row>
    <row r="104" spans="1:19" x14ac:dyDescent="0.2">
      <c r="B104" s="245"/>
      <c r="C104" s="245"/>
      <c r="D104" s="245"/>
      <c r="E104" s="245"/>
      <c r="F104" s="245"/>
      <c r="H104" s="245"/>
      <c r="I104" s="245"/>
      <c r="J104" s="245"/>
      <c r="K104" s="245"/>
      <c r="L104" s="245"/>
      <c r="N104" s="245"/>
      <c r="O104" s="245"/>
      <c r="P104" s="579"/>
      <c r="Q104" s="66"/>
      <c r="R104" s="66"/>
      <c r="S104" s="66"/>
    </row>
    <row r="105" spans="1:19" x14ac:dyDescent="0.2">
      <c r="B105" s="245"/>
      <c r="C105" s="245"/>
      <c r="D105" s="245"/>
      <c r="E105" s="245"/>
      <c r="F105" s="245"/>
      <c r="H105" s="245"/>
      <c r="I105" s="245"/>
      <c r="J105" s="245"/>
      <c r="K105" s="245"/>
      <c r="L105" s="245"/>
      <c r="N105" s="245"/>
      <c r="O105" s="245"/>
      <c r="P105" s="579"/>
      <c r="Q105" s="66"/>
      <c r="R105" s="66"/>
      <c r="S105" s="66"/>
    </row>
    <row r="106" spans="1:19" x14ac:dyDescent="0.2">
      <c r="B106" s="245"/>
      <c r="C106" s="245"/>
      <c r="D106" s="245"/>
      <c r="E106" s="245"/>
      <c r="F106" s="245"/>
      <c r="H106" s="245"/>
      <c r="I106" s="245"/>
      <c r="J106" s="245"/>
      <c r="K106" s="245"/>
      <c r="L106" s="245"/>
      <c r="N106" s="245"/>
      <c r="O106" s="245"/>
      <c r="P106" s="579"/>
      <c r="Q106" s="66"/>
      <c r="R106" s="66"/>
      <c r="S106" s="66"/>
    </row>
    <row r="107" spans="1:19" x14ac:dyDescent="0.2">
      <c r="B107" s="245"/>
      <c r="C107" s="245"/>
      <c r="D107" s="245"/>
      <c r="E107" s="245"/>
      <c r="F107" s="245"/>
      <c r="H107" s="245"/>
      <c r="I107" s="245"/>
      <c r="J107" s="245"/>
      <c r="K107" s="245"/>
      <c r="L107" s="245"/>
      <c r="N107" s="245"/>
      <c r="O107" s="245"/>
      <c r="P107" s="579"/>
      <c r="Q107" s="66"/>
      <c r="R107" s="66"/>
      <c r="S107" s="66"/>
    </row>
    <row r="108" spans="1:19" x14ac:dyDescent="0.2">
      <c r="B108" s="245"/>
      <c r="C108" s="245"/>
      <c r="D108" s="245"/>
      <c r="E108" s="245"/>
      <c r="F108" s="245"/>
      <c r="H108" s="245"/>
      <c r="I108" s="245"/>
      <c r="J108" s="245"/>
      <c r="K108" s="245"/>
      <c r="L108" s="245"/>
      <c r="N108" s="245"/>
      <c r="O108" s="245"/>
      <c r="P108" s="579"/>
      <c r="Q108" s="66"/>
      <c r="R108" s="66"/>
      <c r="S108" s="66"/>
    </row>
    <row r="109" spans="1:19" x14ac:dyDescent="0.2">
      <c r="B109" s="245"/>
      <c r="C109" s="245"/>
      <c r="D109" s="245"/>
      <c r="E109" s="245"/>
      <c r="F109" s="245"/>
      <c r="H109" s="245"/>
      <c r="I109" s="245"/>
      <c r="J109" s="245"/>
      <c r="K109" s="245"/>
      <c r="L109" s="245"/>
      <c r="N109" s="245"/>
      <c r="O109" s="245"/>
      <c r="P109" s="579"/>
      <c r="Q109" s="66"/>
      <c r="R109" s="66"/>
      <c r="S109" s="66"/>
    </row>
    <row r="110" spans="1:19" x14ac:dyDescent="0.2">
      <c r="B110" s="245"/>
      <c r="C110" s="245"/>
      <c r="D110" s="245"/>
      <c r="E110" s="245"/>
      <c r="F110" s="245"/>
      <c r="H110" s="245"/>
      <c r="I110" s="245"/>
      <c r="J110" s="245"/>
      <c r="K110" s="245"/>
      <c r="L110" s="245"/>
      <c r="N110" s="245"/>
      <c r="O110" s="245"/>
      <c r="P110" s="579"/>
      <c r="Q110" s="66"/>
      <c r="R110" s="66"/>
      <c r="S110" s="66"/>
    </row>
    <row r="111" spans="1:19" x14ac:dyDescent="0.2">
      <c r="B111" s="245"/>
      <c r="C111" s="245"/>
      <c r="D111" s="245"/>
      <c r="E111" s="245"/>
      <c r="F111" s="245"/>
      <c r="H111" s="245"/>
      <c r="I111" s="245"/>
      <c r="J111" s="245"/>
      <c r="K111" s="245"/>
      <c r="L111" s="245"/>
      <c r="N111" s="245"/>
      <c r="O111" s="245"/>
      <c r="P111" s="579"/>
      <c r="Q111" s="66"/>
      <c r="R111" s="66"/>
      <c r="S111" s="66"/>
    </row>
    <row r="112" spans="1:19" x14ac:dyDescent="0.2">
      <c r="B112" s="245"/>
      <c r="C112" s="245"/>
      <c r="D112" s="245"/>
      <c r="E112" s="245"/>
      <c r="F112" s="245"/>
      <c r="H112" s="245"/>
      <c r="I112" s="245"/>
      <c r="J112" s="245"/>
      <c r="K112" s="245"/>
      <c r="L112" s="245"/>
      <c r="N112" s="245"/>
      <c r="O112" s="245"/>
      <c r="P112" s="579"/>
      <c r="Q112" s="66"/>
      <c r="R112" s="66"/>
      <c r="S112" s="66"/>
    </row>
    <row r="113" spans="1:19" x14ac:dyDescent="0.2">
      <c r="B113" s="245"/>
      <c r="C113" s="245"/>
      <c r="D113" s="245"/>
      <c r="E113" s="245"/>
      <c r="F113" s="245"/>
      <c r="H113" s="245"/>
      <c r="I113" s="245"/>
      <c r="J113" s="245"/>
      <c r="K113" s="245"/>
      <c r="L113" s="245"/>
      <c r="N113" s="245"/>
      <c r="O113" s="245"/>
      <c r="P113" s="579"/>
      <c r="Q113" s="66"/>
      <c r="R113" s="66"/>
      <c r="S113" s="66"/>
    </row>
    <row r="114" spans="1:19" x14ac:dyDescent="0.2">
      <c r="B114" s="245"/>
      <c r="C114" s="245"/>
      <c r="D114" s="245"/>
      <c r="E114" s="245"/>
      <c r="F114" s="245"/>
      <c r="H114" s="245"/>
      <c r="I114" s="245"/>
      <c r="J114" s="245"/>
      <c r="K114" s="245"/>
      <c r="L114" s="245"/>
      <c r="N114" s="245"/>
      <c r="O114" s="245"/>
      <c r="P114" s="579"/>
      <c r="Q114" s="66"/>
      <c r="R114" s="66"/>
      <c r="S114" s="66"/>
    </row>
    <row r="115" spans="1:19" x14ac:dyDescent="0.2">
      <c r="B115" s="245"/>
      <c r="C115" s="245"/>
      <c r="D115" s="245"/>
      <c r="E115" s="245"/>
      <c r="F115" s="245"/>
      <c r="H115" s="245"/>
      <c r="I115" s="245"/>
      <c r="J115" s="245"/>
      <c r="K115" s="245"/>
      <c r="L115" s="245"/>
      <c r="N115" s="245"/>
      <c r="O115" s="245"/>
      <c r="P115" s="579"/>
      <c r="Q115" s="66"/>
      <c r="R115" s="66"/>
      <c r="S115" s="66"/>
    </row>
    <row r="116" spans="1:19" x14ac:dyDescent="0.2">
      <c r="B116" s="245"/>
      <c r="C116" s="245"/>
      <c r="D116" s="245"/>
      <c r="E116" s="245"/>
      <c r="F116" s="245"/>
      <c r="H116" s="245"/>
      <c r="I116" s="245"/>
      <c r="J116" s="245"/>
      <c r="K116" s="245"/>
      <c r="L116" s="245"/>
      <c r="N116" s="245"/>
      <c r="O116" s="245"/>
      <c r="P116" s="579"/>
      <c r="Q116" s="66"/>
      <c r="R116" s="66"/>
      <c r="S116" s="66"/>
    </row>
    <row r="117" spans="1:19" x14ac:dyDescent="0.2">
      <c r="B117" s="245"/>
      <c r="C117" s="245"/>
      <c r="D117" s="245"/>
      <c r="E117" s="245"/>
      <c r="F117" s="245"/>
      <c r="G117" s="578"/>
      <c r="H117" s="245"/>
      <c r="I117" s="245"/>
      <c r="J117" s="245"/>
      <c r="K117" s="245"/>
      <c r="L117" s="245"/>
      <c r="N117" s="245"/>
      <c r="O117" s="245"/>
      <c r="P117" s="579"/>
      <c r="Q117" s="66"/>
      <c r="R117" s="66"/>
      <c r="S117" s="66"/>
    </row>
    <row r="118" spans="1:19" x14ac:dyDescent="0.2">
      <c r="B118" s="245"/>
      <c r="C118" s="245"/>
      <c r="D118" s="245"/>
      <c r="E118" s="245"/>
      <c r="F118" s="245"/>
      <c r="H118" s="245"/>
      <c r="I118" s="245"/>
      <c r="J118" s="245"/>
      <c r="K118" s="245"/>
      <c r="L118" s="245"/>
      <c r="N118" s="245"/>
      <c r="O118" s="245"/>
      <c r="P118" s="579"/>
      <c r="Q118" s="66"/>
      <c r="R118" s="66"/>
      <c r="S118" s="66"/>
    </row>
    <row r="119" spans="1:19" x14ac:dyDescent="0.2">
      <c r="B119" s="245"/>
      <c r="C119" s="245"/>
      <c r="D119" s="245"/>
      <c r="E119" s="245"/>
      <c r="F119" s="245"/>
      <c r="H119" s="245"/>
      <c r="I119" s="245"/>
      <c r="J119" s="245"/>
      <c r="K119" s="245"/>
      <c r="L119" s="245"/>
      <c r="N119" s="245"/>
      <c r="O119" s="245"/>
      <c r="P119" s="579"/>
      <c r="Q119" s="66"/>
      <c r="R119" s="66"/>
      <c r="S119" s="66"/>
    </row>
    <row r="120" spans="1:19" x14ac:dyDescent="0.2">
      <c r="B120" s="245"/>
      <c r="C120" s="245"/>
      <c r="D120" s="245"/>
      <c r="E120" s="245"/>
      <c r="F120" s="245"/>
      <c r="H120" s="245"/>
      <c r="I120" s="245"/>
      <c r="J120" s="245"/>
      <c r="K120" s="245"/>
      <c r="L120" s="245"/>
      <c r="N120" s="245"/>
      <c r="O120" s="245"/>
      <c r="P120" s="579"/>
      <c r="Q120" s="66"/>
      <c r="R120" s="66"/>
      <c r="S120" s="66"/>
    </row>
    <row r="121" spans="1:19" x14ac:dyDescent="0.2">
      <c r="B121" s="245"/>
      <c r="C121" s="245"/>
      <c r="D121" s="245"/>
      <c r="E121" s="245"/>
      <c r="F121" s="245"/>
      <c r="H121" s="245"/>
      <c r="I121" s="245"/>
      <c r="J121" s="245"/>
      <c r="K121" s="245"/>
      <c r="L121" s="245"/>
      <c r="N121" s="579"/>
      <c r="O121" s="579"/>
      <c r="P121" s="579"/>
      <c r="Q121" s="66"/>
      <c r="R121" s="66"/>
      <c r="S121" s="66"/>
    </row>
    <row r="122" spans="1:19" x14ac:dyDescent="0.2">
      <c r="A122" s="429"/>
      <c r="B122" s="245"/>
      <c r="C122" s="245"/>
      <c r="D122" s="245"/>
      <c r="E122" s="245"/>
      <c r="F122" s="245"/>
      <c r="G122" s="429"/>
      <c r="H122" s="245"/>
      <c r="I122" s="245"/>
      <c r="J122" s="245"/>
      <c r="K122" s="245"/>
      <c r="L122" s="245"/>
      <c r="N122" s="579"/>
      <c r="O122" s="579"/>
      <c r="P122" s="579"/>
      <c r="Q122" s="66"/>
      <c r="R122" s="66"/>
      <c r="S122" s="66"/>
    </row>
    <row r="123" spans="1:19" x14ac:dyDescent="0.2">
      <c r="B123" s="245"/>
      <c r="C123" s="245"/>
      <c r="D123" s="245"/>
      <c r="E123" s="245"/>
      <c r="F123" s="245"/>
      <c r="H123" s="245"/>
      <c r="I123" s="245"/>
      <c r="J123" s="245"/>
      <c r="K123" s="245"/>
      <c r="L123" s="245"/>
      <c r="N123" s="579"/>
      <c r="O123" s="579"/>
      <c r="P123" s="579"/>
      <c r="Q123" s="66"/>
      <c r="R123" s="66"/>
      <c r="S123" s="66"/>
    </row>
    <row r="124" spans="1:19" x14ac:dyDescent="0.2">
      <c r="B124" s="245"/>
      <c r="C124" s="245"/>
      <c r="D124" s="245"/>
      <c r="E124" s="245"/>
      <c r="F124" s="245"/>
      <c r="H124" s="245"/>
      <c r="I124" s="245"/>
      <c r="J124" s="245"/>
      <c r="K124" s="245"/>
      <c r="L124" s="245"/>
      <c r="N124" s="579"/>
      <c r="O124" s="579"/>
      <c r="P124" s="579"/>
      <c r="Q124" s="66"/>
      <c r="R124" s="66"/>
      <c r="S124" s="66"/>
    </row>
    <row r="125" spans="1:19" x14ac:dyDescent="0.2">
      <c r="B125" s="245"/>
      <c r="C125" s="245"/>
      <c r="D125" s="245"/>
      <c r="E125" s="245"/>
      <c r="F125" s="245"/>
      <c r="H125" s="245"/>
      <c r="I125" s="245"/>
      <c r="J125" s="245"/>
      <c r="K125" s="245"/>
      <c r="L125" s="245"/>
      <c r="N125" s="579"/>
      <c r="O125" s="579"/>
      <c r="P125" s="579"/>
      <c r="Q125" s="66"/>
      <c r="R125" s="66"/>
      <c r="S125" s="66"/>
    </row>
    <row r="126" spans="1:19" x14ac:dyDescent="0.2">
      <c r="B126" s="245"/>
      <c r="C126" s="245"/>
      <c r="D126" s="245"/>
      <c r="E126" s="245"/>
      <c r="F126" s="245"/>
      <c r="H126" s="245"/>
      <c r="I126" s="245"/>
      <c r="J126" s="245"/>
      <c r="K126" s="245"/>
      <c r="L126" s="245"/>
      <c r="N126" s="579"/>
      <c r="O126" s="579"/>
      <c r="P126" s="579"/>
      <c r="Q126" s="66"/>
      <c r="R126" s="66"/>
      <c r="S126" s="66"/>
    </row>
    <row r="127" spans="1:19" x14ac:dyDescent="0.2">
      <c r="B127" s="245"/>
      <c r="C127" s="245"/>
      <c r="D127" s="245"/>
      <c r="E127" s="245"/>
      <c r="F127" s="245"/>
      <c r="H127" s="245"/>
      <c r="I127" s="245"/>
      <c r="J127" s="245"/>
      <c r="K127" s="245"/>
      <c r="L127" s="245"/>
      <c r="N127" s="579"/>
      <c r="O127" s="579"/>
      <c r="P127" s="579"/>
      <c r="Q127" s="66"/>
      <c r="R127" s="66"/>
      <c r="S127" s="66"/>
    </row>
    <row r="128" spans="1:19" x14ac:dyDescent="0.2">
      <c r="B128" s="245"/>
      <c r="C128" s="245"/>
      <c r="D128" s="245"/>
      <c r="E128" s="245"/>
      <c r="F128" s="245"/>
      <c r="H128" s="245"/>
      <c r="I128" s="245"/>
      <c r="J128" s="245"/>
      <c r="K128" s="245"/>
      <c r="L128" s="245"/>
      <c r="N128" s="579"/>
      <c r="O128" s="579"/>
      <c r="P128" s="579"/>
      <c r="Q128" s="66"/>
      <c r="R128" s="66"/>
      <c r="S128" s="66"/>
    </row>
    <row r="129" spans="2:19" x14ac:dyDescent="0.2">
      <c r="B129" s="245"/>
      <c r="C129" s="245"/>
      <c r="D129" s="245"/>
      <c r="E129" s="245"/>
      <c r="F129" s="245"/>
      <c r="H129" s="245"/>
      <c r="I129" s="245"/>
      <c r="J129" s="245"/>
      <c r="K129" s="245"/>
      <c r="L129" s="245"/>
      <c r="N129" s="579"/>
      <c r="O129" s="579"/>
      <c r="P129" s="579"/>
      <c r="Q129" s="66"/>
      <c r="R129" s="66"/>
      <c r="S129" s="66"/>
    </row>
    <row r="130" spans="2:19" x14ac:dyDescent="0.2">
      <c r="B130" s="245"/>
      <c r="C130" s="245"/>
      <c r="D130" s="245"/>
      <c r="E130" s="245"/>
      <c r="F130" s="245"/>
      <c r="H130" s="245"/>
      <c r="I130" s="245"/>
      <c r="J130" s="245"/>
      <c r="K130" s="245"/>
      <c r="L130" s="245"/>
      <c r="N130" s="579"/>
      <c r="O130" s="579"/>
      <c r="P130" s="579"/>
      <c r="Q130" s="66"/>
      <c r="R130" s="66"/>
      <c r="S130" s="66"/>
    </row>
    <row r="131" spans="2:19" x14ac:dyDescent="0.2">
      <c r="B131" s="245"/>
      <c r="C131" s="245"/>
      <c r="D131" s="245"/>
      <c r="E131" s="245"/>
      <c r="F131" s="245"/>
      <c r="H131" s="245"/>
      <c r="I131" s="245"/>
      <c r="J131" s="245"/>
      <c r="K131" s="245"/>
      <c r="L131" s="245"/>
      <c r="N131" s="579"/>
      <c r="O131" s="579"/>
      <c r="P131" s="579"/>
      <c r="Q131" s="66"/>
      <c r="R131" s="66"/>
      <c r="S131" s="66"/>
    </row>
    <row r="132" spans="2:19" x14ac:dyDescent="0.2">
      <c r="B132" s="245"/>
      <c r="C132" s="245"/>
      <c r="D132" s="245"/>
      <c r="E132" s="245"/>
      <c r="F132" s="245"/>
      <c r="H132" s="245"/>
      <c r="I132" s="245"/>
      <c r="J132" s="245"/>
      <c r="K132" s="245"/>
      <c r="L132" s="245"/>
      <c r="N132" s="579"/>
      <c r="O132" s="579"/>
      <c r="P132" s="579"/>
      <c r="Q132" s="66"/>
      <c r="R132" s="66"/>
      <c r="S132" s="66"/>
    </row>
    <row r="133" spans="2:19" x14ac:dyDescent="0.2">
      <c r="B133" s="245"/>
      <c r="C133" s="245"/>
      <c r="D133" s="245"/>
      <c r="E133" s="245"/>
      <c r="F133" s="245"/>
      <c r="H133" s="245"/>
      <c r="I133" s="245"/>
      <c r="J133" s="245"/>
      <c r="K133" s="245"/>
      <c r="L133" s="245"/>
      <c r="N133" s="579"/>
      <c r="O133" s="579"/>
      <c r="P133" s="579"/>
      <c r="Q133" s="66"/>
      <c r="R133" s="66"/>
      <c r="S133" s="66"/>
    </row>
    <row r="134" spans="2:19" x14ac:dyDescent="0.2">
      <c r="B134" s="245"/>
      <c r="C134" s="245"/>
      <c r="D134" s="245"/>
      <c r="E134" s="245"/>
      <c r="F134" s="245"/>
      <c r="H134" s="245"/>
      <c r="I134" s="245"/>
      <c r="J134" s="245"/>
      <c r="K134" s="245"/>
      <c r="L134" s="245"/>
      <c r="N134" s="579"/>
      <c r="O134" s="579"/>
      <c r="P134" s="579"/>
      <c r="Q134" s="66"/>
      <c r="R134" s="66"/>
      <c r="S134" s="66"/>
    </row>
    <row r="135" spans="2:19" x14ac:dyDescent="0.2">
      <c r="B135" s="245"/>
      <c r="C135" s="245"/>
      <c r="D135" s="245"/>
      <c r="E135" s="245"/>
      <c r="F135" s="245"/>
      <c r="H135" s="245"/>
      <c r="I135" s="245"/>
      <c r="J135" s="245"/>
      <c r="K135" s="245"/>
      <c r="L135" s="245"/>
      <c r="N135" s="579"/>
      <c r="O135" s="579"/>
      <c r="P135" s="579"/>
      <c r="Q135" s="66"/>
      <c r="R135" s="66"/>
      <c r="S135" s="66"/>
    </row>
    <row r="136" spans="2:19" x14ac:dyDescent="0.2">
      <c r="B136" s="245"/>
      <c r="C136" s="245"/>
      <c r="D136" s="245"/>
      <c r="E136" s="245"/>
      <c r="F136" s="245"/>
      <c r="H136" s="245"/>
      <c r="I136" s="245"/>
      <c r="J136" s="245"/>
      <c r="K136" s="245"/>
      <c r="L136" s="245"/>
      <c r="N136" s="579"/>
      <c r="O136" s="579"/>
      <c r="P136" s="579"/>
      <c r="Q136" s="66"/>
      <c r="R136" s="66"/>
      <c r="S136" s="66"/>
    </row>
    <row r="137" spans="2:19" x14ac:dyDescent="0.2">
      <c r="B137" s="245"/>
      <c r="C137" s="245"/>
      <c r="D137" s="245"/>
      <c r="E137" s="245"/>
      <c r="F137" s="245"/>
      <c r="G137" s="578"/>
      <c r="H137" s="245"/>
      <c r="I137" s="245"/>
      <c r="J137" s="245"/>
      <c r="K137" s="245"/>
      <c r="L137" s="245"/>
      <c r="N137" s="579"/>
      <c r="O137" s="579"/>
      <c r="P137" s="579"/>
      <c r="Q137" s="66"/>
      <c r="R137" s="66"/>
      <c r="S137" s="66"/>
    </row>
    <row r="138" spans="2:19" x14ac:dyDescent="0.2">
      <c r="B138" s="245"/>
      <c r="C138" s="245"/>
      <c r="D138" s="245"/>
      <c r="E138" s="245"/>
      <c r="F138" s="245"/>
      <c r="H138" s="245"/>
      <c r="I138" s="245"/>
      <c r="J138" s="245"/>
      <c r="K138" s="245"/>
      <c r="L138" s="245"/>
      <c r="N138" s="579"/>
      <c r="O138" s="579"/>
      <c r="P138" s="579"/>
      <c r="Q138" s="66"/>
      <c r="R138" s="66"/>
      <c r="S138" s="66"/>
    </row>
    <row r="139" spans="2:19" x14ac:dyDescent="0.2">
      <c r="B139" s="245"/>
      <c r="C139" s="245"/>
      <c r="D139" s="245"/>
      <c r="E139" s="245"/>
      <c r="F139" s="245"/>
      <c r="H139" s="245"/>
      <c r="I139" s="245"/>
      <c r="J139" s="245"/>
      <c r="K139" s="245"/>
      <c r="L139" s="245"/>
      <c r="N139" s="579"/>
      <c r="O139" s="579"/>
      <c r="P139" s="579"/>
      <c r="Q139" s="66"/>
      <c r="R139" s="66"/>
      <c r="S139" s="66"/>
    </row>
    <row r="140" spans="2:19" x14ac:dyDescent="0.2">
      <c r="B140" s="245"/>
      <c r="C140" s="245"/>
      <c r="D140" s="245"/>
      <c r="E140" s="245"/>
      <c r="F140" s="245"/>
      <c r="H140" s="245"/>
      <c r="I140" s="245"/>
      <c r="J140" s="245"/>
      <c r="K140" s="245"/>
      <c r="L140" s="245"/>
      <c r="N140" s="579"/>
      <c r="O140" s="579"/>
      <c r="P140" s="579"/>
      <c r="Q140" s="66"/>
      <c r="R140" s="66"/>
      <c r="S140" s="66"/>
    </row>
    <row r="141" spans="2:19" x14ac:dyDescent="0.2">
      <c r="B141" s="245"/>
      <c r="C141" s="245"/>
      <c r="D141" s="245"/>
      <c r="E141" s="245"/>
      <c r="F141" s="245"/>
      <c r="G141" s="579"/>
      <c r="H141" s="245"/>
      <c r="I141" s="245"/>
      <c r="J141" s="245"/>
      <c r="K141" s="245"/>
      <c r="L141" s="245"/>
      <c r="N141" s="579"/>
      <c r="O141" s="579"/>
      <c r="P141" s="579"/>
      <c r="Q141" s="66"/>
      <c r="R141" s="66"/>
      <c r="S141" s="66"/>
    </row>
    <row r="142" spans="2:19" x14ac:dyDescent="0.2">
      <c r="B142" s="245"/>
      <c r="C142" s="245"/>
      <c r="D142" s="245"/>
      <c r="E142" s="245"/>
      <c r="F142" s="245"/>
      <c r="G142" s="579"/>
      <c r="H142" s="245"/>
      <c r="I142" s="245"/>
      <c r="J142" s="245"/>
      <c r="K142" s="245"/>
      <c r="L142" s="245"/>
      <c r="N142" s="579"/>
      <c r="O142" s="579"/>
      <c r="P142" s="579"/>
      <c r="Q142" s="66"/>
      <c r="R142" s="66"/>
      <c r="S142" s="66"/>
    </row>
    <row r="143" spans="2:19" x14ac:dyDescent="0.2">
      <c r="B143" s="245"/>
      <c r="C143" s="245"/>
      <c r="D143" s="245"/>
      <c r="E143" s="245"/>
      <c r="F143" s="245"/>
      <c r="G143" s="579"/>
      <c r="H143" s="245"/>
      <c r="I143" s="245"/>
      <c r="J143" s="245"/>
      <c r="K143" s="245"/>
      <c r="L143" s="245"/>
      <c r="N143" s="579"/>
      <c r="O143" s="579"/>
      <c r="P143" s="579"/>
      <c r="Q143" s="66"/>
      <c r="R143" s="66"/>
      <c r="S143" s="66"/>
    </row>
    <row r="144" spans="2:19" x14ac:dyDescent="0.2">
      <c r="B144" s="245"/>
      <c r="C144" s="245"/>
      <c r="D144" s="245"/>
      <c r="E144" s="245"/>
      <c r="F144" s="245"/>
      <c r="G144" s="579"/>
      <c r="H144" s="245"/>
      <c r="I144" s="245"/>
      <c r="J144" s="245"/>
      <c r="K144" s="245"/>
      <c r="L144" s="245"/>
      <c r="N144" s="579"/>
      <c r="O144" s="579"/>
      <c r="P144" s="579"/>
      <c r="Q144" s="66"/>
      <c r="R144" s="66"/>
      <c r="S144" s="66"/>
    </row>
    <row r="145" spans="2:19" x14ac:dyDescent="0.2">
      <c r="B145" s="245"/>
      <c r="C145" s="245"/>
      <c r="D145" s="245"/>
      <c r="E145" s="245"/>
      <c r="F145" s="245"/>
      <c r="G145" s="579"/>
      <c r="H145" s="245"/>
      <c r="I145" s="245"/>
      <c r="J145" s="245"/>
      <c r="K145" s="245"/>
      <c r="L145" s="245"/>
      <c r="N145" s="579"/>
      <c r="O145" s="579"/>
      <c r="P145" s="579"/>
      <c r="Q145" s="66"/>
      <c r="R145" s="66"/>
      <c r="S145" s="66"/>
    </row>
    <row r="146" spans="2:19" x14ac:dyDescent="0.2">
      <c r="B146" s="245"/>
      <c r="C146" s="245"/>
      <c r="D146" s="245"/>
      <c r="E146" s="245"/>
      <c r="F146" s="245"/>
      <c r="G146" s="579"/>
      <c r="H146" s="245"/>
      <c r="I146" s="245"/>
      <c r="J146" s="245"/>
      <c r="K146" s="245"/>
      <c r="L146" s="245"/>
      <c r="N146" s="579"/>
      <c r="O146" s="579"/>
      <c r="P146" s="579"/>
      <c r="Q146" s="66"/>
      <c r="R146" s="66"/>
      <c r="S146" s="66"/>
    </row>
    <row r="147" spans="2:19" x14ac:dyDescent="0.2">
      <c r="B147" s="245"/>
      <c r="C147" s="245"/>
      <c r="D147" s="245"/>
      <c r="E147" s="245"/>
      <c r="F147" s="245"/>
      <c r="G147" s="579"/>
      <c r="H147" s="245"/>
      <c r="I147" s="245"/>
      <c r="J147" s="245"/>
      <c r="K147" s="245"/>
      <c r="L147" s="245"/>
      <c r="N147" s="579"/>
      <c r="O147" s="579"/>
      <c r="P147" s="579"/>
      <c r="Q147" s="66"/>
      <c r="R147" s="66"/>
      <c r="S147" s="66"/>
    </row>
    <row r="148" spans="2:19" x14ac:dyDescent="0.2">
      <c r="B148" s="245"/>
      <c r="C148" s="245"/>
      <c r="D148" s="245"/>
      <c r="E148" s="245"/>
      <c r="F148" s="245"/>
      <c r="G148" s="579"/>
      <c r="H148" s="245"/>
      <c r="I148" s="245"/>
      <c r="J148" s="245"/>
      <c r="K148" s="245"/>
      <c r="L148" s="245"/>
      <c r="N148" s="579"/>
      <c r="O148" s="579"/>
      <c r="P148" s="579"/>
      <c r="Q148" s="66"/>
      <c r="R148" s="66"/>
      <c r="S148" s="66"/>
    </row>
    <row r="149" spans="2:19" x14ac:dyDescent="0.2">
      <c r="B149" s="245"/>
      <c r="C149" s="245"/>
      <c r="D149" s="245"/>
      <c r="E149" s="245"/>
      <c r="F149" s="245"/>
      <c r="G149" s="579"/>
      <c r="H149" s="245"/>
      <c r="I149" s="245"/>
      <c r="J149" s="245"/>
      <c r="K149" s="245"/>
      <c r="L149" s="245"/>
      <c r="N149" s="579"/>
      <c r="O149" s="579"/>
      <c r="P149" s="579"/>
      <c r="Q149" s="66"/>
      <c r="R149" s="66"/>
      <c r="S149" s="66"/>
    </row>
    <row r="150" spans="2:19" x14ac:dyDescent="0.2">
      <c r="B150" s="245"/>
      <c r="C150" s="245"/>
      <c r="D150" s="245"/>
      <c r="E150" s="245"/>
      <c r="F150" s="245"/>
      <c r="G150" s="579"/>
      <c r="H150" s="245"/>
      <c r="I150" s="245"/>
      <c r="J150" s="245"/>
      <c r="K150" s="245"/>
      <c r="L150" s="245"/>
      <c r="N150" s="579"/>
      <c r="O150" s="579"/>
      <c r="P150" s="579"/>
      <c r="Q150" s="66"/>
      <c r="R150" s="66"/>
      <c r="S150" s="66"/>
    </row>
    <row r="151" spans="2:19" x14ac:dyDescent="0.2">
      <c r="B151" s="245"/>
      <c r="C151" s="245"/>
      <c r="D151" s="245"/>
      <c r="E151" s="245"/>
      <c r="F151" s="245"/>
      <c r="G151" s="579"/>
      <c r="H151" s="245"/>
      <c r="I151" s="245"/>
      <c r="J151" s="245"/>
      <c r="K151" s="245"/>
      <c r="L151" s="245"/>
      <c r="N151" s="579"/>
      <c r="O151" s="579"/>
      <c r="P151" s="579"/>
      <c r="Q151" s="66"/>
      <c r="R151" s="66"/>
      <c r="S151" s="66"/>
    </row>
    <row r="152" spans="2:19" x14ac:dyDescent="0.2">
      <c r="B152" s="245"/>
      <c r="C152" s="245"/>
      <c r="D152" s="245"/>
      <c r="E152" s="245"/>
      <c r="F152" s="245"/>
      <c r="G152" s="579"/>
      <c r="H152" s="245"/>
      <c r="I152" s="245"/>
      <c r="J152" s="245"/>
      <c r="K152" s="245"/>
      <c r="L152" s="245"/>
      <c r="N152" s="579"/>
      <c r="O152" s="579"/>
      <c r="P152" s="579"/>
      <c r="Q152" s="66"/>
      <c r="R152" s="66"/>
      <c r="S152" s="66"/>
    </row>
    <row r="153" spans="2:19" x14ac:dyDescent="0.2">
      <c r="B153" s="245"/>
      <c r="C153" s="245"/>
      <c r="D153" s="245"/>
      <c r="E153" s="245"/>
      <c r="F153" s="245"/>
      <c r="G153" s="579"/>
      <c r="H153" s="245"/>
      <c r="I153" s="245"/>
      <c r="J153" s="245"/>
      <c r="K153" s="245"/>
      <c r="L153" s="245"/>
      <c r="N153" s="579"/>
      <c r="O153" s="579"/>
      <c r="P153" s="579"/>
      <c r="Q153" s="66"/>
      <c r="R153" s="66"/>
      <c r="S153" s="66"/>
    </row>
    <row r="154" spans="2:19" x14ac:dyDescent="0.2">
      <c r="B154" s="245"/>
      <c r="C154" s="245"/>
      <c r="D154" s="245"/>
      <c r="E154" s="245"/>
      <c r="F154" s="245"/>
      <c r="G154" s="579"/>
      <c r="H154" s="245"/>
      <c r="I154" s="245"/>
      <c r="J154" s="245"/>
      <c r="K154" s="245"/>
      <c r="L154" s="245"/>
      <c r="N154" s="579"/>
      <c r="O154" s="579"/>
      <c r="P154" s="579"/>
      <c r="Q154" s="66"/>
      <c r="R154" s="66"/>
      <c r="S154" s="66"/>
    </row>
    <row r="155" spans="2:19" x14ac:dyDescent="0.2">
      <c r="B155" s="245"/>
      <c r="C155" s="245"/>
      <c r="D155" s="245"/>
      <c r="E155" s="245"/>
      <c r="F155" s="245"/>
      <c r="G155" s="579"/>
      <c r="H155" s="245"/>
      <c r="I155" s="245"/>
      <c r="J155" s="245"/>
      <c r="K155" s="245"/>
      <c r="L155" s="245"/>
      <c r="N155" s="579"/>
      <c r="O155" s="579"/>
      <c r="P155" s="579"/>
      <c r="Q155" s="66"/>
      <c r="R155" s="66"/>
      <c r="S155" s="66"/>
    </row>
    <row r="156" spans="2:19" x14ac:dyDescent="0.2">
      <c r="B156" s="245"/>
      <c r="C156" s="245"/>
      <c r="D156" s="245"/>
      <c r="E156" s="245"/>
      <c r="F156" s="245"/>
      <c r="G156" s="579"/>
      <c r="H156" s="245"/>
      <c r="I156" s="245"/>
      <c r="J156" s="245"/>
      <c r="K156" s="245"/>
      <c r="L156" s="245"/>
      <c r="N156" s="579"/>
      <c r="O156" s="579"/>
      <c r="P156" s="579"/>
      <c r="Q156" s="66"/>
      <c r="R156" s="66"/>
      <c r="S156" s="66"/>
    </row>
    <row r="157" spans="2:19" x14ac:dyDescent="0.2">
      <c r="B157" s="245"/>
      <c r="C157" s="245"/>
      <c r="D157" s="245"/>
      <c r="E157" s="245"/>
      <c r="F157" s="245"/>
      <c r="G157" s="579"/>
      <c r="H157" s="245"/>
      <c r="I157" s="245"/>
      <c r="J157" s="245"/>
      <c r="K157" s="245"/>
      <c r="L157" s="245"/>
      <c r="N157" s="579"/>
      <c r="O157" s="579"/>
      <c r="P157" s="579"/>
      <c r="Q157" s="66"/>
      <c r="R157" s="66"/>
      <c r="S157" s="66"/>
    </row>
    <row r="158" spans="2:19" x14ac:dyDescent="0.2">
      <c r="B158" s="245"/>
      <c r="C158" s="245"/>
      <c r="D158" s="245"/>
      <c r="E158" s="245"/>
      <c r="F158" s="245"/>
      <c r="G158" s="579"/>
      <c r="H158" s="245"/>
      <c r="I158" s="245"/>
      <c r="J158" s="245"/>
      <c r="K158" s="245"/>
      <c r="L158" s="245"/>
      <c r="N158" s="579"/>
      <c r="O158" s="579"/>
      <c r="P158" s="579"/>
      <c r="Q158" s="66"/>
      <c r="R158" s="66"/>
      <c r="S158" s="66"/>
    </row>
    <row r="159" spans="2:19" x14ac:dyDescent="0.2">
      <c r="B159" s="245"/>
      <c r="C159" s="245"/>
      <c r="D159" s="245"/>
      <c r="E159" s="245"/>
      <c r="F159" s="245"/>
      <c r="G159" s="579"/>
      <c r="H159" s="245"/>
      <c r="I159" s="245"/>
      <c r="J159" s="245"/>
      <c r="K159" s="245"/>
      <c r="L159" s="245"/>
      <c r="N159" s="579"/>
      <c r="O159" s="579"/>
      <c r="P159" s="579"/>
      <c r="Q159" s="66"/>
      <c r="R159" s="66"/>
      <c r="S159" s="66"/>
    </row>
    <row r="160" spans="2:19" x14ac:dyDescent="0.2">
      <c r="B160" s="245"/>
      <c r="C160" s="245"/>
      <c r="D160" s="245"/>
      <c r="E160" s="245"/>
      <c r="F160" s="245"/>
      <c r="G160" s="579"/>
      <c r="H160" s="245"/>
      <c r="I160" s="245"/>
      <c r="J160" s="245"/>
      <c r="K160" s="245"/>
      <c r="L160" s="245"/>
      <c r="N160" s="579"/>
      <c r="O160" s="579"/>
      <c r="P160" s="579"/>
      <c r="Q160" s="66"/>
      <c r="R160" s="66"/>
      <c r="S160" s="66"/>
    </row>
    <row r="161" spans="2:19" x14ac:dyDescent="0.2">
      <c r="B161" s="245"/>
      <c r="C161" s="245"/>
      <c r="D161" s="245"/>
      <c r="E161" s="245"/>
      <c r="F161" s="245"/>
      <c r="G161" s="579"/>
      <c r="H161" s="245"/>
      <c r="I161" s="245"/>
      <c r="J161" s="245"/>
      <c r="K161" s="245"/>
      <c r="L161" s="245"/>
      <c r="N161" s="579"/>
      <c r="O161" s="579"/>
      <c r="P161" s="579"/>
      <c r="Q161" s="66"/>
      <c r="R161" s="66"/>
      <c r="S161" s="66"/>
    </row>
    <row r="162" spans="2:19" x14ac:dyDescent="0.2">
      <c r="B162" s="245"/>
      <c r="C162" s="245"/>
      <c r="D162" s="245"/>
      <c r="E162" s="245"/>
      <c r="F162" s="245"/>
      <c r="G162" s="579"/>
      <c r="H162" s="245"/>
      <c r="I162" s="245"/>
      <c r="J162" s="245"/>
      <c r="K162" s="245"/>
      <c r="L162" s="245"/>
      <c r="N162" s="579"/>
      <c r="O162" s="579"/>
      <c r="P162" s="579"/>
      <c r="Q162" s="66"/>
      <c r="R162" s="66"/>
      <c r="S162" s="66"/>
    </row>
    <row r="163" spans="2:19" x14ac:dyDescent="0.2">
      <c r="B163" s="245"/>
      <c r="C163" s="245"/>
      <c r="D163" s="245"/>
      <c r="E163" s="245"/>
      <c r="F163" s="245"/>
      <c r="G163" s="579"/>
      <c r="H163" s="245"/>
      <c r="I163" s="245"/>
      <c r="J163" s="245"/>
      <c r="K163" s="245"/>
      <c r="L163" s="245"/>
      <c r="N163" s="579"/>
      <c r="O163" s="579"/>
      <c r="P163" s="579"/>
      <c r="Q163" s="66"/>
      <c r="R163" s="66"/>
      <c r="S163" s="66"/>
    </row>
    <row r="164" spans="2:19" x14ac:dyDescent="0.2">
      <c r="B164" s="245"/>
      <c r="C164" s="245"/>
      <c r="D164" s="245"/>
      <c r="E164" s="245"/>
      <c r="F164" s="245"/>
      <c r="G164" s="579"/>
      <c r="H164" s="245"/>
      <c r="I164" s="245"/>
      <c r="J164" s="245"/>
      <c r="K164" s="245"/>
      <c r="L164" s="245"/>
      <c r="N164" s="579"/>
      <c r="O164" s="579"/>
      <c r="P164" s="579"/>
      <c r="Q164" s="66"/>
      <c r="R164" s="66"/>
      <c r="S164" s="66"/>
    </row>
    <row r="165" spans="2:19" x14ac:dyDescent="0.2">
      <c r="B165" s="245"/>
      <c r="C165" s="245"/>
      <c r="D165" s="245"/>
      <c r="E165" s="245"/>
      <c r="F165" s="245"/>
      <c r="G165" s="579"/>
      <c r="H165" s="245"/>
      <c r="I165" s="245"/>
      <c r="J165" s="245"/>
      <c r="K165" s="245"/>
      <c r="L165" s="245"/>
      <c r="N165" s="579"/>
      <c r="O165" s="579"/>
      <c r="P165" s="579"/>
      <c r="Q165" s="66"/>
      <c r="R165" s="66"/>
      <c r="S165" s="66"/>
    </row>
    <row r="166" spans="2:19" x14ac:dyDescent="0.2">
      <c r="B166" s="245"/>
      <c r="C166" s="245"/>
      <c r="D166" s="245"/>
      <c r="E166" s="245"/>
      <c r="F166" s="245"/>
      <c r="G166" s="579"/>
      <c r="H166" s="245"/>
      <c r="I166" s="245"/>
      <c r="J166" s="245"/>
      <c r="K166" s="245"/>
      <c r="L166" s="245"/>
      <c r="N166" s="579"/>
      <c r="O166" s="579"/>
      <c r="P166" s="579"/>
      <c r="Q166" s="66"/>
      <c r="R166" s="66"/>
      <c r="S166" s="66"/>
    </row>
    <row r="167" spans="2:19" x14ac:dyDescent="0.2">
      <c r="B167" s="245"/>
      <c r="C167" s="245"/>
      <c r="D167" s="245"/>
      <c r="E167" s="245"/>
      <c r="F167" s="245"/>
      <c r="G167" s="579"/>
      <c r="H167" s="245"/>
      <c r="I167" s="245"/>
      <c r="J167" s="245"/>
      <c r="K167" s="245"/>
      <c r="L167" s="245"/>
      <c r="N167" s="579"/>
      <c r="O167" s="579"/>
      <c r="P167" s="579"/>
      <c r="Q167" s="66"/>
      <c r="R167" s="66"/>
      <c r="S167" s="66"/>
    </row>
    <row r="168" spans="2:19" x14ac:dyDescent="0.2">
      <c r="B168" s="245"/>
      <c r="C168" s="245"/>
      <c r="D168" s="245"/>
      <c r="E168" s="245"/>
      <c r="F168" s="245"/>
      <c r="G168" s="579"/>
      <c r="H168" s="245"/>
      <c r="I168" s="245"/>
      <c r="J168" s="245"/>
      <c r="K168" s="245"/>
      <c r="L168" s="245"/>
      <c r="N168" s="579"/>
      <c r="O168" s="579"/>
      <c r="P168" s="579"/>
      <c r="Q168" s="66"/>
      <c r="R168" s="66"/>
      <c r="S168" s="66"/>
    </row>
    <row r="169" spans="2:19" x14ac:dyDescent="0.2">
      <c r="B169" s="245"/>
      <c r="C169" s="245"/>
      <c r="D169" s="245"/>
      <c r="E169" s="245"/>
      <c r="F169" s="245"/>
      <c r="G169" s="579"/>
      <c r="H169" s="245"/>
      <c r="I169" s="245"/>
      <c r="J169" s="245"/>
      <c r="K169" s="245"/>
      <c r="L169" s="245"/>
      <c r="N169" s="579"/>
      <c r="O169" s="579"/>
      <c r="P169" s="579"/>
      <c r="Q169" s="66"/>
      <c r="R169" s="66"/>
      <c r="S169" s="66"/>
    </row>
    <row r="170" spans="2:19" x14ac:dyDescent="0.2">
      <c r="B170" s="245"/>
      <c r="C170" s="245"/>
      <c r="D170" s="245"/>
      <c r="E170" s="245"/>
      <c r="F170" s="245"/>
      <c r="G170" s="579"/>
      <c r="H170" s="245"/>
      <c r="I170" s="245"/>
      <c r="J170" s="245"/>
      <c r="K170" s="245"/>
      <c r="L170" s="245"/>
      <c r="N170" s="579"/>
      <c r="O170" s="579"/>
      <c r="P170" s="579"/>
      <c r="Q170" s="66"/>
      <c r="R170" s="66"/>
      <c r="S170" s="66"/>
    </row>
    <row r="171" spans="2:19" x14ac:dyDescent="0.2">
      <c r="B171" s="245"/>
      <c r="C171" s="245"/>
      <c r="D171" s="245"/>
      <c r="E171" s="245"/>
      <c r="F171" s="245"/>
      <c r="G171" s="579"/>
      <c r="H171" s="245"/>
      <c r="I171" s="245"/>
      <c r="J171" s="245"/>
      <c r="K171" s="245"/>
      <c r="L171" s="245"/>
      <c r="N171" s="579"/>
      <c r="O171" s="579"/>
      <c r="P171" s="579"/>
      <c r="Q171" s="66"/>
      <c r="R171" s="66"/>
      <c r="S171" s="66"/>
    </row>
    <row r="172" spans="2:19" x14ac:dyDescent="0.2">
      <c r="B172" s="245"/>
      <c r="C172" s="245"/>
      <c r="D172" s="245"/>
      <c r="E172" s="245"/>
      <c r="F172" s="245"/>
      <c r="G172" s="579"/>
      <c r="H172" s="245"/>
      <c r="I172" s="245"/>
      <c r="J172" s="245"/>
      <c r="K172" s="245"/>
      <c r="L172" s="245"/>
      <c r="N172" s="579"/>
      <c r="O172" s="579"/>
      <c r="P172" s="579"/>
      <c r="Q172" s="66"/>
      <c r="R172" s="66"/>
      <c r="S172" s="66"/>
    </row>
    <row r="173" spans="2:19" x14ac:dyDescent="0.2">
      <c r="B173" s="245"/>
      <c r="C173" s="245"/>
      <c r="D173" s="245"/>
      <c r="E173" s="245"/>
      <c r="F173" s="245"/>
      <c r="G173" s="579"/>
      <c r="H173" s="245"/>
      <c r="I173" s="245"/>
      <c r="J173" s="245"/>
      <c r="K173" s="245"/>
      <c r="L173" s="245"/>
      <c r="N173" s="579"/>
      <c r="O173" s="579"/>
      <c r="P173" s="579"/>
      <c r="Q173" s="66"/>
      <c r="R173" s="66"/>
      <c r="S173" s="66"/>
    </row>
    <row r="174" spans="2:19" x14ac:dyDescent="0.2">
      <c r="B174" s="245"/>
      <c r="C174" s="245"/>
      <c r="D174" s="245"/>
      <c r="E174" s="245"/>
      <c r="F174" s="245"/>
      <c r="G174" s="579"/>
      <c r="H174" s="245"/>
      <c r="I174" s="245"/>
      <c r="J174" s="245"/>
      <c r="K174" s="245"/>
      <c r="L174" s="245"/>
      <c r="N174" s="579"/>
      <c r="O174" s="579"/>
      <c r="P174" s="579"/>
      <c r="Q174" s="66"/>
      <c r="R174" s="66"/>
      <c r="S174" s="66"/>
    </row>
    <row r="175" spans="2:19" x14ac:dyDescent="0.2">
      <c r="B175" s="245"/>
      <c r="C175" s="245"/>
      <c r="D175" s="245"/>
      <c r="E175" s="245"/>
      <c r="F175" s="245"/>
      <c r="G175" s="579"/>
      <c r="H175" s="245"/>
      <c r="I175" s="245"/>
      <c r="J175" s="245"/>
      <c r="K175" s="245"/>
      <c r="L175" s="245"/>
      <c r="N175" s="579"/>
      <c r="O175" s="579"/>
      <c r="P175" s="579"/>
      <c r="Q175" s="66"/>
      <c r="R175" s="66"/>
      <c r="S175" s="66"/>
    </row>
    <row r="176" spans="2:19" x14ac:dyDescent="0.2">
      <c r="B176" s="245"/>
      <c r="C176" s="245"/>
      <c r="D176" s="245"/>
      <c r="E176" s="245"/>
      <c r="F176" s="245"/>
      <c r="G176" s="579"/>
      <c r="H176" s="245"/>
      <c r="I176" s="245"/>
      <c r="J176" s="245"/>
      <c r="K176" s="245"/>
      <c r="L176" s="245"/>
      <c r="N176" s="579"/>
      <c r="O176" s="579"/>
      <c r="P176" s="579"/>
      <c r="Q176" s="66"/>
      <c r="R176" s="66"/>
      <c r="S176" s="66"/>
    </row>
    <row r="177" spans="2:19" x14ac:dyDescent="0.2">
      <c r="B177" s="245"/>
      <c r="C177" s="245"/>
      <c r="D177" s="245"/>
      <c r="E177" s="245"/>
      <c r="F177" s="245"/>
      <c r="G177" s="579"/>
      <c r="H177" s="245"/>
      <c r="I177" s="245"/>
      <c r="J177" s="245"/>
      <c r="K177" s="245"/>
      <c r="L177" s="245"/>
      <c r="N177" s="579"/>
      <c r="O177" s="579"/>
      <c r="P177" s="579"/>
      <c r="Q177" s="66"/>
      <c r="R177" s="66"/>
      <c r="S177" s="66"/>
    </row>
    <row r="178" spans="2:19" x14ac:dyDescent="0.2">
      <c r="B178" s="245"/>
      <c r="C178" s="245"/>
      <c r="D178" s="245"/>
      <c r="E178" s="245"/>
      <c r="F178" s="245"/>
      <c r="G178" s="579"/>
      <c r="H178" s="245"/>
      <c r="I178" s="245"/>
      <c r="J178" s="245"/>
      <c r="K178" s="245"/>
      <c r="L178" s="245"/>
      <c r="N178" s="579"/>
      <c r="O178" s="579"/>
      <c r="P178" s="579"/>
      <c r="Q178" s="66"/>
      <c r="R178" s="66"/>
      <c r="S178" s="66"/>
    </row>
    <row r="179" spans="2:19" x14ac:dyDescent="0.2">
      <c r="B179" s="245"/>
      <c r="C179" s="245"/>
      <c r="D179" s="245"/>
      <c r="E179" s="245"/>
      <c r="F179" s="245"/>
      <c r="G179" s="579"/>
      <c r="H179" s="245"/>
      <c r="I179" s="245"/>
      <c r="J179" s="245"/>
      <c r="K179" s="245"/>
      <c r="L179" s="245"/>
      <c r="N179" s="579"/>
      <c r="O179" s="579"/>
      <c r="P179" s="579"/>
      <c r="Q179" s="66"/>
      <c r="R179" s="66"/>
      <c r="S179" s="66"/>
    </row>
    <row r="180" spans="2:19" x14ac:dyDescent="0.2">
      <c r="B180" s="245"/>
      <c r="C180" s="245"/>
      <c r="D180" s="245"/>
      <c r="E180" s="245"/>
      <c r="F180" s="245"/>
      <c r="G180" s="579"/>
      <c r="H180" s="245"/>
      <c r="I180" s="245"/>
      <c r="J180" s="245"/>
      <c r="K180" s="245"/>
      <c r="L180" s="245"/>
      <c r="N180" s="579"/>
      <c r="O180" s="579"/>
      <c r="P180" s="579"/>
      <c r="Q180" s="66"/>
      <c r="R180" s="66"/>
      <c r="S180" s="66"/>
    </row>
    <row r="181" spans="2:19" x14ac:dyDescent="0.2">
      <c r="B181" s="245"/>
      <c r="C181" s="245"/>
      <c r="D181" s="245"/>
      <c r="E181" s="245"/>
      <c r="F181" s="245"/>
      <c r="G181" s="579"/>
      <c r="H181" s="245"/>
      <c r="I181" s="245"/>
      <c r="J181" s="245"/>
      <c r="K181" s="245"/>
      <c r="L181" s="245"/>
      <c r="N181" s="579"/>
      <c r="O181" s="579"/>
      <c r="P181" s="579"/>
      <c r="Q181" s="66"/>
      <c r="R181" s="66"/>
      <c r="S181" s="66"/>
    </row>
    <row r="182" spans="2:19" x14ac:dyDescent="0.2">
      <c r="B182" s="245"/>
      <c r="C182" s="245"/>
      <c r="D182" s="245"/>
      <c r="E182" s="245"/>
      <c r="F182" s="245"/>
      <c r="G182" s="579"/>
      <c r="H182" s="245"/>
      <c r="I182" s="245"/>
      <c r="J182" s="245"/>
      <c r="K182" s="245"/>
      <c r="L182" s="245"/>
      <c r="N182" s="579"/>
      <c r="O182" s="579"/>
      <c r="P182" s="579"/>
      <c r="Q182" s="66"/>
      <c r="R182" s="66"/>
      <c r="S182" s="66"/>
    </row>
    <row r="183" spans="2:19" x14ac:dyDescent="0.2">
      <c r="B183" s="245"/>
      <c r="C183" s="245"/>
      <c r="D183" s="245"/>
      <c r="E183" s="245"/>
      <c r="F183" s="245"/>
      <c r="G183" s="579"/>
      <c r="H183" s="245"/>
      <c r="I183" s="245"/>
      <c r="J183" s="245"/>
      <c r="K183" s="245"/>
      <c r="L183" s="245"/>
      <c r="N183" s="579"/>
      <c r="O183" s="579"/>
      <c r="P183" s="579"/>
      <c r="Q183" s="66"/>
      <c r="R183" s="66"/>
      <c r="S183" s="66"/>
    </row>
    <row r="184" spans="2:19" x14ac:dyDescent="0.2">
      <c r="B184" s="245"/>
      <c r="C184" s="245"/>
      <c r="D184" s="245"/>
      <c r="E184" s="245"/>
      <c r="F184" s="245"/>
      <c r="G184" s="579"/>
      <c r="H184" s="245"/>
      <c r="I184" s="245"/>
      <c r="J184" s="245"/>
      <c r="K184" s="245"/>
      <c r="L184" s="245"/>
      <c r="N184" s="579"/>
      <c r="O184" s="579"/>
      <c r="P184" s="579"/>
      <c r="Q184" s="66"/>
      <c r="R184" s="66"/>
      <c r="S184" s="66"/>
    </row>
    <row r="185" spans="2:19" x14ac:dyDescent="0.2">
      <c r="B185" s="245"/>
      <c r="C185" s="245"/>
      <c r="D185" s="245"/>
      <c r="E185" s="245"/>
      <c r="F185" s="245"/>
      <c r="G185" s="579"/>
      <c r="H185" s="245"/>
      <c r="I185" s="245"/>
      <c r="J185" s="245"/>
      <c r="K185" s="245"/>
      <c r="L185" s="245"/>
      <c r="N185" s="579"/>
      <c r="O185" s="579"/>
      <c r="P185" s="579"/>
      <c r="Q185" s="66"/>
      <c r="R185" s="66"/>
      <c r="S185" s="66"/>
    </row>
    <row r="186" spans="2:19" x14ac:dyDescent="0.2">
      <c r="B186" s="245"/>
      <c r="C186" s="245"/>
      <c r="D186" s="245"/>
      <c r="E186" s="245"/>
      <c r="F186" s="245"/>
      <c r="G186" s="579"/>
      <c r="H186" s="245"/>
      <c r="I186" s="245"/>
      <c r="J186" s="245"/>
      <c r="K186" s="245"/>
      <c r="L186" s="245"/>
      <c r="N186" s="579"/>
      <c r="O186" s="579"/>
      <c r="P186" s="579"/>
      <c r="Q186" s="66"/>
      <c r="R186" s="66"/>
      <c r="S186" s="66"/>
    </row>
    <row r="187" spans="2:19" x14ac:dyDescent="0.2">
      <c r="B187" s="245"/>
      <c r="C187" s="245"/>
      <c r="D187" s="245"/>
      <c r="E187" s="245"/>
      <c r="F187" s="245"/>
      <c r="G187" s="579"/>
      <c r="H187" s="245"/>
      <c r="I187" s="245"/>
      <c r="J187" s="245"/>
      <c r="K187" s="245"/>
      <c r="L187" s="245"/>
      <c r="N187" s="579"/>
      <c r="O187" s="579"/>
      <c r="P187" s="579"/>
      <c r="Q187" s="66"/>
      <c r="R187" s="66"/>
      <c r="S187" s="66"/>
    </row>
    <row r="188" spans="2:19" x14ac:dyDescent="0.2">
      <c r="B188" s="245"/>
      <c r="C188" s="245"/>
      <c r="D188" s="245"/>
      <c r="E188" s="245"/>
      <c r="F188" s="245"/>
      <c r="G188" s="579"/>
      <c r="H188" s="245"/>
      <c r="I188" s="245"/>
      <c r="J188" s="245"/>
      <c r="K188" s="245"/>
      <c r="L188" s="245"/>
      <c r="N188" s="579"/>
      <c r="O188" s="579"/>
      <c r="P188" s="579"/>
      <c r="Q188" s="66"/>
      <c r="R188" s="66"/>
      <c r="S188" s="66"/>
    </row>
    <row r="189" spans="2:19" x14ac:dyDescent="0.2">
      <c r="B189" s="245"/>
      <c r="C189" s="245"/>
      <c r="D189" s="245"/>
      <c r="E189" s="245"/>
      <c r="F189" s="245"/>
      <c r="G189" s="579"/>
      <c r="H189" s="245"/>
      <c r="I189" s="245"/>
      <c r="J189" s="245"/>
      <c r="K189" s="245"/>
      <c r="L189" s="245"/>
      <c r="N189" s="579"/>
      <c r="O189" s="579"/>
      <c r="P189" s="579"/>
      <c r="Q189" s="66"/>
      <c r="R189" s="66"/>
      <c r="S189" s="66"/>
    </row>
    <row r="190" spans="2:19" x14ac:dyDescent="0.2">
      <c r="B190" s="245"/>
      <c r="C190" s="245"/>
      <c r="D190" s="245"/>
      <c r="E190" s="245"/>
      <c r="F190" s="245"/>
      <c r="G190" s="579"/>
      <c r="H190" s="245"/>
      <c r="I190" s="245"/>
      <c r="J190" s="245"/>
      <c r="K190" s="245"/>
      <c r="L190" s="245"/>
      <c r="N190" s="579"/>
      <c r="O190" s="579"/>
      <c r="P190" s="579"/>
      <c r="Q190" s="66"/>
      <c r="R190" s="66"/>
      <c r="S190" s="66"/>
    </row>
    <row r="191" spans="2:19" x14ac:dyDescent="0.2">
      <c r="B191" s="245"/>
      <c r="C191" s="245"/>
      <c r="D191" s="245"/>
      <c r="E191" s="245"/>
      <c r="F191" s="245"/>
      <c r="G191" s="579"/>
      <c r="H191" s="245"/>
      <c r="I191" s="245"/>
      <c r="J191" s="245"/>
      <c r="K191" s="245"/>
      <c r="L191" s="245"/>
      <c r="N191" s="579"/>
      <c r="O191" s="579"/>
      <c r="P191" s="579"/>
      <c r="Q191" s="66"/>
      <c r="R191" s="66"/>
      <c r="S191" s="66"/>
    </row>
    <row r="192" spans="2:19" x14ac:dyDescent="0.2">
      <c r="B192" s="245"/>
      <c r="C192" s="245"/>
      <c r="D192" s="245"/>
      <c r="E192" s="245"/>
      <c r="F192" s="245"/>
      <c r="G192" s="579"/>
      <c r="H192" s="245"/>
      <c r="I192" s="245"/>
      <c r="J192" s="245"/>
      <c r="K192" s="245"/>
      <c r="L192" s="245"/>
      <c r="N192" s="579"/>
      <c r="O192" s="579"/>
      <c r="P192" s="579"/>
      <c r="Q192" s="66"/>
      <c r="R192" s="66"/>
      <c r="S192" s="66"/>
    </row>
    <row r="193" spans="2:19" x14ac:dyDescent="0.2">
      <c r="B193" s="245"/>
      <c r="C193" s="245"/>
      <c r="D193" s="245"/>
      <c r="E193" s="245"/>
      <c r="F193" s="245"/>
      <c r="G193" s="579"/>
      <c r="H193" s="245"/>
      <c r="I193" s="245"/>
      <c r="J193" s="245"/>
      <c r="K193" s="245"/>
      <c r="L193" s="245"/>
      <c r="N193" s="579"/>
      <c r="O193" s="579"/>
      <c r="P193" s="579"/>
      <c r="Q193" s="66"/>
      <c r="R193" s="66"/>
      <c r="S193" s="66"/>
    </row>
    <row r="194" spans="2:19" x14ac:dyDescent="0.2">
      <c r="B194" s="245"/>
      <c r="C194" s="245"/>
      <c r="D194" s="245"/>
      <c r="E194" s="245"/>
      <c r="F194" s="245"/>
      <c r="G194" s="579"/>
      <c r="H194" s="245"/>
      <c r="I194" s="245"/>
      <c r="J194" s="245"/>
      <c r="K194" s="245"/>
      <c r="L194" s="245"/>
      <c r="N194" s="579"/>
      <c r="O194" s="579"/>
      <c r="P194" s="579"/>
      <c r="Q194" s="66"/>
      <c r="R194" s="66"/>
      <c r="S194" s="66"/>
    </row>
    <row r="195" spans="2:19" x14ac:dyDescent="0.2">
      <c r="B195" s="245"/>
      <c r="C195" s="245"/>
      <c r="D195" s="245"/>
      <c r="E195" s="245"/>
      <c r="F195" s="245"/>
      <c r="G195" s="579"/>
      <c r="H195" s="245"/>
      <c r="I195" s="245"/>
      <c r="J195" s="245"/>
      <c r="K195" s="245"/>
      <c r="L195" s="245"/>
      <c r="N195" s="579"/>
      <c r="O195" s="579"/>
      <c r="P195" s="579"/>
      <c r="Q195" s="66"/>
      <c r="R195" s="66"/>
      <c r="S195" s="66"/>
    </row>
    <row r="196" spans="2:19" x14ac:dyDescent="0.2">
      <c r="B196" s="245"/>
      <c r="C196" s="245"/>
      <c r="D196" s="245"/>
      <c r="E196" s="245"/>
      <c r="F196" s="245"/>
      <c r="G196" s="579"/>
      <c r="H196" s="245"/>
      <c r="I196" s="245"/>
      <c r="J196" s="245"/>
      <c r="K196" s="245"/>
      <c r="L196" s="245"/>
      <c r="N196" s="579"/>
      <c r="O196" s="579"/>
      <c r="P196" s="579"/>
      <c r="Q196" s="66"/>
      <c r="R196" s="66"/>
      <c r="S196" s="66"/>
    </row>
    <row r="197" spans="2:19" x14ac:dyDescent="0.2">
      <c r="B197" s="245"/>
      <c r="C197" s="245"/>
      <c r="D197" s="245"/>
      <c r="E197" s="245"/>
      <c r="F197" s="245"/>
      <c r="G197" s="579"/>
      <c r="H197" s="245"/>
      <c r="I197" s="245"/>
      <c r="J197" s="245"/>
      <c r="K197" s="245"/>
      <c r="L197" s="245"/>
      <c r="N197" s="579"/>
      <c r="O197" s="579"/>
      <c r="P197" s="579"/>
      <c r="Q197" s="66"/>
      <c r="R197" s="66"/>
      <c r="S197" s="66"/>
    </row>
    <row r="198" spans="2:19" x14ac:dyDescent="0.2">
      <c r="B198" s="245"/>
      <c r="C198" s="245"/>
      <c r="D198" s="245"/>
      <c r="E198" s="245"/>
      <c r="F198" s="245"/>
      <c r="G198" s="579"/>
      <c r="H198" s="245"/>
      <c r="I198" s="245"/>
      <c r="J198" s="245"/>
      <c r="K198" s="245"/>
      <c r="L198" s="245"/>
      <c r="N198" s="579"/>
      <c r="O198" s="579"/>
      <c r="P198" s="579"/>
      <c r="Q198" s="66"/>
      <c r="R198" s="66"/>
      <c r="S198" s="66"/>
    </row>
    <row r="199" spans="2:19" x14ac:dyDescent="0.2">
      <c r="B199" s="245"/>
      <c r="C199" s="245"/>
      <c r="D199" s="245"/>
      <c r="E199" s="245"/>
      <c r="F199" s="245"/>
      <c r="G199" s="579"/>
      <c r="H199" s="245"/>
      <c r="I199" s="245"/>
      <c r="J199" s="245"/>
      <c r="K199" s="245"/>
      <c r="L199" s="245"/>
      <c r="N199" s="579"/>
      <c r="O199" s="579"/>
      <c r="P199" s="579"/>
      <c r="Q199" s="66"/>
      <c r="R199" s="66"/>
      <c r="S199" s="66"/>
    </row>
    <row r="200" spans="2:19" x14ac:dyDescent="0.2">
      <c r="B200" s="245"/>
      <c r="C200" s="245"/>
      <c r="D200" s="245"/>
      <c r="E200" s="245"/>
      <c r="F200" s="245"/>
      <c r="G200" s="579"/>
      <c r="H200" s="245"/>
      <c r="I200" s="245"/>
      <c r="J200" s="245"/>
      <c r="K200" s="245"/>
      <c r="L200" s="245"/>
      <c r="N200" s="579"/>
      <c r="O200" s="579"/>
      <c r="P200" s="579"/>
      <c r="Q200" s="66"/>
      <c r="R200" s="66"/>
      <c r="S200" s="66"/>
    </row>
    <row r="201" spans="2:19" x14ac:dyDescent="0.2">
      <c r="B201" s="245"/>
      <c r="C201" s="245"/>
      <c r="D201" s="245"/>
      <c r="E201" s="245"/>
      <c r="F201" s="245"/>
      <c r="G201" s="579"/>
      <c r="H201" s="245"/>
      <c r="I201" s="245"/>
      <c r="J201" s="245"/>
      <c r="K201" s="245"/>
      <c r="L201" s="245"/>
      <c r="N201" s="579"/>
      <c r="O201" s="579"/>
      <c r="P201" s="579"/>
      <c r="Q201" s="66"/>
      <c r="R201" s="66"/>
      <c r="S201" s="66"/>
    </row>
    <row r="202" spans="2:19" x14ac:dyDescent="0.2">
      <c r="B202" s="245"/>
      <c r="C202" s="245"/>
      <c r="D202" s="245"/>
      <c r="E202" s="245"/>
      <c r="F202" s="245"/>
      <c r="G202" s="579"/>
      <c r="H202" s="245"/>
      <c r="I202" s="245"/>
      <c r="J202" s="245"/>
      <c r="K202" s="245"/>
      <c r="L202" s="245"/>
      <c r="N202" s="579"/>
      <c r="O202" s="579"/>
      <c r="P202" s="579"/>
      <c r="Q202" s="66"/>
      <c r="R202" s="66"/>
      <c r="S202" s="66"/>
    </row>
    <row r="203" spans="2:19" x14ac:dyDescent="0.2">
      <c r="B203" s="245"/>
      <c r="C203" s="245"/>
      <c r="D203" s="245"/>
      <c r="E203" s="245"/>
      <c r="F203" s="245"/>
      <c r="G203" s="579"/>
      <c r="H203" s="245"/>
      <c r="I203" s="245"/>
      <c r="J203" s="245"/>
      <c r="K203" s="245"/>
      <c r="L203" s="245"/>
      <c r="N203" s="579"/>
      <c r="O203" s="579"/>
      <c r="P203" s="579"/>
      <c r="Q203" s="66"/>
      <c r="R203" s="66"/>
      <c r="S203" s="66"/>
    </row>
    <row r="204" spans="2:19" x14ac:dyDescent="0.2">
      <c r="B204" s="245"/>
      <c r="C204" s="245"/>
      <c r="D204" s="245"/>
      <c r="E204" s="245"/>
      <c r="F204" s="245"/>
      <c r="G204" s="579"/>
      <c r="H204" s="245"/>
      <c r="I204" s="245"/>
      <c r="J204" s="245"/>
      <c r="K204" s="245"/>
      <c r="L204" s="245"/>
      <c r="N204" s="579"/>
      <c r="O204" s="579"/>
      <c r="P204" s="579"/>
      <c r="Q204" s="66"/>
      <c r="R204" s="66"/>
      <c r="S204" s="66"/>
    </row>
    <row r="205" spans="2:19" x14ac:dyDescent="0.2">
      <c r="B205" s="245"/>
      <c r="C205" s="245"/>
      <c r="D205" s="245"/>
      <c r="E205" s="245"/>
      <c r="F205" s="245"/>
      <c r="G205" s="579"/>
      <c r="H205" s="245"/>
      <c r="I205" s="245"/>
      <c r="J205" s="245"/>
      <c r="K205" s="245"/>
      <c r="L205" s="245"/>
      <c r="N205" s="579"/>
      <c r="O205" s="579"/>
      <c r="P205" s="579"/>
      <c r="Q205" s="66"/>
      <c r="R205" s="66"/>
      <c r="S205" s="66"/>
    </row>
    <row r="206" spans="2:19" x14ac:dyDescent="0.2">
      <c r="B206" s="245"/>
      <c r="C206" s="245"/>
      <c r="D206" s="245"/>
      <c r="E206" s="245"/>
      <c r="F206" s="245"/>
      <c r="G206" s="579"/>
      <c r="H206" s="245"/>
      <c r="I206" s="245"/>
      <c r="J206" s="245"/>
      <c r="K206" s="245"/>
      <c r="L206" s="245"/>
      <c r="N206" s="579"/>
      <c r="O206" s="579"/>
      <c r="P206" s="579"/>
      <c r="Q206" s="66"/>
      <c r="R206" s="66"/>
      <c r="S206" s="66"/>
    </row>
    <row r="207" spans="2:19" x14ac:dyDescent="0.2">
      <c r="B207" s="245"/>
      <c r="C207" s="245"/>
      <c r="D207" s="245"/>
      <c r="E207" s="245"/>
      <c r="F207" s="245"/>
      <c r="G207" s="579"/>
      <c r="H207" s="245"/>
      <c r="I207" s="245"/>
      <c r="J207" s="245"/>
      <c r="K207" s="245"/>
      <c r="L207" s="245"/>
      <c r="N207" s="579"/>
      <c r="O207" s="579"/>
      <c r="P207" s="579"/>
      <c r="Q207" s="66"/>
      <c r="R207" s="66"/>
      <c r="S207" s="66"/>
    </row>
    <row r="208" spans="2:19" x14ac:dyDescent="0.2">
      <c r="B208" s="245"/>
      <c r="C208" s="245"/>
      <c r="D208" s="245"/>
      <c r="E208" s="245"/>
      <c r="F208" s="245"/>
      <c r="G208" s="579"/>
      <c r="H208" s="245"/>
      <c r="I208" s="245"/>
      <c r="J208" s="245"/>
      <c r="K208" s="245"/>
      <c r="L208" s="245"/>
      <c r="N208" s="579"/>
      <c r="O208" s="579"/>
      <c r="P208" s="579"/>
      <c r="Q208" s="66"/>
      <c r="R208" s="66"/>
      <c r="S208" s="66"/>
    </row>
    <row r="209" spans="2:19" x14ac:dyDescent="0.2">
      <c r="B209" s="245"/>
      <c r="C209" s="245"/>
      <c r="D209" s="245"/>
      <c r="E209" s="245"/>
      <c r="F209" s="245"/>
      <c r="G209" s="579"/>
      <c r="H209" s="245"/>
      <c r="I209" s="245"/>
      <c r="J209" s="245"/>
      <c r="K209" s="245"/>
      <c r="L209" s="245"/>
      <c r="N209" s="579"/>
      <c r="O209" s="579"/>
      <c r="P209" s="579"/>
      <c r="Q209" s="66"/>
      <c r="R209" s="66"/>
      <c r="S209" s="66"/>
    </row>
    <row r="210" spans="2:19" x14ac:dyDescent="0.2">
      <c r="B210" s="245"/>
      <c r="C210" s="245"/>
      <c r="D210" s="245"/>
      <c r="E210" s="245"/>
      <c r="F210" s="245"/>
      <c r="G210" s="579"/>
      <c r="H210" s="245"/>
      <c r="I210" s="245"/>
      <c r="J210" s="245"/>
      <c r="K210" s="245"/>
      <c r="L210" s="245"/>
      <c r="N210" s="579"/>
      <c r="O210" s="579"/>
      <c r="P210" s="579"/>
      <c r="Q210" s="66"/>
      <c r="R210" s="66"/>
      <c r="S210" s="66"/>
    </row>
    <row r="211" spans="2:19" x14ac:dyDescent="0.2">
      <c r="B211" s="245"/>
      <c r="C211" s="245"/>
      <c r="D211" s="245"/>
      <c r="E211" s="245"/>
      <c r="F211" s="245"/>
      <c r="G211" s="579"/>
      <c r="H211" s="245"/>
      <c r="I211" s="245"/>
      <c r="J211" s="245"/>
      <c r="K211" s="245"/>
      <c r="L211" s="245"/>
      <c r="N211" s="579"/>
      <c r="O211" s="579"/>
      <c r="P211" s="579"/>
      <c r="Q211" s="66"/>
      <c r="R211" s="66"/>
      <c r="S211" s="66"/>
    </row>
    <row r="212" spans="2:19" x14ac:dyDescent="0.2">
      <c r="B212" s="245"/>
      <c r="C212" s="245"/>
      <c r="D212" s="245"/>
      <c r="E212" s="245"/>
      <c r="F212" s="245"/>
      <c r="G212" s="579"/>
      <c r="H212" s="245"/>
      <c r="I212" s="245"/>
      <c r="J212" s="245"/>
      <c r="K212" s="245"/>
      <c r="L212" s="245"/>
      <c r="N212" s="579"/>
      <c r="O212" s="579"/>
      <c r="P212" s="579"/>
      <c r="Q212" s="66"/>
      <c r="R212" s="66"/>
      <c r="S212" s="66"/>
    </row>
    <row r="213" spans="2:19" x14ac:dyDescent="0.2">
      <c r="B213" s="245"/>
      <c r="C213" s="245"/>
      <c r="D213" s="245"/>
      <c r="E213" s="245"/>
      <c r="F213" s="245"/>
      <c r="G213" s="579"/>
      <c r="H213" s="245"/>
      <c r="I213" s="245"/>
      <c r="J213" s="245"/>
      <c r="K213" s="245"/>
      <c r="L213" s="245"/>
      <c r="N213" s="579"/>
      <c r="O213" s="579"/>
      <c r="P213" s="579"/>
      <c r="Q213" s="66"/>
      <c r="R213" s="66"/>
      <c r="S213" s="66"/>
    </row>
    <row r="214" spans="2:19" x14ac:dyDescent="0.2">
      <c r="B214" s="245"/>
      <c r="C214" s="245"/>
      <c r="D214" s="245"/>
      <c r="E214" s="245"/>
      <c r="F214" s="245"/>
      <c r="G214" s="579"/>
      <c r="H214" s="245"/>
      <c r="I214" s="245"/>
      <c r="J214" s="245"/>
      <c r="K214" s="245"/>
      <c r="L214" s="245"/>
      <c r="N214" s="579"/>
      <c r="O214" s="579"/>
      <c r="P214" s="579"/>
      <c r="Q214" s="66"/>
      <c r="R214" s="66"/>
      <c r="S214" s="66"/>
    </row>
    <row r="215" spans="2:19" x14ac:dyDescent="0.2">
      <c r="B215" s="245"/>
      <c r="C215" s="245"/>
      <c r="D215" s="245"/>
      <c r="E215" s="245"/>
      <c r="F215" s="245"/>
      <c r="G215" s="579"/>
      <c r="H215" s="245"/>
      <c r="I215" s="245"/>
      <c r="J215" s="245"/>
      <c r="K215" s="245"/>
      <c r="L215" s="245"/>
      <c r="N215" s="579"/>
      <c r="O215" s="579"/>
      <c r="P215" s="579"/>
      <c r="Q215" s="66"/>
      <c r="R215" s="66"/>
      <c r="S215" s="66"/>
    </row>
    <row r="216" spans="2:19" x14ac:dyDescent="0.2">
      <c r="B216" s="245"/>
      <c r="C216" s="245"/>
      <c r="D216" s="245"/>
      <c r="E216" s="245"/>
      <c r="F216" s="245"/>
      <c r="G216" s="579"/>
      <c r="H216" s="245"/>
      <c r="I216" s="245"/>
      <c r="J216" s="245"/>
      <c r="K216" s="245"/>
      <c r="L216" s="245"/>
      <c r="N216" s="579"/>
      <c r="O216" s="579"/>
      <c r="P216" s="579"/>
      <c r="Q216" s="66"/>
      <c r="R216" s="66"/>
      <c r="S216" s="66"/>
    </row>
    <row r="217" spans="2:19" x14ac:dyDescent="0.2">
      <c r="B217" s="245"/>
      <c r="C217" s="245"/>
      <c r="D217" s="245"/>
      <c r="E217" s="245"/>
      <c r="F217" s="245"/>
      <c r="G217" s="579"/>
      <c r="H217" s="245"/>
      <c r="I217" s="245"/>
      <c r="J217" s="245"/>
      <c r="K217" s="245"/>
      <c r="L217" s="245"/>
      <c r="N217" s="579"/>
      <c r="O217" s="579"/>
      <c r="P217" s="579"/>
      <c r="Q217" s="66"/>
      <c r="R217" s="66"/>
      <c r="S217" s="66"/>
    </row>
    <row r="218" spans="2:19" x14ac:dyDescent="0.2">
      <c r="B218" s="245"/>
      <c r="C218" s="245"/>
      <c r="D218" s="245"/>
      <c r="E218" s="245"/>
      <c r="F218" s="245"/>
      <c r="G218" s="579"/>
      <c r="H218" s="245"/>
      <c r="I218" s="245"/>
      <c r="J218" s="245"/>
      <c r="K218" s="245"/>
      <c r="L218" s="245"/>
      <c r="N218" s="579"/>
      <c r="O218" s="579"/>
      <c r="P218" s="579"/>
      <c r="Q218" s="66"/>
      <c r="R218" s="66"/>
      <c r="S218" s="66"/>
    </row>
    <row r="219" spans="2:19" x14ac:dyDescent="0.2">
      <c r="B219" s="245"/>
      <c r="C219" s="245"/>
      <c r="D219" s="245"/>
      <c r="E219" s="245"/>
      <c r="F219" s="245"/>
      <c r="G219" s="579"/>
      <c r="H219" s="245"/>
      <c r="I219" s="245"/>
      <c r="J219" s="245"/>
      <c r="K219" s="245"/>
      <c r="L219" s="245"/>
      <c r="N219" s="579"/>
      <c r="O219" s="579"/>
      <c r="P219" s="579"/>
      <c r="Q219" s="66"/>
      <c r="R219" s="66"/>
      <c r="S219" s="66"/>
    </row>
    <row r="220" spans="2:19" x14ac:dyDescent="0.2">
      <c r="B220" s="245"/>
      <c r="C220" s="245"/>
      <c r="D220" s="245"/>
      <c r="E220" s="245"/>
      <c r="F220" s="245"/>
      <c r="G220" s="579"/>
      <c r="H220" s="245"/>
      <c r="I220" s="245"/>
      <c r="J220" s="245"/>
      <c r="K220" s="245"/>
      <c r="L220" s="245"/>
      <c r="N220" s="579"/>
      <c r="O220" s="579"/>
      <c r="P220" s="579"/>
      <c r="Q220" s="66"/>
      <c r="R220" s="66"/>
      <c r="S220" s="66"/>
    </row>
    <row r="221" spans="2:19" x14ac:dyDescent="0.2">
      <c r="B221" s="245"/>
      <c r="C221" s="245"/>
      <c r="D221" s="245"/>
      <c r="E221" s="245"/>
      <c r="F221" s="245"/>
      <c r="G221" s="579"/>
      <c r="H221" s="245"/>
      <c r="I221" s="245"/>
      <c r="J221" s="245"/>
      <c r="K221" s="245"/>
      <c r="L221" s="245"/>
      <c r="N221" s="579"/>
      <c r="O221" s="579"/>
      <c r="P221" s="579"/>
      <c r="Q221" s="66"/>
      <c r="R221" s="66"/>
      <c r="S221" s="66"/>
    </row>
    <row r="222" spans="2:19" x14ac:dyDescent="0.2">
      <c r="B222" s="245"/>
      <c r="C222" s="245"/>
      <c r="D222" s="245"/>
      <c r="E222" s="245"/>
      <c r="F222" s="245"/>
      <c r="G222" s="579"/>
      <c r="H222" s="245"/>
      <c r="I222" s="245"/>
      <c r="J222" s="245"/>
      <c r="K222" s="245"/>
      <c r="L222" s="245"/>
      <c r="N222" s="579"/>
      <c r="O222" s="579"/>
      <c r="P222" s="579"/>
      <c r="Q222" s="66"/>
      <c r="R222" s="66"/>
      <c r="S222" s="66"/>
    </row>
    <row r="223" spans="2:19" x14ac:dyDescent="0.2">
      <c r="B223" s="245"/>
      <c r="C223" s="245"/>
      <c r="D223" s="245"/>
      <c r="E223" s="245"/>
      <c r="F223" s="245"/>
      <c r="G223" s="579"/>
      <c r="H223" s="245"/>
      <c r="I223" s="245"/>
      <c r="J223" s="245"/>
      <c r="K223" s="245"/>
      <c r="L223" s="245"/>
      <c r="N223" s="579"/>
      <c r="O223" s="579"/>
      <c r="P223" s="579"/>
      <c r="Q223" s="66"/>
      <c r="R223" s="66"/>
      <c r="S223" s="66"/>
    </row>
    <row r="224" spans="2:19" x14ac:dyDescent="0.2">
      <c r="B224" s="245"/>
      <c r="C224" s="245"/>
      <c r="D224" s="245"/>
      <c r="E224" s="245"/>
      <c r="F224" s="245"/>
      <c r="G224" s="579"/>
      <c r="H224" s="245"/>
      <c r="I224" s="245"/>
      <c r="J224" s="245"/>
      <c r="K224" s="245"/>
      <c r="L224" s="245"/>
      <c r="N224" s="579"/>
      <c r="O224" s="579"/>
      <c r="P224" s="579"/>
      <c r="Q224" s="66"/>
      <c r="R224" s="66"/>
      <c r="S224" s="66"/>
    </row>
    <row r="225" spans="2:19" x14ac:dyDescent="0.2">
      <c r="B225" s="245"/>
      <c r="C225" s="245"/>
      <c r="D225" s="245"/>
      <c r="E225" s="245"/>
      <c r="F225" s="245"/>
      <c r="G225" s="579"/>
      <c r="H225" s="245"/>
      <c r="I225" s="245"/>
      <c r="J225" s="245"/>
      <c r="K225" s="245"/>
      <c r="L225" s="245"/>
      <c r="N225" s="579"/>
      <c r="O225" s="579"/>
      <c r="P225" s="579"/>
      <c r="Q225" s="66"/>
      <c r="R225" s="66"/>
      <c r="S225" s="66"/>
    </row>
    <row r="226" spans="2:19" x14ac:dyDescent="0.2">
      <c r="B226" s="245"/>
      <c r="C226" s="245"/>
      <c r="D226" s="245"/>
      <c r="E226" s="245"/>
      <c r="F226" s="245"/>
      <c r="G226" s="579"/>
      <c r="H226" s="245"/>
      <c r="I226" s="245"/>
      <c r="J226" s="245"/>
      <c r="K226" s="245"/>
      <c r="L226" s="245"/>
      <c r="N226" s="579"/>
      <c r="O226" s="579"/>
      <c r="P226" s="579"/>
      <c r="Q226" s="66"/>
      <c r="R226" s="66"/>
      <c r="S226" s="66"/>
    </row>
    <row r="227" spans="2:19" x14ac:dyDescent="0.2">
      <c r="B227" s="245"/>
      <c r="C227" s="245"/>
      <c r="D227" s="245"/>
      <c r="E227" s="245"/>
      <c r="F227" s="245"/>
      <c r="G227" s="579"/>
      <c r="H227" s="245"/>
      <c r="I227" s="245"/>
      <c r="J227" s="245"/>
      <c r="K227" s="245"/>
      <c r="L227" s="245"/>
      <c r="N227" s="579"/>
      <c r="O227" s="579"/>
      <c r="P227" s="579"/>
      <c r="Q227" s="66"/>
      <c r="R227" s="66"/>
      <c r="S227" s="66"/>
    </row>
    <row r="228" spans="2:19" x14ac:dyDescent="0.2">
      <c r="B228" s="245"/>
      <c r="C228" s="245"/>
      <c r="D228" s="245"/>
      <c r="E228" s="245"/>
      <c r="F228" s="245"/>
      <c r="G228" s="579"/>
      <c r="H228" s="245"/>
      <c r="I228" s="245"/>
      <c r="J228" s="245"/>
      <c r="K228" s="245"/>
      <c r="L228" s="245"/>
      <c r="N228" s="579"/>
      <c r="O228" s="579"/>
      <c r="P228" s="579"/>
      <c r="Q228" s="66"/>
      <c r="R228" s="66"/>
      <c r="S228" s="66"/>
    </row>
    <row r="229" spans="2:19" x14ac:dyDescent="0.2">
      <c r="B229" s="245"/>
      <c r="C229" s="245"/>
      <c r="D229" s="245"/>
      <c r="E229" s="245"/>
      <c r="F229" s="245"/>
      <c r="G229" s="579"/>
      <c r="H229" s="245"/>
      <c r="I229" s="245"/>
      <c r="J229" s="245"/>
      <c r="K229" s="245"/>
      <c r="L229" s="245"/>
      <c r="N229" s="579"/>
      <c r="O229" s="579"/>
      <c r="P229" s="579"/>
      <c r="Q229" s="66"/>
      <c r="R229" s="66"/>
      <c r="S229" s="66"/>
    </row>
    <row r="230" spans="2:19" x14ac:dyDescent="0.2">
      <c r="B230" s="245"/>
      <c r="C230" s="245"/>
      <c r="D230" s="245"/>
      <c r="E230" s="245"/>
      <c r="F230" s="245"/>
      <c r="G230" s="579"/>
      <c r="H230" s="245"/>
      <c r="I230" s="245"/>
      <c r="J230" s="245"/>
      <c r="K230" s="245"/>
      <c r="L230" s="245"/>
      <c r="N230" s="579"/>
      <c r="O230" s="579"/>
      <c r="P230" s="579"/>
      <c r="Q230" s="66"/>
      <c r="R230" s="66"/>
      <c r="S230" s="66"/>
    </row>
    <row r="231" spans="2:19" x14ac:dyDescent="0.2">
      <c r="B231" s="245"/>
      <c r="C231" s="245"/>
      <c r="D231" s="245"/>
      <c r="E231" s="245"/>
      <c r="F231" s="245"/>
      <c r="G231" s="579"/>
      <c r="H231" s="245"/>
      <c r="I231" s="245"/>
      <c r="J231" s="245"/>
      <c r="K231" s="245"/>
      <c r="L231" s="245"/>
      <c r="N231" s="579"/>
      <c r="O231" s="579"/>
      <c r="P231" s="579"/>
      <c r="Q231" s="66"/>
      <c r="R231" s="66"/>
      <c r="S231" s="66"/>
    </row>
    <row r="232" spans="2:19" x14ac:dyDescent="0.2">
      <c r="B232" s="245"/>
      <c r="C232" s="245"/>
      <c r="D232" s="245"/>
      <c r="E232" s="245"/>
      <c r="F232" s="245"/>
      <c r="G232" s="579"/>
      <c r="H232" s="245"/>
      <c r="I232" s="245"/>
      <c r="J232" s="245"/>
      <c r="K232" s="245"/>
      <c r="L232" s="245"/>
      <c r="N232" s="579"/>
      <c r="O232" s="579"/>
      <c r="P232" s="579"/>
      <c r="Q232" s="66"/>
      <c r="R232" s="66"/>
      <c r="S232" s="66"/>
    </row>
    <row r="233" spans="2:19" x14ac:dyDescent="0.2">
      <c r="B233" s="245"/>
      <c r="C233" s="245"/>
      <c r="D233" s="245"/>
      <c r="E233" s="245"/>
      <c r="F233" s="245"/>
      <c r="G233" s="579"/>
      <c r="H233" s="245"/>
      <c r="I233" s="245"/>
      <c r="J233" s="245"/>
      <c r="K233" s="245"/>
      <c r="L233" s="245"/>
      <c r="N233" s="579"/>
      <c r="O233" s="579"/>
      <c r="P233" s="579"/>
      <c r="Q233" s="66"/>
      <c r="R233" s="66"/>
      <c r="S233" s="66"/>
    </row>
    <row r="234" spans="2:19" x14ac:dyDescent="0.2">
      <c r="B234" s="245"/>
      <c r="C234" s="245"/>
      <c r="D234" s="245"/>
      <c r="E234" s="245"/>
      <c r="F234" s="245"/>
      <c r="G234" s="579"/>
      <c r="H234" s="245"/>
      <c r="I234" s="245"/>
      <c r="J234" s="245"/>
      <c r="K234" s="245"/>
      <c r="L234" s="245"/>
      <c r="N234" s="579"/>
      <c r="O234" s="579"/>
      <c r="P234" s="579"/>
      <c r="Q234" s="66"/>
      <c r="R234" s="66"/>
      <c r="S234" s="66"/>
    </row>
    <row r="235" spans="2:19" x14ac:dyDescent="0.2">
      <c r="B235" s="245"/>
      <c r="C235" s="245"/>
      <c r="D235" s="245"/>
      <c r="E235" s="245"/>
      <c r="F235" s="245"/>
      <c r="G235" s="579"/>
      <c r="H235" s="245"/>
      <c r="I235" s="245"/>
      <c r="J235" s="245"/>
      <c r="K235" s="245"/>
      <c r="L235" s="245"/>
      <c r="N235" s="579"/>
      <c r="O235" s="579"/>
      <c r="P235" s="579"/>
      <c r="Q235" s="66"/>
      <c r="R235" s="66"/>
      <c r="S235" s="66"/>
    </row>
    <row r="236" spans="2:19" x14ac:dyDescent="0.2">
      <c r="B236" s="245"/>
      <c r="C236" s="245"/>
      <c r="D236" s="245"/>
      <c r="E236" s="245"/>
      <c r="F236" s="245"/>
      <c r="G236" s="579"/>
      <c r="H236" s="245"/>
      <c r="I236" s="245"/>
      <c r="J236" s="245"/>
      <c r="K236" s="245"/>
      <c r="L236" s="245"/>
      <c r="N236" s="579"/>
      <c r="O236" s="579"/>
      <c r="P236" s="579"/>
      <c r="Q236" s="66"/>
      <c r="R236" s="66"/>
      <c r="S236" s="66"/>
    </row>
    <row r="237" spans="2:19" x14ac:dyDescent="0.2">
      <c r="B237" s="245"/>
      <c r="C237" s="245"/>
      <c r="D237" s="245"/>
      <c r="E237" s="245"/>
      <c r="F237" s="245"/>
      <c r="G237" s="579"/>
      <c r="H237" s="245"/>
      <c r="I237" s="245"/>
      <c r="J237" s="245"/>
      <c r="K237" s="245"/>
      <c r="L237" s="245"/>
      <c r="N237" s="579"/>
      <c r="O237" s="579"/>
      <c r="P237" s="579"/>
      <c r="Q237" s="66"/>
      <c r="R237" s="66"/>
      <c r="S237" s="66"/>
    </row>
    <row r="238" spans="2:19" x14ac:dyDescent="0.2">
      <c r="B238" s="245"/>
      <c r="C238" s="245"/>
      <c r="D238" s="245"/>
      <c r="E238" s="245"/>
      <c r="F238" s="245"/>
      <c r="G238" s="579"/>
      <c r="H238" s="245"/>
      <c r="I238" s="245"/>
      <c r="J238" s="245"/>
      <c r="K238" s="245"/>
      <c r="L238" s="245"/>
      <c r="N238" s="579"/>
      <c r="O238" s="579"/>
      <c r="P238" s="579"/>
      <c r="Q238" s="66"/>
      <c r="R238" s="66"/>
      <c r="S238" s="66"/>
    </row>
    <row r="239" spans="2:19" x14ac:dyDescent="0.2">
      <c r="B239" s="245"/>
      <c r="C239" s="245"/>
      <c r="D239" s="245"/>
      <c r="E239" s="245"/>
      <c r="F239" s="245"/>
      <c r="G239" s="579"/>
      <c r="H239" s="245"/>
      <c r="I239" s="245"/>
      <c r="J239" s="245"/>
      <c r="K239" s="245"/>
      <c r="L239" s="245"/>
      <c r="N239" s="579"/>
      <c r="O239" s="579"/>
      <c r="P239" s="579"/>
      <c r="Q239" s="66"/>
      <c r="R239" s="66"/>
      <c r="S239" s="66"/>
    </row>
    <row r="240" spans="2:19" x14ac:dyDescent="0.2">
      <c r="B240" s="245"/>
      <c r="C240" s="245"/>
      <c r="D240" s="245"/>
      <c r="E240" s="245"/>
      <c r="F240" s="245"/>
      <c r="G240" s="579"/>
      <c r="H240" s="245"/>
      <c r="I240" s="245"/>
      <c r="J240" s="245"/>
      <c r="K240" s="245"/>
      <c r="L240" s="245"/>
      <c r="N240" s="579"/>
      <c r="O240" s="579"/>
      <c r="P240" s="579"/>
      <c r="Q240" s="66"/>
      <c r="R240" s="66"/>
      <c r="S240" s="66"/>
    </row>
    <row r="241" spans="2:19" x14ac:dyDescent="0.2">
      <c r="B241" s="245"/>
      <c r="C241" s="245"/>
      <c r="D241" s="245"/>
      <c r="E241" s="245"/>
      <c r="F241" s="245"/>
      <c r="G241" s="579"/>
      <c r="H241" s="245"/>
      <c r="I241" s="245"/>
      <c r="J241" s="245"/>
      <c r="K241" s="245"/>
      <c r="L241" s="245"/>
      <c r="N241" s="579"/>
      <c r="O241" s="579"/>
      <c r="P241" s="579"/>
      <c r="Q241" s="66"/>
      <c r="R241" s="66"/>
      <c r="S241" s="66"/>
    </row>
    <row r="242" spans="2:19" x14ac:dyDescent="0.2">
      <c r="B242" s="245"/>
      <c r="C242" s="245"/>
      <c r="D242" s="245"/>
      <c r="E242" s="245"/>
      <c r="F242" s="245"/>
      <c r="G242" s="579"/>
      <c r="H242" s="245"/>
      <c r="I242" s="245"/>
      <c r="J242" s="245"/>
      <c r="K242" s="245"/>
      <c r="L242" s="245"/>
      <c r="N242" s="579"/>
      <c r="O242" s="579"/>
      <c r="P242" s="579"/>
      <c r="Q242" s="66"/>
      <c r="R242" s="66"/>
      <c r="S242" s="66"/>
    </row>
    <row r="243" spans="2:19" x14ac:dyDescent="0.2">
      <c r="B243" s="245"/>
      <c r="C243" s="245"/>
      <c r="D243" s="245"/>
      <c r="E243" s="245"/>
      <c r="F243" s="245"/>
      <c r="G243" s="579"/>
      <c r="H243" s="245"/>
      <c r="I243" s="245"/>
      <c r="J243" s="245"/>
      <c r="K243" s="245"/>
      <c r="L243" s="245"/>
      <c r="N243" s="579"/>
      <c r="O243" s="579"/>
      <c r="P243" s="579"/>
      <c r="Q243" s="66"/>
      <c r="R243" s="66"/>
      <c r="S243" s="66"/>
    </row>
    <row r="244" spans="2:19" x14ac:dyDescent="0.2">
      <c r="B244" s="245"/>
      <c r="C244" s="245"/>
      <c r="D244" s="245"/>
      <c r="E244" s="245"/>
      <c r="F244" s="245"/>
      <c r="G244" s="579"/>
      <c r="H244" s="245"/>
      <c r="I244" s="245"/>
      <c r="J244" s="245"/>
      <c r="K244" s="245"/>
      <c r="L244" s="245"/>
      <c r="N244" s="579"/>
      <c r="O244" s="579"/>
      <c r="P244" s="579"/>
      <c r="Q244" s="66"/>
      <c r="R244" s="66"/>
      <c r="S244" s="66"/>
    </row>
    <row r="245" spans="2:19" x14ac:dyDescent="0.2">
      <c r="B245" s="245"/>
      <c r="C245" s="245"/>
      <c r="D245" s="245"/>
      <c r="E245" s="245"/>
      <c r="F245" s="245"/>
      <c r="G245" s="579"/>
      <c r="H245" s="245"/>
      <c r="I245" s="245"/>
      <c r="J245" s="245"/>
      <c r="K245" s="245"/>
      <c r="L245" s="245"/>
      <c r="N245" s="579"/>
      <c r="O245" s="579"/>
      <c r="P245" s="579"/>
      <c r="Q245" s="66"/>
      <c r="R245" s="66"/>
      <c r="S245" s="66"/>
    </row>
    <row r="246" spans="2:19" x14ac:dyDescent="0.2">
      <c r="B246" s="245"/>
      <c r="C246" s="245"/>
      <c r="D246" s="245"/>
      <c r="E246" s="245"/>
      <c r="F246" s="245"/>
      <c r="G246" s="579"/>
      <c r="H246" s="245"/>
      <c r="I246" s="245"/>
      <c r="J246" s="245"/>
      <c r="K246" s="245"/>
      <c r="L246" s="245"/>
      <c r="N246" s="579"/>
      <c r="O246" s="579"/>
      <c r="P246" s="579"/>
      <c r="Q246" s="66"/>
      <c r="R246" s="66"/>
      <c r="S246" s="66"/>
    </row>
    <row r="247" spans="2:19" x14ac:dyDescent="0.2">
      <c r="B247" s="245"/>
      <c r="C247" s="245"/>
      <c r="D247" s="245"/>
      <c r="E247" s="245"/>
      <c r="F247" s="245"/>
      <c r="G247" s="579"/>
      <c r="H247" s="245"/>
      <c r="I247" s="245"/>
      <c r="J247" s="245"/>
      <c r="K247" s="245"/>
      <c r="L247" s="245"/>
      <c r="N247" s="579"/>
      <c r="O247" s="579"/>
      <c r="P247" s="579"/>
      <c r="Q247" s="66"/>
      <c r="R247" s="66"/>
      <c r="S247" s="66"/>
    </row>
    <row r="248" spans="2:19" x14ac:dyDescent="0.2">
      <c r="B248" s="245"/>
      <c r="C248" s="245"/>
      <c r="D248" s="245"/>
      <c r="E248" s="245"/>
      <c r="F248" s="245"/>
      <c r="G248" s="579"/>
      <c r="H248" s="245"/>
      <c r="I248" s="245"/>
      <c r="J248" s="245"/>
      <c r="K248" s="245"/>
      <c r="L248" s="245"/>
      <c r="N248" s="579"/>
      <c r="O248" s="579"/>
      <c r="P248" s="579"/>
      <c r="Q248" s="66"/>
      <c r="R248" s="66"/>
      <c r="S248" s="66"/>
    </row>
    <row r="249" spans="2:19" x14ac:dyDescent="0.2">
      <c r="B249" s="245"/>
      <c r="C249" s="245"/>
      <c r="D249" s="245"/>
      <c r="E249" s="245"/>
      <c r="F249" s="245"/>
      <c r="G249" s="579"/>
      <c r="H249" s="245"/>
      <c r="I249" s="245"/>
      <c r="J249" s="245"/>
      <c r="K249" s="245"/>
      <c r="L249" s="245"/>
      <c r="N249" s="579"/>
      <c r="O249" s="579"/>
      <c r="P249" s="579"/>
      <c r="Q249" s="66"/>
      <c r="R249" s="66"/>
      <c r="S249" s="66"/>
    </row>
    <row r="250" spans="2:19" x14ac:dyDescent="0.2">
      <c r="B250" s="245"/>
      <c r="C250" s="245"/>
      <c r="D250" s="245"/>
      <c r="E250" s="245"/>
      <c r="F250" s="245"/>
      <c r="G250" s="579"/>
      <c r="H250" s="245"/>
      <c r="I250" s="245"/>
      <c r="J250" s="245"/>
      <c r="K250" s="245"/>
      <c r="L250" s="245"/>
      <c r="N250" s="579"/>
      <c r="O250" s="579"/>
      <c r="P250" s="579"/>
      <c r="Q250" s="66"/>
      <c r="R250" s="66"/>
      <c r="S250" s="66"/>
    </row>
    <row r="251" spans="2:19" x14ac:dyDescent="0.2">
      <c r="B251" s="245"/>
      <c r="C251" s="245"/>
      <c r="D251" s="245"/>
      <c r="E251" s="245"/>
      <c r="F251" s="245"/>
      <c r="G251" s="579"/>
      <c r="H251" s="245"/>
      <c r="I251" s="245"/>
      <c r="J251" s="245"/>
      <c r="K251" s="245"/>
      <c r="L251" s="245"/>
      <c r="N251" s="579"/>
      <c r="O251" s="579"/>
      <c r="P251" s="579"/>
      <c r="Q251" s="66"/>
      <c r="R251" s="66"/>
      <c r="S251" s="66"/>
    </row>
    <row r="252" spans="2:19" x14ac:dyDescent="0.2">
      <c r="B252" s="245"/>
      <c r="C252" s="245"/>
      <c r="D252" s="245"/>
      <c r="E252" s="245"/>
      <c r="F252" s="245"/>
      <c r="G252" s="579"/>
      <c r="H252" s="245"/>
      <c r="I252" s="245"/>
      <c r="J252" s="245"/>
      <c r="K252" s="245"/>
      <c r="L252" s="245"/>
      <c r="N252" s="579"/>
      <c r="O252" s="579"/>
      <c r="P252" s="579"/>
      <c r="Q252" s="66"/>
      <c r="R252" s="66"/>
      <c r="S252" s="66"/>
    </row>
    <row r="253" spans="2:19" x14ac:dyDescent="0.2">
      <c r="B253" s="245"/>
      <c r="C253" s="245"/>
      <c r="D253" s="245"/>
      <c r="E253" s="245"/>
      <c r="F253" s="245"/>
      <c r="G253" s="579"/>
      <c r="H253" s="245"/>
      <c r="I253" s="245"/>
      <c r="J253" s="245"/>
      <c r="K253" s="245"/>
      <c r="L253" s="245"/>
      <c r="N253" s="579"/>
      <c r="O253" s="579"/>
      <c r="P253" s="579"/>
      <c r="Q253" s="66"/>
      <c r="R253" s="66"/>
      <c r="S253" s="66"/>
    </row>
    <row r="254" spans="2:19" x14ac:dyDescent="0.2">
      <c r="B254" s="245"/>
      <c r="C254" s="245"/>
      <c r="D254" s="245"/>
      <c r="E254" s="245"/>
      <c r="F254" s="245"/>
      <c r="G254" s="579"/>
      <c r="H254" s="245"/>
      <c r="I254" s="245"/>
      <c r="J254" s="245"/>
      <c r="K254" s="245"/>
      <c r="L254" s="245"/>
      <c r="N254" s="579"/>
      <c r="O254" s="579"/>
      <c r="P254" s="579"/>
      <c r="Q254" s="66"/>
      <c r="R254" s="66"/>
      <c r="S254" s="66"/>
    </row>
    <row r="255" spans="2:19" x14ac:dyDescent="0.2">
      <c r="B255" s="245"/>
      <c r="C255" s="245"/>
      <c r="D255" s="245"/>
      <c r="E255" s="245"/>
      <c r="F255" s="245"/>
      <c r="G255" s="579"/>
      <c r="H255" s="245"/>
      <c r="I255" s="245"/>
      <c r="J255" s="245"/>
      <c r="K255" s="245"/>
      <c r="L255" s="245"/>
      <c r="N255" s="579"/>
      <c r="O255" s="579"/>
      <c r="P255" s="579"/>
      <c r="Q255" s="66"/>
      <c r="R255" s="66"/>
      <c r="S255" s="66"/>
    </row>
    <row r="256" spans="2:19" x14ac:dyDescent="0.2">
      <c r="B256" s="245"/>
      <c r="C256" s="245"/>
      <c r="D256" s="245"/>
      <c r="E256" s="245"/>
      <c r="F256" s="245"/>
      <c r="G256" s="579"/>
      <c r="H256" s="245"/>
      <c r="I256" s="245"/>
      <c r="J256" s="245"/>
      <c r="K256" s="245"/>
      <c r="L256" s="245"/>
      <c r="N256" s="579"/>
      <c r="O256" s="579"/>
      <c r="P256" s="579"/>
      <c r="Q256" s="66"/>
      <c r="R256" s="66"/>
      <c r="S256" s="66"/>
    </row>
    <row r="257" spans="2:19" x14ac:dyDescent="0.2">
      <c r="B257" s="245"/>
      <c r="C257" s="245"/>
      <c r="D257" s="245"/>
      <c r="E257" s="245"/>
      <c r="F257" s="245"/>
      <c r="G257" s="579"/>
      <c r="H257" s="245"/>
      <c r="I257" s="245"/>
      <c r="J257" s="245"/>
      <c r="K257" s="245"/>
      <c r="L257" s="245"/>
      <c r="N257" s="579"/>
      <c r="O257" s="579"/>
      <c r="P257" s="579"/>
      <c r="Q257" s="66"/>
      <c r="R257" s="66"/>
      <c r="S257" s="66"/>
    </row>
    <row r="258" spans="2:19" x14ac:dyDescent="0.2">
      <c r="B258" s="245"/>
      <c r="C258" s="245"/>
      <c r="D258" s="245"/>
      <c r="E258" s="245"/>
      <c r="F258" s="245"/>
      <c r="G258" s="579"/>
      <c r="H258" s="245"/>
      <c r="I258" s="245"/>
      <c r="J258" s="245"/>
      <c r="K258" s="245"/>
      <c r="L258" s="245"/>
      <c r="N258" s="579"/>
      <c r="O258" s="579"/>
      <c r="P258" s="579"/>
      <c r="Q258" s="66"/>
      <c r="R258" s="66"/>
      <c r="S258" s="66"/>
    </row>
    <row r="259" spans="2:19" x14ac:dyDescent="0.2">
      <c r="B259" s="245"/>
      <c r="C259" s="245"/>
      <c r="D259" s="245"/>
      <c r="E259" s="245"/>
      <c r="F259" s="245"/>
      <c r="G259" s="579"/>
      <c r="H259" s="245"/>
      <c r="I259" s="245"/>
      <c r="J259" s="245"/>
      <c r="K259" s="245"/>
      <c r="L259" s="245"/>
      <c r="N259" s="579"/>
      <c r="O259" s="579"/>
      <c r="P259" s="579"/>
      <c r="Q259" s="66"/>
      <c r="R259" s="66"/>
      <c r="S259" s="66"/>
    </row>
    <row r="260" spans="2:19" x14ac:dyDescent="0.2">
      <c r="B260" s="245"/>
      <c r="C260" s="245"/>
      <c r="D260" s="245"/>
      <c r="E260" s="245"/>
      <c r="F260" s="245"/>
      <c r="G260" s="579"/>
      <c r="H260" s="245"/>
      <c r="I260" s="245"/>
      <c r="J260" s="245"/>
      <c r="K260" s="245"/>
      <c r="L260" s="245"/>
      <c r="N260" s="579"/>
      <c r="O260" s="579"/>
      <c r="P260" s="579"/>
      <c r="Q260" s="66"/>
      <c r="R260" s="66"/>
      <c r="S260" s="66"/>
    </row>
    <row r="261" spans="2:19" x14ac:dyDescent="0.2">
      <c r="B261" s="245"/>
      <c r="C261" s="245"/>
      <c r="D261" s="245"/>
      <c r="E261" s="245"/>
      <c r="F261" s="245"/>
      <c r="G261" s="579"/>
      <c r="H261" s="245"/>
      <c r="I261" s="245"/>
      <c r="J261" s="245"/>
      <c r="K261" s="245"/>
      <c r="L261" s="245"/>
      <c r="N261" s="579"/>
      <c r="O261" s="579"/>
      <c r="P261" s="579"/>
      <c r="Q261" s="66"/>
      <c r="R261" s="66"/>
      <c r="S261" s="66"/>
    </row>
    <row r="262" spans="2:19" x14ac:dyDescent="0.2">
      <c r="B262" s="245"/>
      <c r="C262" s="245"/>
      <c r="D262" s="245"/>
      <c r="E262" s="245"/>
      <c r="F262" s="245"/>
      <c r="G262" s="579"/>
      <c r="H262" s="245"/>
      <c r="I262" s="245"/>
      <c r="J262" s="245"/>
      <c r="K262" s="245"/>
      <c r="L262" s="245"/>
      <c r="N262" s="579"/>
      <c r="O262" s="579"/>
      <c r="P262" s="579"/>
      <c r="Q262" s="66"/>
      <c r="R262" s="66"/>
      <c r="S262" s="66"/>
    </row>
    <row r="263" spans="2:19" x14ac:dyDescent="0.2">
      <c r="B263" s="245"/>
      <c r="C263" s="245"/>
      <c r="D263" s="245"/>
      <c r="E263" s="245"/>
      <c r="F263" s="245"/>
      <c r="G263" s="579"/>
      <c r="H263" s="245"/>
      <c r="I263" s="245"/>
      <c r="J263" s="245"/>
      <c r="K263" s="245"/>
      <c r="L263" s="245"/>
      <c r="N263" s="579"/>
      <c r="O263" s="579"/>
      <c r="P263" s="579"/>
      <c r="Q263" s="66"/>
      <c r="R263" s="66"/>
      <c r="S263" s="66"/>
    </row>
    <row r="264" spans="2:19" x14ac:dyDescent="0.2">
      <c r="B264" s="245"/>
      <c r="C264" s="245"/>
      <c r="D264" s="245"/>
      <c r="E264" s="245"/>
      <c r="F264" s="245"/>
      <c r="G264" s="579"/>
      <c r="H264" s="245"/>
      <c r="I264" s="245"/>
      <c r="J264" s="245"/>
      <c r="K264" s="245"/>
      <c r="L264" s="245"/>
      <c r="N264" s="579"/>
      <c r="O264" s="579"/>
      <c r="P264" s="579"/>
      <c r="Q264" s="66"/>
      <c r="R264" s="66"/>
      <c r="S264" s="66"/>
    </row>
    <row r="265" spans="2:19" x14ac:dyDescent="0.2">
      <c r="B265" s="245"/>
      <c r="C265" s="245"/>
      <c r="D265" s="245"/>
      <c r="E265" s="245"/>
      <c r="F265" s="245"/>
      <c r="G265" s="579"/>
      <c r="H265" s="245"/>
      <c r="I265" s="245"/>
      <c r="J265" s="245"/>
      <c r="K265" s="245"/>
      <c r="L265" s="245"/>
      <c r="N265" s="579"/>
      <c r="O265" s="579"/>
      <c r="P265" s="579"/>
      <c r="Q265" s="66"/>
      <c r="R265" s="66"/>
      <c r="S265" s="66"/>
    </row>
    <row r="266" spans="2:19" x14ac:dyDescent="0.2">
      <c r="B266" s="245"/>
      <c r="C266" s="245"/>
      <c r="D266" s="245"/>
      <c r="E266" s="245"/>
      <c r="F266" s="245"/>
      <c r="G266" s="579"/>
      <c r="H266" s="245"/>
      <c r="I266" s="245"/>
      <c r="J266" s="245"/>
      <c r="K266" s="245"/>
      <c r="L266" s="245"/>
      <c r="N266" s="579"/>
      <c r="O266" s="579"/>
      <c r="P266" s="579"/>
      <c r="Q266" s="66"/>
      <c r="R266" s="66"/>
      <c r="S266" s="66"/>
    </row>
    <row r="267" spans="2:19" x14ac:dyDescent="0.2">
      <c r="B267" s="245"/>
      <c r="C267" s="245"/>
      <c r="D267" s="245"/>
      <c r="E267" s="245"/>
      <c r="F267" s="245"/>
      <c r="G267" s="579"/>
      <c r="H267" s="245"/>
      <c r="I267" s="245"/>
      <c r="J267" s="245"/>
      <c r="K267" s="245"/>
      <c r="L267" s="245"/>
      <c r="N267" s="579"/>
      <c r="O267" s="579"/>
      <c r="P267" s="579"/>
      <c r="Q267" s="66"/>
      <c r="R267" s="66"/>
      <c r="S267" s="66"/>
    </row>
    <row r="268" spans="2:19" x14ac:dyDescent="0.2">
      <c r="B268" s="245"/>
      <c r="C268" s="245"/>
      <c r="D268" s="245"/>
      <c r="E268" s="245"/>
      <c r="F268" s="245"/>
      <c r="G268" s="579"/>
      <c r="H268" s="245"/>
      <c r="I268" s="245"/>
      <c r="J268" s="245"/>
      <c r="K268" s="245"/>
      <c r="L268" s="245"/>
      <c r="N268" s="579"/>
      <c r="O268" s="579"/>
      <c r="P268" s="579"/>
      <c r="Q268" s="66"/>
      <c r="R268" s="66"/>
      <c r="S268" s="66"/>
    </row>
    <row r="269" spans="2:19" x14ac:dyDescent="0.2">
      <c r="B269" s="245"/>
      <c r="C269" s="245"/>
      <c r="D269" s="245"/>
      <c r="E269" s="245"/>
      <c r="F269" s="245"/>
      <c r="G269" s="579"/>
      <c r="H269" s="245"/>
      <c r="I269" s="245"/>
      <c r="J269" s="245"/>
      <c r="K269" s="245"/>
      <c r="L269" s="245"/>
      <c r="N269" s="579"/>
      <c r="O269" s="579"/>
      <c r="P269" s="579"/>
      <c r="Q269" s="66"/>
      <c r="R269" s="66"/>
      <c r="S269" s="66"/>
    </row>
    <row r="270" spans="2:19" x14ac:dyDescent="0.2">
      <c r="B270" s="245"/>
      <c r="C270" s="245"/>
      <c r="D270" s="245"/>
      <c r="E270" s="245"/>
      <c r="F270" s="245"/>
      <c r="G270" s="579"/>
      <c r="H270" s="245"/>
      <c r="I270" s="245"/>
      <c r="J270" s="245"/>
      <c r="K270" s="245"/>
      <c r="L270" s="245"/>
      <c r="N270" s="579"/>
      <c r="O270" s="579"/>
      <c r="P270" s="579"/>
      <c r="Q270" s="66"/>
      <c r="R270" s="66"/>
      <c r="S270" s="66"/>
    </row>
    <row r="271" spans="2:19" x14ac:dyDescent="0.2">
      <c r="B271" s="245"/>
      <c r="C271" s="245"/>
      <c r="D271" s="245"/>
      <c r="E271" s="245"/>
      <c r="F271" s="245"/>
      <c r="G271" s="579"/>
      <c r="H271" s="245"/>
      <c r="I271" s="245"/>
      <c r="J271" s="245"/>
      <c r="K271" s="245"/>
      <c r="L271" s="245"/>
      <c r="N271" s="579"/>
      <c r="O271" s="579"/>
      <c r="P271" s="579"/>
      <c r="Q271" s="66"/>
      <c r="R271" s="66"/>
      <c r="S271" s="66"/>
    </row>
    <row r="272" spans="2:19" x14ac:dyDescent="0.2">
      <c r="B272" s="245"/>
      <c r="C272" s="245"/>
      <c r="D272" s="245"/>
      <c r="E272" s="245"/>
      <c r="F272" s="245"/>
      <c r="G272" s="579"/>
      <c r="H272" s="245"/>
      <c r="I272" s="245"/>
      <c r="J272" s="245"/>
      <c r="K272" s="245"/>
      <c r="L272" s="245"/>
      <c r="N272" s="579"/>
      <c r="O272" s="579"/>
      <c r="P272" s="579"/>
      <c r="Q272" s="66"/>
      <c r="R272" s="66"/>
      <c r="S272" s="66"/>
    </row>
    <row r="273" spans="2:19" x14ac:dyDescent="0.2">
      <c r="B273" s="245"/>
      <c r="C273" s="245"/>
      <c r="D273" s="245"/>
      <c r="E273" s="245"/>
      <c r="F273" s="245"/>
      <c r="G273" s="579"/>
      <c r="H273" s="245"/>
      <c r="I273" s="245"/>
      <c r="J273" s="245"/>
      <c r="K273" s="245"/>
      <c r="L273" s="245"/>
      <c r="N273" s="579"/>
      <c r="O273" s="579"/>
      <c r="P273" s="579"/>
      <c r="Q273" s="66"/>
      <c r="R273" s="66"/>
      <c r="S273" s="66"/>
    </row>
    <row r="274" spans="2:19" x14ac:dyDescent="0.2">
      <c r="B274" s="245"/>
      <c r="C274" s="245"/>
      <c r="D274" s="245"/>
      <c r="E274" s="245"/>
      <c r="F274" s="245"/>
      <c r="G274" s="579"/>
      <c r="H274" s="245"/>
      <c r="I274" s="245"/>
      <c r="J274" s="245"/>
      <c r="K274" s="245"/>
      <c r="L274" s="245"/>
      <c r="N274" s="579"/>
      <c r="O274" s="579"/>
      <c r="P274" s="579"/>
      <c r="Q274" s="66"/>
      <c r="R274" s="66"/>
      <c r="S274" s="66"/>
    </row>
    <row r="275" spans="2:19" x14ac:dyDescent="0.2">
      <c r="B275" s="245"/>
      <c r="C275" s="245"/>
      <c r="D275" s="245"/>
      <c r="E275" s="245"/>
      <c r="F275" s="245"/>
      <c r="G275" s="579"/>
      <c r="H275" s="245"/>
      <c r="I275" s="245"/>
      <c r="J275" s="245"/>
      <c r="K275" s="245"/>
      <c r="L275" s="245"/>
      <c r="N275" s="579"/>
      <c r="O275" s="579"/>
      <c r="P275" s="579"/>
      <c r="Q275" s="66"/>
      <c r="R275" s="66"/>
      <c r="S275" s="66"/>
    </row>
    <row r="276" spans="2:19" x14ac:dyDescent="0.2">
      <c r="B276" s="245"/>
      <c r="C276" s="245"/>
      <c r="D276" s="245"/>
      <c r="E276" s="245"/>
      <c r="F276" s="245"/>
      <c r="G276" s="579"/>
      <c r="H276" s="245"/>
      <c r="I276" s="245"/>
      <c r="J276" s="245"/>
      <c r="K276" s="245"/>
      <c r="L276" s="245"/>
      <c r="N276" s="579"/>
      <c r="O276" s="579"/>
      <c r="P276" s="579"/>
      <c r="Q276" s="66"/>
      <c r="R276" s="66"/>
      <c r="S276" s="66"/>
    </row>
    <row r="277" spans="2:19" x14ac:dyDescent="0.2">
      <c r="B277" s="245"/>
      <c r="C277" s="245"/>
      <c r="D277" s="245"/>
      <c r="E277" s="245"/>
      <c r="F277" s="245"/>
      <c r="G277" s="579"/>
      <c r="H277" s="245"/>
      <c r="I277" s="245"/>
      <c r="J277" s="245"/>
      <c r="K277" s="245"/>
      <c r="L277" s="245"/>
      <c r="N277" s="579"/>
      <c r="O277" s="579"/>
      <c r="P277" s="579"/>
      <c r="Q277" s="66"/>
      <c r="R277" s="66"/>
      <c r="S277" s="66"/>
    </row>
    <row r="278" spans="2:19" x14ac:dyDescent="0.2">
      <c r="B278" s="245"/>
      <c r="C278" s="245"/>
      <c r="D278" s="245"/>
      <c r="E278" s="245"/>
      <c r="F278" s="245"/>
      <c r="G278" s="579"/>
      <c r="H278" s="245"/>
      <c r="I278" s="245"/>
      <c r="J278" s="245"/>
      <c r="K278" s="245"/>
      <c r="L278" s="245"/>
      <c r="N278" s="579"/>
      <c r="O278" s="579"/>
      <c r="P278" s="579"/>
      <c r="Q278" s="66"/>
      <c r="R278" s="66"/>
      <c r="S278" s="66"/>
    </row>
    <row r="279" spans="2:19" x14ac:dyDescent="0.2">
      <c r="B279" s="245"/>
      <c r="C279" s="245"/>
      <c r="D279" s="245"/>
      <c r="E279" s="245"/>
      <c r="F279" s="245"/>
      <c r="G279" s="579"/>
      <c r="H279" s="245"/>
      <c r="I279" s="245"/>
      <c r="J279" s="245"/>
      <c r="K279" s="245"/>
      <c r="L279" s="245"/>
      <c r="N279" s="579"/>
      <c r="O279" s="579"/>
      <c r="P279" s="579"/>
      <c r="Q279" s="66"/>
      <c r="R279" s="66"/>
      <c r="S279" s="66"/>
    </row>
    <row r="280" spans="2:19" x14ac:dyDescent="0.2">
      <c r="B280" s="245"/>
      <c r="C280" s="245"/>
      <c r="D280" s="245"/>
      <c r="E280" s="245"/>
      <c r="F280" s="245"/>
      <c r="G280" s="579"/>
      <c r="H280" s="245"/>
      <c r="I280" s="245"/>
      <c r="J280" s="245"/>
      <c r="K280" s="245"/>
      <c r="L280" s="245"/>
      <c r="N280" s="579"/>
      <c r="O280" s="579"/>
      <c r="P280" s="579"/>
      <c r="Q280" s="66"/>
      <c r="R280" s="66"/>
      <c r="S280" s="66"/>
    </row>
    <row r="281" spans="2:19" x14ac:dyDescent="0.2">
      <c r="B281" s="245"/>
      <c r="C281" s="245"/>
      <c r="D281" s="245"/>
      <c r="E281" s="245"/>
      <c r="F281" s="245"/>
      <c r="G281" s="579"/>
      <c r="H281" s="245"/>
      <c r="I281" s="245"/>
      <c r="J281" s="245"/>
      <c r="K281" s="245"/>
      <c r="L281" s="245"/>
      <c r="N281" s="579"/>
      <c r="O281" s="579"/>
      <c r="P281" s="579"/>
      <c r="Q281" s="66"/>
      <c r="R281" s="66"/>
      <c r="S281" s="66"/>
    </row>
    <row r="282" spans="2:19" x14ac:dyDescent="0.2">
      <c r="B282" s="245"/>
      <c r="C282" s="245"/>
      <c r="D282" s="245"/>
      <c r="E282" s="245"/>
      <c r="F282" s="245"/>
      <c r="G282" s="579"/>
      <c r="H282" s="245"/>
      <c r="I282" s="245"/>
      <c r="J282" s="245"/>
      <c r="K282" s="245"/>
      <c r="L282" s="245"/>
      <c r="N282" s="579"/>
      <c r="O282" s="579"/>
      <c r="P282" s="579"/>
      <c r="Q282" s="66"/>
      <c r="R282" s="66"/>
      <c r="S282" s="66"/>
    </row>
    <row r="283" spans="2:19" x14ac:dyDescent="0.2">
      <c r="B283" s="245"/>
      <c r="C283" s="245"/>
      <c r="D283" s="245"/>
      <c r="E283" s="245"/>
      <c r="F283" s="245"/>
      <c r="G283" s="579"/>
      <c r="H283" s="245"/>
      <c r="I283" s="245"/>
      <c r="J283" s="245"/>
      <c r="K283" s="245"/>
      <c r="L283" s="245"/>
      <c r="N283" s="579"/>
      <c r="O283" s="579"/>
      <c r="P283" s="579"/>
      <c r="Q283" s="66"/>
      <c r="R283" s="66"/>
      <c r="S283" s="66"/>
    </row>
    <row r="284" spans="2:19" x14ac:dyDescent="0.2">
      <c r="B284" s="245"/>
      <c r="C284" s="245"/>
      <c r="D284" s="245"/>
      <c r="E284" s="245"/>
      <c r="F284" s="245"/>
      <c r="G284" s="579"/>
      <c r="H284" s="245"/>
      <c r="I284" s="245"/>
      <c r="J284" s="245"/>
      <c r="K284" s="245"/>
      <c r="L284" s="245"/>
      <c r="N284" s="579"/>
      <c r="O284" s="579"/>
      <c r="P284" s="579"/>
      <c r="Q284" s="66"/>
      <c r="R284" s="66"/>
      <c r="S284" s="66"/>
    </row>
    <row r="285" spans="2:19" x14ac:dyDescent="0.2">
      <c r="B285" s="245"/>
      <c r="C285" s="245"/>
      <c r="D285" s="245"/>
      <c r="E285" s="245"/>
      <c r="F285" s="245"/>
      <c r="G285" s="579"/>
      <c r="H285" s="245"/>
      <c r="I285" s="245"/>
      <c r="J285" s="245"/>
      <c r="K285" s="245"/>
      <c r="L285" s="245"/>
      <c r="N285" s="579"/>
      <c r="O285" s="579"/>
      <c r="P285" s="579"/>
      <c r="Q285" s="66"/>
      <c r="R285" s="66"/>
      <c r="S285" s="66"/>
    </row>
    <row r="286" spans="2:19" x14ac:dyDescent="0.2">
      <c r="B286" s="245"/>
      <c r="C286" s="245"/>
      <c r="D286" s="245"/>
      <c r="E286" s="245"/>
      <c r="F286" s="245"/>
      <c r="G286" s="579"/>
      <c r="H286" s="245"/>
      <c r="I286" s="245"/>
      <c r="J286" s="245"/>
      <c r="K286" s="245"/>
      <c r="L286" s="245"/>
      <c r="N286" s="579"/>
      <c r="O286" s="579"/>
      <c r="P286" s="579"/>
      <c r="Q286" s="66"/>
      <c r="R286" s="66"/>
      <c r="S286" s="66"/>
    </row>
    <row r="287" spans="2:19" x14ac:dyDescent="0.2">
      <c r="B287" s="245"/>
      <c r="C287" s="245"/>
      <c r="D287" s="245"/>
      <c r="E287" s="245"/>
      <c r="F287" s="245"/>
      <c r="G287" s="579"/>
      <c r="H287" s="245"/>
      <c r="I287" s="245"/>
      <c r="J287" s="245"/>
      <c r="K287" s="245"/>
      <c r="L287" s="245"/>
      <c r="N287" s="579"/>
      <c r="O287" s="579"/>
      <c r="P287" s="579"/>
      <c r="Q287" s="66"/>
      <c r="R287" s="66"/>
      <c r="S287" s="66"/>
    </row>
    <row r="288" spans="2:19" x14ac:dyDescent="0.2">
      <c r="B288" s="245"/>
      <c r="C288" s="245"/>
      <c r="D288" s="245"/>
      <c r="E288" s="245"/>
      <c r="F288" s="245"/>
      <c r="G288" s="579"/>
      <c r="H288" s="245"/>
      <c r="I288" s="245"/>
      <c r="J288" s="245"/>
      <c r="K288" s="245"/>
      <c r="L288" s="245"/>
      <c r="N288" s="579"/>
      <c r="O288" s="579"/>
      <c r="P288" s="579"/>
      <c r="Q288" s="66"/>
      <c r="R288" s="66"/>
      <c r="S288" s="66"/>
    </row>
    <row r="289" spans="2:19" x14ac:dyDescent="0.2">
      <c r="B289" s="245"/>
      <c r="C289" s="245"/>
      <c r="D289" s="245"/>
      <c r="E289" s="245"/>
      <c r="F289" s="245"/>
      <c r="G289" s="579"/>
      <c r="H289" s="245"/>
      <c r="I289" s="245"/>
      <c r="J289" s="245"/>
      <c r="K289" s="245"/>
      <c r="L289" s="245"/>
      <c r="N289" s="579"/>
      <c r="O289" s="579"/>
      <c r="P289" s="579"/>
      <c r="Q289" s="66"/>
      <c r="R289" s="66"/>
      <c r="S289" s="66"/>
    </row>
    <row r="290" spans="2:19" x14ac:dyDescent="0.2">
      <c r="B290" s="245"/>
      <c r="C290" s="245"/>
      <c r="D290" s="245"/>
      <c r="E290" s="245"/>
      <c r="F290" s="245"/>
      <c r="G290" s="579"/>
      <c r="H290" s="245"/>
      <c r="I290" s="245"/>
      <c r="J290" s="245"/>
      <c r="K290" s="245"/>
      <c r="L290" s="245"/>
      <c r="N290" s="579"/>
      <c r="O290" s="579"/>
      <c r="P290" s="579"/>
      <c r="Q290" s="66"/>
      <c r="R290" s="66"/>
      <c r="S290" s="66"/>
    </row>
    <row r="291" spans="2:19" x14ac:dyDescent="0.2">
      <c r="B291" s="245"/>
      <c r="C291" s="245"/>
      <c r="D291" s="245"/>
      <c r="E291" s="245"/>
      <c r="F291" s="245"/>
      <c r="G291" s="579"/>
      <c r="H291" s="245"/>
      <c r="I291" s="245"/>
      <c r="J291" s="245"/>
      <c r="K291" s="245"/>
      <c r="L291" s="245"/>
      <c r="N291" s="579"/>
      <c r="O291" s="579"/>
      <c r="P291" s="579"/>
      <c r="Q291" s="66"/>
      <c r="R291" s="66"/>
      <c r="S291" s="66"/>
    </row>
    <row r="292" spans="2:19" x14ac:dyDescent="0.2">
      <c r="B292" s="245"/>
      <c r="C292" s="245"/>
      <c r="D292" s="245"/>
      <c r="E292" s="245"/>
      <c r="F292" s="245"/>
      <c r="G292" s="579"/>
      <c r="H292" s="245"/>
      <c r="I292" s="245"/>
      <c r="J292" s="245"/>
      <c r="K292" s="245"/>
      <c r="L292" s="245"/>
      <c r="N292" s="579"/>
      <c r="O292" s="579"/>
      <c r="P292" s="579"/>
      <c r="Q292" s="66"/>
      <c r="R292" s="66"/>
      <c r="S292" s="66"/>
    </row>
    <row r="293" spans="2:19" x14ac:dyDescent="0.2">
      <c r="B293" s="245"/>
      <c r="C293" s="245"/>
      <c r="D293" s="245"/>
      <c r="E293" s="245"/>
      <c r="F293" s="245"/>
      <c r="G293" s="579"/>
      <c r="H293" s="245"/>
      <c r="I293" s="245"/>
      <c r="J293" s="245"/>
      <c r="K293" s="245"/>
      <c r="L293" s="245"/>
      <c r="N293" s="579"/>
      <c r="O293" s="579"/>
      <c r="P293" s="579"/>
      <c r="Q293" s="66"/>
      <c r="R293" s="66"/>
      <c r="S293" s="66"/>
    </row>
    <row r="294" spans="2:19" x14ac:dyDescent="0.2">
      <c r="B294" s="245"/>
      <c r="C294" s="245"/>
      <c r="D294" s="245"/>
      <c r="E294" s="245"/>
      <c r="F294" s="245"/>
      <c r="G294" s="579"/>
      <c r="H294" s="245"/>
      <c r="I294" s="245"/>
      <c r="J294" s="245"/>
      <c r="K294" s="245"/>
      <c r="L294" s="245"/>
      <c r="N294" s="579"/>
      <c r="O294" s="579"/>
      <c r="P294" s="579"/>
      <c r="Q294" s="66"/>
      <c r="R294" s="66"/>
      <c r="S294" s="66"/>
    </row>
    <row r="295" spans="2:19" x14ac:dyDescent="0.2">
      <c r="B295" s="245"/>
      <c r="C295" s="245"/>
      <c r="D295" s="245"/>
      <c r="E295" s="245"/>
      <c r="F295" s="245"/>
      <c r="G295" s="579"/>
      <c r="H295" s="245"/>
      <c r="I295" s="245"/>
      <c r="J295" s="245"/>
      <c r="K295" s="245"/>
      <c r="L295" s="245"/>
      <c r="N295" s="579"/>
      <c r="O295" s="579"/>
      <c r="P295" s="579"/>
      <c r="Q295" s="66"/>
      <c r="R295" s="66"/>
      <c r="S295" s="66"/>
    </row>
    <row r="296" spans="2:19" x14ac:dyDescent="0.2">
      <c r="B296" s="245"/>
      <c r="C296" s="245"/>
      <c r="D296" s="245"/>
      <c r="E296" s="245"/>
      <c r="F296" s="245"/>
      <c r="G296" s="579"/>
      <c r="H296" s="245"/>
      <c r="I296" s="245"/>
      <c r="J296" s="245"/>
      <c r="K296" s="245"/>
      <c r="L296" s="245"/>
      <c r="N296" s="579"/>
      <c r="O296" s="579"/>
      <c r="P296" s="579"/>
      <c r="Q296" s="66"/>
      <c r="R296" s="66"/>
      <c r="S296" s="66"/>
    </row>
    <row r="297" spans="2:19" x14ac:dyDescent="0.2">
      <c r="B297" s="245"/>
      <c r="C297" s="245"/>
      <c r="D297" s="245"/>
      <c r="E297" s="245"/>
      <c r="F297" s="245"/>
      <c r="G297" s="579"/>
      <c r="H297" s="245"/>
      <c r="I297" s="245"/>
      <c r="J297" s="245"/>
      <c r="K297" s="245"/>
      <c r="L297" s="245"/>
      <c r="N297" s="579"/>
      <c r="O297" s="579"/>
      <c r="P297" s="579"/>
      <c r="Q297" s="66"/>
      <c r="R297" s="66"/>
      <c r="S297" s="66"/>
    </row>
    <row r="298" spans="2:19" x14ac:dyDescent="0.2">
      <c r="B298" s="245"/>
      <c r="C298" s="245"/>
      <c r="D298" s="245"/>
      <c r="E298" s="245"/>
      <c r="F298" s="245"/>
      <c r="G298" s="579"/>
      <c r="H298" s="245"/>
      <c r="I298" s="245"/>
      <c r="J298" s="245"/>
      <c r="K298" s="245"/>
      <c r="L298" s="245"/>
      <c r="N298" s="579"/>
      <c r="O298" s="579"/>
      <c r="P298" s="579"/>
      <c r="Q298" s="66"/>
      <c r="R298" s="66"/>
      <c r="S298" s="66"/>
    </row>
    <row r="299" spans="2:19" x14ac:dyDescent="0.2">
      <c r="B299" s="245"/>
      <c r="C299" s="245"/>
      <c r="D299" s="245"/>
      <c r="E299" s="245"/>
      <c r="F299" s="245"/>
      <c r="G299" s="579"/>
      <c r="H299" s="245"/>
      <c r="I299" s="245"/>
      <c r="J299" s="245"/>
      <c r="K299" s="245"/>
      <c r="L299" s="245"/>
      <c r="N299" s="579"/>
      <c r="O299" s="579"/>
      <c r="P299" s="579"/>
      <c r="Q299" s="66"/>
      <c r="R299" s="66"/>
      <c r="S299" s="66"/>
    </row>
    <row r="300" spans="2:19" x14ac:dyDescent="0.2">
      <c r="B300" s="245"/>
      <c r="C300" s="245"/>
      <c r="D300" s="245"/>
      <c r="E300" s="245"/>
      <c r="F300" s="245"/>
      <c r="G300" s="579"/>
      <c r="H300" s="245"/>
      <c r="I300" s="245"/>
      <c r="J300" s="245"/>
      <c r="K300" s="245"/>
      <c r="L300" s="245"/>
      <c r="N300" s="579"/>
      <c r="O300" s="579"/>
      <c r="P300" s="579"/>
      <c r="Q300" s="66"/>
      <c r="R300" s="66"/>
      <c r="S300" s="66"/>
    </row>
    <row r="301" spans="2:19" x14ac:dyDescent="0.2">
      <c r="B301" s="245"/>
      <c r="C301" s="245"/>
      <c r="D301" s="245"/>
      <c r="E301" s="245"/>
      <c r="F301" s="245"/>
      <c r="G301" s="579"/>
      <c r="H301" s="245"/>
      <c r="I301" s="245"/>
      <c r="J301" s="245"/>
      <c r="K301" s="245"/>
      <c r="L301" s="245"/>
      <c r="N301" s="579"/>
      <c r="O301" s="579"/>
      <c r="P301" s="579"/>
      <c r="Q301" s="66"/>
      <c r="R301" s="66"/>
      <c r="S301" s="66"/>
    </row>
    <row r="302" spans="2:19" x14ac:dyDescent="0.2">
      <c r="B302" s="245"/>
      <c r="C302" s="245"/>
      <c r="D302" s="245"/>
      <c r="E302" s="245"/>
      <c r="F302" s="245"/>
      <c r="G302" s="579"/>
      <c r="H302" s="245"/>
      <c r="I302" s="245"/>
      <c r="J302" s="245"/>
      <c r="K302" s="245"/>
      <c r="L302" s="245"/>
      <c r="N302" s="579"/>
      <c r="O302" s="579"/>
      <c r="P302" s="579"/>
      <c r="Q302" s="66"/>
      <c r="R302" s="66"/>
      <c r="S302" s="66"/>
    </row>
    <row r="303" spans="2:19" x14ac:dyDescent="0.2">
      <c r="B303" s="245"/>
      <c r="C303" s="245"/>
      <c r="D303" s="245"/>
      <c r="E303" s="245"/>
      <c r="F303" s="245"/>
      <c r="G303" s="579"/>
      <c r="H303" s="245"/>
      <c r="I303" s="245"/>
      <c r="J303" s="245"/>
      <c r="K303" s="245"/>
      <c r="L303" s="245"/>
      <c r="N303" s="579"/>
      <c r="O303" s="579"/>
      <c r="P303" s="579"/>
      <c r="Q303" s="66"/>
      <c r="R303" s="66"/>
      <c r="S303" s="66"/>
    </row>
    <row r="304" spans="2:19" x14ac:dyDescent="0.2">
      <c r="B304" s="245"/>
      <c r="C304" s="245"/>
      <c r="D304" s="245"/>
      <c r="E304" s="245"/>
      <c r="F304" s="245"/>
      <c r="G304" s="579"/>
      <c r="H304" s="245"/>
      <c r="I304" s="245"/>
      <c r="J304" s="245"/>
      <c r="K304" s="245"/>
      <c r="L304" s="245"/>
      <c r="N304" s="579"/>
      <c r="O304" s="579"/>
      <c r="P304" s="579"/>
      <c r="Q304" s="66"/>
      <c r="R304" s="66"/>
      <c r="S304" s="66"/>
    </row>
    <row r="305" spans="2:19" x14ac:dyDescent="0.2">
      <c r="B305" s="245"/>
      <c r="C305" s="245"/>
      <c r="D305" s="245"/>
      <c r="E305" s="245"/>
      <c r="F305" s="245"/>
      <c r="G305" s="579"/>
      <c r="H305" s="245"/>
      <c r="I305" s="245"/>
      <c r="J305" s="245"/>
      <c r="K305" s="245"/>
      <c r="L305" s="245"/>
      <c r="N305" s="579"/>
      <c r="O305" s="579"/>
      <c r="P305" s="579"/>
      <c r="Q305" s="66"/>
      <c r="R305" s="66"/>
      <c r="S305" s="66"/>
    </row>
    <row r="306" spans="2:19" x14ac:dyDescent="0.2">
      <c r="B306" s="245"/>
      <c r="C306" s="245"/>
      <c r="D306" s="245"/>
      <c r="E306" s="245"/>
      <c r="F306" s="245"/>
      <c r="G306" s="579"/>
      <c r="H306" s="245"/>
      <c r="I306" s="245"/>
      <c r="J306" s="245"/>
      <c r="K306" s="245"/>
      <c r="L306" s="245"/>
      <c r="N306" s="579"/>
      <c r="O306" s="579"/>
      <c r="P306" s="579"/>
      <c r="Q306" s="66"/>
      <c r="R306" s="66"/>
      <c r="S306" s="66"/>
    </row>
    <row r="307" spans="2:19" x14ac:dyDescent="0.2">
      <c r="B307" s="245"/>
      <c r="C307" s="245"/>
      <c r="D307" s="245"/>
      <c r="E307" s="245"/>
      <c r="F307" s="245"/>
      <c r="G307" s="579"/>
      <c r="H307" s="245"/>
      <c r="I307" s="245"/>
      <c r="J307" s="245"/>
      <c r="K307" s="245"/>
      <c r="L307" s="245"/>
      <c r="N307" s="579"/>
      <c r="O307" s="579"/>
      <c r="P307" s="579"/>
      <c r="Q307" s="66"/>
      <c r="R307" s="66"/>
      <c r="S307" s="66"/>
    </row>
    <row r="308" spans="2:19" x14ac:dyDescent="0.2">
      <c r="B308" s="245"/>
      <c r="C308" s="245"/>
      <c r="D308" s="245"/>
      <c r="E308" s="245"/>
      <c r="F308" s="245"/>
      <c r="G308" s="579"/>
      <c r="H308" s="245"/>
      <c r="I308" s="245"/>
      <c r="J308" s="245"/>
      <c r="K308" s="245"/>
      <c r="L308" s="245"/>
      <c r="N308" s="579"/>
      <c r="O308" s="579"/>
      <c r="P308" s="579"/>
      <c r="Q308" s="66"/>
      <c r="R308" s="66"/>
      <c r="S308" s="66"/>
    </row>
    <row r="309" spans="2:19" x14ac:dyDescent="0.2">
      <c r="B309" s="245"/>
      <c r="C309" s="245"/>
      <c r="D309" s="245"/>
      <c r="E309" s="245"/>
      <c r="F309" s="245"/>
      <c r="G309" s="579"/>
      <c r="H309" s="245"/>
      <c r="I309" s="245"/>
      <c r="J309" s="245"/>
      <c r="K309" s="245"/>
      <c r="L309" s="245"/>
      <c r="N309" s="579"/>
      <c r="O309" s="579"/>
      <c r="P309" s="579"/>
      <c r="Q309" s="66"/>
      <c r="R309" s="66"/>
      <c r="S309" s="66"/>
    </row>
    <row r="310" spans="2:19" x14ac:dyDescent="0.2">
      <c r="B310" s="245"/>
      <c r="C310" s="245"/>
      <c r="D310" s="245"/>
      <c r="E310" s="245"/>
      <c r="F310" s="245"/>
      <c r="G310" s="579"/>
      <c r="H310" s="245"/>
      <c r="I310" s="245"/>
      <c r="J310" s="245"/>
      <c r="K310" s="245"/>
      <c r="L310" s="245"/>
      <c r="N310" s="579"/>
      <c r="O310" s="579"/>
      <c r="P310" s="579"/>
      <c r="Q310" s="66"/>
      <c r="R310" s="66"/>
      <c r="S310" s="66"/>
    </row>
    <row r="311" spans="2:19" x14ac:dyDescent="0.2">
      <c r="B311" s="245"/>
      <c r="C311" s="245"/>
      <c r="D311" s="245"/>
      <c r="E311" s="245"/>
      <c r="F311" s="245"/>
      <c r="G311" s="579"/>
      <c r="H311" s="245"/>
      <c r="I311" s="245"/>
      <c r="J311" s="245"/>
      <c r="K311" s="245"/>
      <c r="L311" s="245"/>
      <c r="N311" s="579"/>
      <c r="O311" s="579"/>
      <c r="P311" s="579"/>
      <c r="Q311" s="66"/>
      <c r="R311" s="66"/>
      <c r="S311" s="66"/>
    </row>
    <row r="312" spans="2:19" x14ac:dyDescent="0.2">
      <c r="B312" s="245"/>
      <c r="C312" s="245"/>
      <c r="D312" s="245"/>
      <c r="E312" s="245"/>
      <c r="F312" s="245"/>
      <c r="G312" s="579"/>
      <c r="H312" s="245"/>
      <c r="I312" s="245"/>
      <c r="J312" s="245"/>
      <c r="K312" s="245"/>
      <c r="L312" s="245"/>
      <c r="N312" s="579"/>
      <c r="O312" s="579"/>
      <c r="P312" s="579"/>
      <c r="Q312" s="66"/>
      <c r="R312" s="66"/>
      <c r="S312" s="66"/>
    </row>
    <row r="313" spans="2:19" x14ac:dyDescent="0.2">
      <c r="B313" s="245"/>
      <c r="C313" s="245"/>
      <c r="D313" s="245"/>
      <c r="E313" s="245"/>
      <c r="F313" s="245"/>
      <c r="G313" s="579"/>
      <c r="H313" s="245"/>
      <c r="I313" s="245"/>
      <c r="J313" s="245"/>
      <c r="K313" s="245"/>
      <c r="L313" s="245"/>
      <c r="N313" s="579"/>
      <c r="O313" s="579"/>
      <c r="P313" s="579"/>
      <c r="Q313" s="66"/>
      <c r="R313" s="66"/>
      <c r="S313" s="66"/>
    </row>
    <row r="314" spans="2:19" x14ac:dyDescent="0.2">
      <c r="B314" s="245"/>
      <c r="C314" s="245"/>
      <c r="D314" s="245"/>
      <c r="E314" s="245"/>
      <c r="F314" s="245"/>
      <c r="G314" s="579"/>
      <c r="H314" s="245"/>
      <c r="I314" s="245"/>
      <c r="J314" s="245"/>
      <c r="K314" s="245"/>
      <c r="L314" s="245"/>
      <c r="N314" s="579"/>
      <c r="O314" s="579"/>
      <c r="P314" s="579"/>
      <c r="Q314" s="66"/>
      <c r="R314" s="66"/>
      <c r="S314" s="66"/>
    </row>
    <row r="315" spans="2:19" x14ac:dyDescent="0.2">
      <c r="B315" s="245"/>
      <c r="C315" s="245"/>
      <c r="D315" s="245"/>
      <c r="E315" s="245"/>
      <c r="F315" s="245"/>
      <c r="G315" s="579"/>
      <c r="H315" s="245"/>
      <c r="I315" s="245"/>
      <c r="J315" s="245"/>
      <c r="K315" s="245"/>
      <c r="L315" s="245"/>
      <c r="N315" s="579"/>
      <c r="O315" s="579"/>
      <c r="P315" s="579"/>
      <c r="Q315" s="66"/>
      <c r="R315" s="66"/>
      <c r="S315" s="66"/>
    </row>
    <row r="316" spans="2:19" x14ac:dyDescent="0.2">
      <c r="B316" s="245"/>
      <c r="C316" s="245"/>
      <c r="D316" s="245"/>
      <c r="E316" s="245"/>
      <c r="F316" s="245"/>
      <c r="G316" s="579"/>
      <c r="H316" s="245"/>
      <c r="I316" s="245"/>
      <c r="J316" s="245"/>
      <c r="K316" s="245"/>
      <c r="L316" s="245"/>
      <c r="N316" s="579"/>
      <c r="O316" s="579"/>
      <c r="P316" s="579"/>
      <c r="Q316" s="66"/>
      <c r="R316" s="66"/>
      <c r="S316" s="66"/>
    </row>
    <row r="317" spans="2:19" x14ac:dyDescent="0.2">
      <c r="B317" s="245"/>
      <c r="C317" s="245"/>
      <c r="D317" s="245"/>
      <c r="E317" s="245"/>
      <c r="F317" s="245"/>
      <c r="G317" s="579"/>
      <c r="H317" s="245"/>
      <c r="I317" s="245"/>
      <c r="J317" s="245"/>
      <c r="K317" s="245"/>
      <c r="L317" s="245"/>
      <c r="N317" s="579"/>
      <c r="O317" s="579"/>
      <c r="P317" s="579"/>
      <c r="Q317" s="66"/>
      <c r="R317" s="66"/>
      <c r="S317" s="66"/>
    </row>
    <row r="318" spans="2:19" x14ac:dyDescent="0.2">
      <c r="B318" s="245"/>
      <c r="C318" s="245"/>
      <c r="D318" s="245"/>
      <c r="E318" s="245"/>
      <c r="F318" s="245"/>
      <c r="G318" s="579"/>
      <c r="H318" s="245"/>
      <c r="I318" s="245"/>
      <c r="J318" s="245"/>
      <c r="K318" s="245"/>
      <c r="L318" s="245"/>
      <c r="N318" s="579"/>
      <c r="O318" s="579"/>
      <c r="P318" s="579"/>
      <c r="Q318" s="66"/>
      <c r="R318" s="66"/>
      <c r="S318" s="66"/>
    </row>
    <row r="319" spans="2:19" x14ac:dyDescent="0.2">
      <c r="B319" s="245"/>
      <c r="C319" s="245"/>
      <c r="D319" s="245"/>
      <c r="E319" s="245"/>
      <c r="F319" s="245"/>
      <c r="G319" s="579"/>
      <c r="H319" s="245"/>
      <c r="I319" s="245"/>
      <c r="J319" s="245"/>
      <c r="K319" s="245"/>
      <c r="L319" s="245"/>
      <c r="N319" s="579"/>
      <c r="O319" s="579"/>
      <c r="P319" s="579"/>
      <c r="Q319" s="66"/>
      <c r="R319" s="66"/>
      <c r="S319" s="66"/>
    </row>
    <row r="320" spans="2:19" x14ac:dyDescent="0.2">
      <c r="B320" s="245"/>
      <c r="C320" s="245"/>
      <c r="D320" s="245"/>
      <c r="E320" s="245"/>
      <c r="F320" s="245"/>
      <c r="G320" s="579"/>
      <c r="H320" s="245"/>
      <c r="I320" s="245"/>
      <c r="J320" s="245"/>
      <c r="K320" s="245"/>
      <c r="L320" s="245"/>
      <c r="N320" s="579"/>
      <c r="O320" s="579"/>
      <c r="P320" s="579"/>
      <c r="Q320" s="66"/>
      <c r="R320" s="66"/>
      <c r="S320" s="66"/>
    </row>
    <row r="321" spans="2:19" x14ac:dyDescent="0.2">
      <c r="B321" s="245"/>
      <c r="C321" s="245"/>
      <c r="D321" s="245"/>
      <c r="E321" s="245"/>
      <c r="F321" s="245"/>
      <c r="G321" s="579"/>
      <c r="H321" s="245"/>
      <c r="I321" s="245"/>
      <c r="J321" s="245"/>
      <c r="K321" s="245"/>
      <c r="L321" s="245"/>
      <c r="N321" s="579"/>
      <c r="O321" s="579"/>
      <c r="P321" s="579"/>
      <c r="Q321" s="66"/>
      <c r="R321" s="66"/>
      <c r="S321" s="66"/>
    </row>
    <row r="322" spans="2:19" x14ac:dyDescent="0.2">
      <c r="B322" s="245"/>
      <c r="C322" s="245"/>
      <c r="D322" s="245"/>
      <c r="E322" s="245"/>
      <c r="F322" s="245"/>
      <c r="G322" s="579"/>
      <c r="H322" s="245"/>
      <c r="I322" s="245"/>
      <c r="J322" s="245"/>
      <c r="K322" s="245"/>
      <c r="L322" s="245"/>
      <c r="N322" s="579"/>
      <c r="O322" s="579"/>
      <c r="P322" s="579"/>
      <c r="Q322" s="66"/>
      <c r="R322" s="66"/>
      <c r="S322" s="66"/>
    </row>
    <row r="323" spans="2:19" x14ac:dyDescent="0.2">
      <c r="B323" s="245"/>
      <c r="C323" s="245"/>
      <c r="D323" s="245"/>
      <c r="E323" s="245"/>
      <c r="F323" s="245"/>
      <c r="G323" s="579"/>
      <c r="H323" s="245"/>
      <c r="I323" s="245"/>
      <c r="J323" s="245"/>
      <c r="K323" s="245"/>
      <c r="L323" s="245"/>
      <c r="N323" s="579"/>
      <c r="O323" s="579"/>
      <c r="P323" s="579"/>
      <c r="Q323" s="66"/>
      <c r="R323" s="66"/>
      <c r="S323" s="66"/>
    </row>
    <row r="324" spans="2:19" x14ac:dyDescent="0.2">
      <c r="B324" s="245"/>
      <c r="C324" s="245"/>
      <c r="D324" s="245"/>
      <c r="E324" s="245"/>
      <c r="F324" s="245"/>
      <c r="G324" s="579"/>
      <c r="H324" s="245"/>
      <c r="I324" s="245"/>
      <c r="J324" s="245"/>
      <c r="K324" s="245"/>
      <c r="L324" s="245"/>
      <c r="N324" s="579"/>
      <c r="O324" s="579"/>
      <c r="P324" s="579"/>
      <c r="Q324" s="66"/>
      <c r="R324" s="66"/>
      <c r="S324" s="66"/>
    </row>
    <row r="325" spans="2:19" x14ac:dyDescent="0.2">
      <c r="B325" s="245"/>
      <c r="C325" s="245"/>
      <c r="D325" s="245"/>
      <c r="E325" s="245"/>
      <c r="F325" s="245"/>
      <c r="G325" s="579"/>
      <c r="H325" s="245"/>
      <c r="I325" s="245"/>
      <c r="J325" s="245"/>
      <c r="K325" s="245"/>
      <c r="L325" s="245"/>
      <c r="N325" s="579"/>
      <c r="O325" s="579"/>
      <c r="P325" s="579"/>
      <c r="Q325" s="66"/>
      <c r="R325" s="66"/>
      <c r="S325" s="66"/>
    </row>
    <row r="326" spans="2:19" x14ac:dyDescent="0.2">
      <c r="B326" s="245"/>
      <c r="C326" s="245"/>
      <c r="D326" s="245"/>
      <c r="E326" s="245"/>
      <c r="F326" s="245"/>
      <c r="G326" s="579"/>
      <c r="H326" s="245"/>
      <c r="I326" s="245"/>
      <c r="J326" s="245"/>
      <c r="K326" s="245"/>
      <c r="L326" s="245"/>
      <c r="N326" s="579"/>
      <c r="O326" s="579"/>
      <c r="P326" s="579"/>
      <c r="Q326" s="66"/>
      <c r="R326" s="66"/>
      <c r="S326" s="66"/>
    </row>
    <row r="327" spans="2:19" x14ac:dyDescent="0.2">
      <c r="B327" s="245"/>
      <c r="C327" s="245"/>
      <c r="D327" s="245"/>
      <c r="E327" s="245"/>
      <c r="F327" s="245"/>
      <c r="G327" s="579"/>
      <c r="H327" s="245"/>
      <c r="I327" s="245"/>
      <c r="J327" s="245"/>
      <c r="K327" s="245"/>
      <c r="L327" s="245"/>
      <c r="N327" s="579"/>
      <c r="O327" s="579"/>
      <c r="P327" s="579"/>
      <c r="Q327" s="66"/>
      <c r="R327" s="66"/>
      <c r="S327" s="66"/>
    </row>
    <row r="328" spans="2:19" x14ac:dyDescent="0.2">
      <c r="B328" s="245"/>
      <c r="C328" s="245"/>
      <c r="D328" s="245"/>
      <c r="E328" s="245"/>
      <c r="F328" s="245"/>
      <c r="G328" s="579"/>
      <c r="H328" s="245"/>
      <c r="I328" s="245"/>
      <c r="J328" s="245"/>
      <c r="K328" s="245"/>
      <c r="L328" s="245"/>
      <c r="N328" s="579"/>
      <c r="O328" s="579"/>
      <c r="P328" s="579"/>
      <c r="Q328" s="66"/>
      <c r="R328" s="66"/>
      <c r="S328" s="66"/>
    </row>
    <row r="329" spans="2:19" x14ac:dyDescent="0.2">
      <c r="B329" s="245"/>
      <c r="C329" s="245"/>
      <c r="D329" s="245"/>
      <c r="E329" s="245"/>
      <c r="F329" s="245"/>
      <c r="G329" s="579"/>
      <c r="H329" s="245"/>
      <c r="I329" s="245"/>
      <c r="J329" s="245"/>
      <c r="K329" s="245"/>
      <c r="L329" s="245"/>
      <c r="N329" s="579"/>
      <c r="O329" s="579"/>
      <c r="P329" s="579"/>
      <c r="Q329" s="66"/>
      <c r="R329" s="66"/>
      <c r="S329" s="66"/>
    </row>
    <row r="330" spans="2:19" x14ac:dyDescent="0.2">
      <c r="B330" s="245"/>
      <c r="C330" s="245"/>
      <c r="D330" s="245"/>
      <c r="E330" s="245"/>
      <c r="F330" s="245"/>
      <c r="G330" s="579"/>
      <c r="H330" s="245"/>
      <c r="I330" s="245"/>
      <c r="J330" s="245"/>
      <c r="K330" s="245"/>
      <c r="L330" s="245"/>
      <c r="N330" s="579"/>
      <c r="O330" s="579"/>
      <c r="P330" s="579"/>
      <c r="Q330" s="66"/>
      <c r="R330" s="66"/>
      <c r="S330" s="66"/>
    </row>
    <row r="331" spans="2:19" x14ac:dyDescent="0.2">
      <c r="B331" s="245"/>
      <c r="C331" s="245"/>
      <c r="D331" s="245"/>
      <c r="E331" s="245"/>
      <c r="F331" s="245"/>
      <c r="G331" s="579"/>
      <c r="H331" s="245"/>
      <c r="I331" s="245"/>
      <c r="J331" s="245"/>
      <c r="K331" s="245"/>
      <c r="L331" s="245"/>
      <c r="N331" s="579"/>
      <c r="O331" s="579"/>
      <c r="P331" s="579"/>
      <c r="Q331" s="66"/>
      <c r="R331" s="66"/>
      <c r="S331" s="66"/>
    </row>
    <row r="332" spans="2:19" x14ac:dyDescent="0.2">
      <c r="B332" s="245"/>
      <c r="C332" s="245"/>
      <c r="D332" s="245"/>
      <c r="E332" s="245"/>
      <c r="F332" s="245"/>
      <c r="G332" s="579"/>
      <c r="H332" s="245"/>
      <c r="I332" s="245"/>
      <c r="J332" s="245"/>
      <c r="K332" s="245"/>
      <c r="L332" s="245"/>
      <c r="N332" s="579"/>
      <c r="O332" s="579"/>
      <c r="P332" s="579"/>
      <c r="Q332" s="66"/>
      <c r="R332" s="66"/>
      <c r="S332" s="66"/>
    </row>
    <row r="333" spans="2:19" x14ac:dyDescent="0.2">
      <c r="B333" s="245"/>
      <c r="C333" s="245"/>
      <c r="D333" s="245"/>
      <c r="E333" s="245"/>
      <c r="F333" s="245"/>
      <c r="G333" s="579"/>
      <c r="H333" s="245"/>
      <c r="I333" s="245"/>
      <c r="J333" s="245"/>
      <c r="K333" s="245"/>
      <c r="L333" s="245"/>
      <c r="N333" s="579"/>
      <c r="O333" s="579"/>
      <c r="P333" s="579"/>
      <c r="Q333" s="66"/>
      <c r="R333" s="66"/>
      <c r="S333" s="66"/>
    </row>
    <row r="334" spans="2:19" x14ac:dyDescent="0.2">
      <c r="B334" s="245"/>
      <c r="C334" s="245"/>
      <c r="D334" s="245"/>
      <c r="E334" s="245"/>
      <c r="F334" s="245"/>
      <c r="G334" s="579"/>
      <c r="H334" s="245"/>
      <c r="I334" s="245"/>
      <c r="J334" s="245"/>
      <c r="K334" s="245"/>
      <c r="L334" s="245"/>
      <c r="N334" s="579"/>
      <c r="O334" s="579"/>
      <c r="P334" s="579"/>
      <c r="Q334" s="66"/>
      <c r="R334" s="66"/>
      <c r="S334" s="66"/>
    </row>
    <row r="335" spans="2:19" x14ac:dyDescent="0.2">
      <c r="B335" s="245"/>
      <c r="C335" s="245"/>
      <c r="D335" s="245"/>
      <c r="E335" s="245"/>
      <c r="F335" s="245"/>
      <c r="G335" s="579"/>
      <c r="H335" s="245"/>
      <c r="I335" s="245"/>
      <c r="J335" s="245"/>
      <c r="K335" s="245"/>
      <c r="L335" s="245"/>
      <c r="N335" s="579"/>
      <c r="O335" s="579"/>
      <c r="P335" s="579"/>
      <c r="Q335" s="66"/>
      <c r="R335" s="66"/>
      <c r="S335" s="66"/>
    </row>
    <row r="336" spans="2:19" x14ac:dyDescent="0.2">
      <c r="B336" s="245"/>
      <c r="C336" s="245"/>
      <c r="D336" s="245"/>
      <c r="E336" s="245"/>
      <c r="F336" s="245"/>
      <c r="G336" s="579"/>
      <c r="H336" s="245"/>
      <c r="I336" s="245"/>
      <c r="J336" s="245"/>
      <c r="K336" s="245"/>
      <c r="L336" s="245"/>
      <c r="N336" s="579"/>
      <c r="O336" s="579"/>
      <c r="P336" s="579"/>
      <c r="Q336" s="66"/>
      <c r="R336" s="66"/>
      <c r="S336" s="66"/>
    </row>
    <row r="337" spans="2:19" x14ac:dyDescent="0.2">
      <c r="B337" s="245"/>
      <c r="C337" s="245"/>
      <c r="D337" s="245"/>
      <c r="E337" s="245"/>
      <c r="F337" s="245"/>
      <c r="G337" s="579"/>
      <c r="H337" s="245"/>
      <c r="I337" s="245"/>
      <c r="J337" s="245"/>
      <c r="K337" s="245"/>
      <c r="L337" s="245"/>
      <c r="N337" s="579"/>
      <c r="O337" s="579"/>
      <c r="P337" s="579"/>
      <c r="Q337" s="66"/>
      <c r="R337" s="66"/>
      <c r="S337" s="66"/>
    </row>
    <row r="338" spans="2:19" x14ac:dyDescent="0.2">
      <c r="B338" s="245"/>
      <c r="C338" s="245"/>
      <c r="D338" s="245"/>
      <c r="E338" s="245"/>
      <c r="F338" s="245"/>
      <c r="G338" s="579"/>
      <c r="H338" s="245"/>
      <c r="I338" s="245"/>
      <c r="J338" s="245"/>
      <c r="K338" s="245"/>
      <c r="L338" s="245"/>
      <c r="N338" s="579"/>
      <c r="O338" s="579"/>
      <c r="P338" s="579"/>
      <c r="Q338" s="66"/>
      <c r="R338" s="66"/>
      <c r="S338" s="66"/>
    </row>
    <row r="339" spans="2:19" x14ac:dyDescent="0.2">
      <c r="B339" s="245"/>
      <c r="C339" s="245"/>
      <c r="D339" s="245"/>
      <c r="E339" s="245"/>
      <c r="F339" s="245"/>
      <c r="G339" s="579"/>
      <c r="H339" s="245"/>
      <c r="I339" s="245"/>
      <c r="J339" s="245"/>
      <c r="K339" s="245"/>
      <c r="L339" s="245"/>
      <c r="N339" s="579"/>
      <c r="O339" s="579"/>
      <c r="P339" s="579"/>
      <c r="Q339" s="66"/>
      <c r="R339" s="66"/>
      <c r="S339" s="66"/>
    </row>
    <row r="340" spans="2:19" x14ac:dyDescent="0.2">
      <c r="B340" s="245"/>
      <c r="C340" s="245"/>
      <c r="D340" s="245"/>
      <c r="E340" s="245"/>
      <c r="F340" s="245"/>
      <c r="G340" s="579"/>
      <c r="H340" s="245"/>
      <c r="I340" s="245"/>
      <c r="J340" s="245"/>
      <c r="K340" s="245"/>
      <c r="L340" s="245"/>
      <c r="N340" s="579"/>
      <c r="O340" s="579"/>
      <c r="P340" s="579"/>
      <c r="Q340" s="66"/>
      <c r="R340" s="66"/>
      <c r="S340" s="66"/>
    </row>
    <row r="341" spans="2:19" x14ac:dyDescent="0.2">
      <c r="B341" s="245"/>
      <c r="C341" s="245"/>
      <c r="D341" s="245"/>
      <c r="E341" s="245"/>
      <c r="F341" s="245"/>
      <c r="G341" s="579"/>
      <c r="H341" s="245"/>
      <c r="I341" s="245"/>
      <c r="J341" s="245"/>
      <c r="K341" s="245"/>
      <c r="L341" s="245"/>
      <c r="N341" s="579"/>
      <c r="O341" s="579"/>
      <c r="P341" s="579"/>
      <c r="Q341" s="66"/>
      <c r="R341" s="66"/>
      <c r="S341" s="66"/>
    </row>
    <row r="342" spans="2:19" x14ac:dyDescent="0.2">
      <c r="B342" s="245"/>
      <c r="C342" s="245"/>
      <c r="D342" s="245"/>
      <c r="E342" s="245"/>
      <c r="F342" s="245"/>
      <c r="G342" s="579"/>
      <c r="H342" s="245"/>
      <c r="I342" s="245"/>
      <c r="J342" s="245"/>
      <c r="K342" s="245"/>
      <c r="L342" s="245"/>
      <c r="N342" s="579"/>
      <c r="O342" s="579"/>
      <c r="P342" s="579"/>
      <c r="Q342" s="66"/>
      <c r="R342" s="66"/>
      <c r="S342" s="66"/>
    </row>
    <row r="343" spans="2:19" x14ac:dyDescent="0.2">
      <c r="B343" s="245"/>
      <c r="C343" s="245"/>
      <c r="D343" s="245"/>
      <c r="E343" s="245"/>
      <c r="F343" s="245"/>
      <c r="G343" s="579"/>
      <c r="H343" s="245"/>
      <c r="I343" s="245"/>
      <c r="J343" s="245"/>
      <c r="K343" s="245"/>
      <c r="L343" s="245"/>
      <c r="N343" s="579"/>
      <c r="O343" s="579"/>
      <c r="P343" s="579"/>
      <c r="Q343" s="66"/>
      <c r="R343" s="66"/>
      <c r="S343" s="66"/>
    </row>
    <row r="344" spans="2:19" x14ac:dyDescent="0.2">
      <c r="B344" s="245"/>
      <c r="C344" s="245"/>
      <c r="D344" s="245"/>
      <c r="E344" s="245"/>
      <c r="F344" s="245"/>
      <c r="G344" s="579"/>
      <c r="H344" s="245"/>
      <c r="I344" s="245"/>
      <c r="J344" s="245"/>
      <c r="K344" s="245"/>
      <c r="L344" s="245"/>
      <c r="N344" s="579"/>
      <c r="O344" s="579"/>
      <c r="P344" s="579"/>
      <c r="Q344" s="66"/>
      <c r="R344" s="66"/>
      <c r="S344" s="66"/>
    </row>
    <row r="345" spans="2:19" x14ac:dyDescent="0.2">
      <c r="B345" s="245"/>
      <c r="C345" s="245"/>
      <c r="D345" s="245"/>
      <c r="E345" s="245"/>
      <c r="F345" s="245"/>
      <c r="G345" s="579"/>
      <c r="H345" s="245"/>
      <c r="I345" s="245"/>
      <c r="J345" s="245"/>
      <c r="K345" s="245"/>
      <c r="L345" s="245"/>
      <c r="N345" s="579"/>
      <c r="O345" s="579"/>
      <c r="P345" s="579"/>
      <c r="Q345" s="66"/>
      <c r="R345" s="66"/>
      <c r="S345" s="66"/>
    </row>
    <row r="346" spans="2:19" x14ac:dyDescent="0.2">
      <c r="B346" s="245"/>
      <c r="C346" s="245"/>
      <c r="D346" s="245"/>
      <c r="E346" s="245"/>
      <c r="F346" s="245"/>
      <c r="G346" s="579"/>
      <c r="H346" s="245"/>
      <c r="I346" s="245"/>
      <c r="J346" s="245"/>
      <c r="K346" s="245"/>
      <c r="L346" s="245"/>
      <c r="N346" s="579"/>
      <c r="O346" s="579"/>
      <c r="P346" s="579"/>
      <c r="Q346" s="66"/>
      <c r="R346" s="66"/>
      <c r="S346" s="66"/>
    </row>
    <row r="347" spans="2:19" x14ac:dyDescent="0.2">
      <c r="B347" s="245"/>
      <c r="C347" s="245"/>
      <c r="D347" s="245"/>
      <c r="E347" s="245"/>
      <c r="F347" s="245"/>
      <c r="G347" s="579"/>
      <c r="H347" s="245"/>
      <c r="I347" s="245"/>
      <c r="J347" s="245"/>
      <c r="K347" s="245"/>
      <c r="L347" s="245"/>
      <c r="N347" s="579"/>
      <c r="O347" s="579"/>
      <c r="P347" s="579"/>
      <c r="Q347" s="66"/>
      <c r="R347" s="66"/>
      <c r="S347" s="66"/>
    </row>
    <row r="348" spans="2:19" x14ac:dyDescent="0.2">
      <c r="B348" s="245"/>
      <c r="C348" s="245"/>
      <c r="D348" s="245"/>
      <c r="E348" s="245"/>
      <c r="F348" s="245"/>
      <c r="G348" s="579"/>
      <c r="H348" s="245"/>
      <c r="I348" s="245"/>
      <c r="J348" s="245"/>
      <c r="K348" s="245"/>
      <c r="L348" s="245"/>
      <c r="N348" s="579"/>
      <c r="O348" s="579"/>
      <c r="P348" s="579"/>
      <c r="Q348" s="66"/>
      <c r="R348" s="66"/>
      <c r="S348" s="66"/>
    </row>
    <row r="349" spans="2:19" x14ac:dyDescent="0.2">
      <c r="B349" s="245"/>
      <c r="C349" s="245"/>
      <c r="D349" s="245"/>
      <c r="E349" s="245"/>
      <c r="F349" s="245"/>
      <c r="G349" s="579"/>
      <c r="H349" s="245"/>
      <c r="I349" s="245"/>
      <c r="J349" s="245"/>
      <c r="K349" s="245"/>
      <c r="L349" s="245"/>
      <c r="N349" s="579"/>
      <c r="O349" s="579"/>
      <c r="P349" s="579"/>
      <c r="Q349" s="66"/>
      <c r="R349" s="66"/>
      <c r="S349" s="66"/>
    </row>
    <row r="350" spans="2:19" x14ac:dyDescent="0.2">
      <c r="B350" s="245"/>
      <c r="C350" s="245"/>
      <c r="D350" s="245"/>
      <c r="E350" s="245"/>
      <c r="F350" s="245"/>
      <c r="G350" s="579"/>
      <c r="H350" s="245"/>
      <c r="I350" s="245"/>
      <c r="J350" s="245"/>
      <c r="K350" s="245"/>
      <c r="L350" s="245"/>
      <c r="N350" s="579"/>
      <c r="O350" s="579"/>
      <c r="P350" s="579"/>
      <c r="Q350" s="66"/>
      <c r="R350" s="66"/>
      <c r="S350" s="66"/>
    </row>
    <row r="351" spans="2:19" x14ac:dyDescent="0.2">
      <c r="B351" s="245"/>
      <c r="C351" s="245"/>
      <c r="D351" s="245"/>
      <c r="E351" s="245"/>
      <c r="F351" s="245"/>
      <c r="G351" s="579"/>
      <c r="H351" s="245"/>
      <c r="I351" s="245"/>
      <c r="J351" s="245"/>
      <c r="K351" s="245"/>
      <c r="L351" s="245"/>
      <c r="N351" s="579"/>
      <c r="O351" s="579"/>
      <c r="P351" s="579"/>
      <c r="Q351" s="66"/>
      <c r="R351" s="66"/>
      <c r="S351" s="66"/>
    </row>
    <row r="352" spans="2:19" x14ac:dyDescent="0.2">
      <c r="B352" s="245"/>
      <c r="C352" s="245"/>
      <c r="D352" s="245"/>
      <c r="E352" s="245"/>
      <c r="F352" s="245"/>
      <c r="G352" s="579"/>
      <c r="H352" s="245"/>
      <c r="I352" s="245"/>
      <c r="J352" s="245"/>
      <c r="K352" s="245"/>
      <c r="L352" s="245"/>
      <c r="N352" s="579"/>
      <c r="O352" s="579"/>
      <c r="P352" s="579"/>
      <c r="Q352" s="66"/>
      <c r="R352" s="66"/>
      <c r="S352" s="66"/>
    </row>
    <row r="353" spans="2:19" x14ac:dyDescent="0.2">
      <c r="B353" s="245"/>
      <c r="C353" s="245"/>
      <c r="D353" s="245"/>
      <c r="E353" s="245"/>
      <c r="F353" s="245"/>
      <c r="G353" s="579"/>
      <c r="H353" s="245"/>
      <c r="I353" s="245"/>
      <c r="J353" s="245"/>
      <c r="K353" s="245"/>
      <c r="L353" s="245"/>
      <c r="N353" s="579"/>
      <c r="O353" s="579"/>
      <c r="P353" s="579"/>
      <c r="Q353" s="66"/>
      <c r="R353" s="66"/>
      <c r="S353" s="66"/>
    </row>
    <row r="354" spans="2:19" x14ac:dyDescent="0.2">
      <c r="B354" s="245"/>
      <c r="C354" s="245"/>
      <c r="D354" s="245"/>
      <c r="E354" s="245"/>
      <c r="F354" s="245"/>
      <c r="G354" s="579"/>
      <c r="H354" s="245"/>
      <c r="I354" s="245"/>
      <c r="J354" s="245"/>
      <c r="K354" s="245"/>
      <c r="L354" s="245"/>
      <c r="N354" s="579"/>
      <c r="O354" s="579"/>
      <c r="P354" s="579"/>
      <c r="Q354" s="66"/>
      <c r="R354" s="66"/>
      <c r="S354" s="66"/>
    </row>
    <row r="355" spans="2:19" x14ac:dyDescent="0.2">
      <c r="B355" s="245"/>
      <c r="C355" s="245"/>
      <c r="D355" s="245"/>
      <c r="E355" s="245"/>
      <c r="F355" s="245"/>
      <c r="G355" s="579"/>
      <c r="H355" s="245"/>
      <c r="I355" s="245"/>
      <c r="J355" s="245"/>
      <c r="K355" s="245"/>
      <c r="L355" s="245"/>
      <c r="N355" s="579"/>
      <c r="O355" s="579"/>
      <c r="P355" s="579"/>
      <c r="Q355" s="66"/>
      <c r="R355" s="66"/>
      <c r="S355" s="66"/>
    </row>
    <row r="356" spans="2:19" x14ac:dyDescent="0.2">
      <c r="B356" s="245"/>
      <c r="C356" s="245"/>
      <c r="D356" s="245"/>
      <c r="E356" s="245"/>
      <c r="F356" s="245"/>
      <c r="G356" s="579"/>
      <c r="H356" s="245"/>
      <c r="I356" s="245"/>
      <c r="J356" s="245"/>
      <c r="K356" s="245"/>
      <c r="L356" s="245"/>
      <c r="N356" s="579"/>
      <c r="O356" s="579"/>
      <c r="P356" s="579"/>
      <c r="Q356" s="66"/>
      <c r="R356" s="66"/>
      <c r="S356" s="66"/>
    </row>
    <row r="357" spans="2:19" x14ac:dyDescent="0.2">
      <c r="B357" s="245"/>
      <c r="C357" s="245"/>
      <c r="D357" s="245"/>
      <c r="E357" s="245"/>
      <c r="F357" s="245"/>
      <c r="G357" s="579"/>
      <c r="H357" s="245"/>
      <c r="I357" s="245"/>
      <c r="J357" s="245"/>
      <c r="K357" s="245"/>
      <c r="L357" s="245"/>
      <c r="N357" s="579"/>
      <c r="O357" s="579"/>
      <c r="P357" s="579"/>
      <c r="Q357" s="66"/>
      <c r="R357" s="66"/>
      <c r="S357" s="66"/>
    </row>
    <row r="358" spans="2:19" x14ac:dyDescent="0.2">
      <c r="B358" s="245"/>
      <c r="C358" s="245"/>
      <c r="D358" s="245"/>
      <c r="E358" s="245"/>
      <c r="F358" s="245"/>
      <c r="G358" s="579"/>
      <c r="H358" s="245"/>
      <c r="I358" s="245"/>
      <c r="J358" s="245"/>
      <c r="K358" s="245"/>
      <c r="L358" s="245"/>
      <c r="N358" s="579"/>
      <c r="O358" s="579"/>
      <c r="P358" s="579"/>
      <c r="Q358" s="66"/>
      <c r="R358" s="66"/>
      <c r="S358" s="66"/>
    </row>
    <row r="359" spans="2:19" x14ac:dyDescent="0.2">
      <c r="B359" s="245"/>
      <c r="C359" s="245"/>
      <c r="D359" s="245"/>
      <c r="E359" s="245"/>
      <c r="F359" s="245"/>
      <c r="G359" s="579"/>
      <c r="H359" s="245"/>
      <c r="I359" s="245"/>
      <c r="J359" s="245"/>
      <c r="K359" s="245"/>
      <c r="L359" s="245"/>
      <c r="N359" s="579"/>
      <c r="O359" s="579"/>
      <c r="P359" s="579"/>
      <c r="Q359" s="66"/>
      <c r="R359" s="66"/>
      <c r="S359" s="66"/>
    </row>
    <row r="360" spans="2:19" x14ac:dyDescent="0.2">
      <c r="B360" s="245"/>
      <c r="C360" s="245"/>
      <c r="D360" s="245"/>
      <c r="E360" s="245"/>
      <c r="F360" s="245"/>
      <c r="G360" s="579"/>
      <c r="H360" s="245"/>
      <c r="I360" s="245"/>
      <c r="J360" s="245"/>
      <c r="K360" s="245"/>
      <c r="L360" s="245"/>
      <c r="N360" s="579"/>
      <c r="O360" s="579"/>
      <c r="P360" s="579"/>
      <c r="Q360" s="66"/>
      <c r="R360" s="66"/>
      <c r="S360" s="66"/>
    </row>
    <row r="361" spans="2:19" x14ac:dyDescent="0.2">
      <c r="B361" s="245"/>
      <c r="C361" s="245"/>
      <c r="D361" s="245"/>
      <c r="E361" s="245"/>
      <c r="F361" s="245"/>
      <c r="G361" s="579"/>
      <c r="H361" s="245"/>
      <c r="I361" s="245"/>
      <c r="J361" s="245"/>
      <c r="K361" s="245"/>
      <c r="L361" s="245"/>
      <c r="N361" s="579"/>
      <c r="O361" s="579"/>
      <c r="P361" s="579"/>
      <c r="Q361" s="66"/>
      <c r="R361" s="66"/>
      <c r="S361" s="66"/>
    </row>
    <row r="362" spans="2:19" x14ac:dyDescent="0.2">
      <c r="B362" s="245"/>
      <c r="C362" s="245"/>
      <c r="D362" s="245"/>
      <c r="E362" s="245"/>
      <c r="F362" s="245"/>
      <c r="G362" s="579"/>
      <c r="H362" s="245"/>
      <c r="I362" s="245"/>
      <c r="J362" s="245"/>
      <c r="K362" s="245"/>
      <c r="L362" s="245"/>
      <c r="N362" s="579"/>
      <c r="O362" s="579"/>
      <c r="P362" s="579"/>
      <c r="Q362" s="66"/>
      <c r="R362" s="66"/>
      <c r="S362" s="66"/>
    </row>
    <row r="363" spans="2:19" x14ac:dyDescent="0.2">
      <c r="B363" s="245"/>
      <c r="C363" s="245"/>
      <c r="D363" s="245"/>
      <c r="E363" s="245"/>
      <c r="F363" s="245"/>
      <c r="G363" s="579"/>
      <c r="H363" s="245"/>
      <c r="I363" s="245"/>
      <c r="J363" s="245"/>
      <c r="K363" s="245"/>
      <c r="L363" s="245"/>
      <c r="N363" s="579"/>
      <c r="O363" s="579"/>
      <c r="P363" s="579"/>
      <c r="Q363" s="66"/>
      <c r="R363" s="66"/>
      <c r="S363" s="66"/>
    </row>
    <row r="364" spans="2:19" x14ac:dyDescent="0.2">
      <c r="B364" s="245"/>
      <c r="C364" s="245"/>
      <c r="D364" s="245"/>
      <c r="E364" s="245"/>
      <c r="F364" s="245"/>
      <c r="G364" s="579"/>
      <c r="H364" s="245"/>
      <c r="I364" s="245"/>
      <c r="J364" s="245"/>
      <c r="K364" s="245"/>
      <c r="L364" s="245"/>
      <c r="N364" s="579"/>
      <c r="O364" s="579"/>
      <c r="P364" s="579"/>
      <c r="Q364" s="66"/>
      <c r="R364" s="66"/>
      <c r="S364" s="66"/>
    </row>
    <row r="365" spans="2:19" x14ac:dyDescent="0.2">
      <c r="B365" s="245"/>
      <c r="C365" s="245"/>
      <c r="D365" s="245"/>
      <c r="E365" s="245"/>
      <c r="F365" s="245"/>
      <c r="G365" s="579"/>
      <c r="H365" s="245"/>
      <c r="I365" s="245"/>
      <c r="J365" s="245"/>
      <c r="K365" s="245"/>
      <c r="L365" s="245"/>
      <c r="N365" s="579"/>
      <c r="O365" s="579"/>
      <c r="P365" s="579"/>
      <c r="Q365" s="66"/>
      <c r="R365" s="66"/>
      <c r="S365" s="66"/>
    </row>
    <row r="366" spans="2:19" x14ac:dyDescent="0.2">
      <c r="B366" s="245"/>
      <c r="C366" s="245"/>
      <c r="D366" s="245"/>
      <c r="E366" s="245"/>
      <c r="F366" s="245"/>
      <c r="G366" s="579"/>
      <c r="H366" s="245"/>
      <c r="I366" s="245"/>
      <c r="J366" s="245"/>
      <c r="K366" s="245"/>
      <c r="L366" s="245"/>
      <c r="N366" s="579"/>
      <c r="O366" s="579"/>
      <c r="P366" s="579"/>
      <c r="Q366" s="66"/>
      <c r="R366" s="66"/>
      <c r="S366" s="66"/>
    </row>
    <row r="367" spans="2:19" x14ac:dyDescent="0.2">
      <c r="B367" s="245"/>
      <c r="C367" s="245"/>
      <c r="D367" s="245"/>
      <c r="E367" s="245"/>
      <c r="F367" s="245"/>
      <c r="G367" s="579"/>
      <c r="H367" s="245"/>
      <c r="I367" s="245"/>
      <c r="J367" s="245"/>
      <c r="K367" s="245"/>
      <c r="L367" s="245"/>
      <c r="N367" s="579"/>
      <c r="O367" s="579"/>
      <c r="P367" s="579"/>
      <c r="Q367" s="66"/>
      <c r="R367" s="66"/>
      <c r="S367" s="66"/>
    </row>
    <row r="368" spans="2:19" x14ac:dyDescent="0.2">
      <c r="B368" s="245"/>
      <c r="C368" s="245"/>
      <c r="D368" s="245"/>
      <c r="E368" s="245"/>
      <c r="F368" s="245"/>
      <c r="G368" s="579"/>
      <c r="H368" s="245"/>
      <c r="I368" s="245"/>
      <c r="J368" s="245"/>
      <c r="K368" s="245"/>
      <c r="L368" s="245"/>
      <c r="N368" s="579"/>
      <c r="O368" s="579"/>
      <c r="P368" s="579"/>
      <c r="Q368" s="66"/>
      <c r="R368" s="66"/>
      <c r="S368" s="66"/>
    </row>
    <row r="369" spans="2:19" x14ac:dyDescent="0.2">
      <c r="B369" s="245"/>
      <c r="C369" s="245"/>
      <c r="D369" s="245"/>
      <c r="E369" s="245"/>
      <c r="F369" s="245"/>
      <c r="G369" s="579"/>
      <c r="H369" s="245"/>
      <c r="I369" s="245"/>
      <c r="J369" s="245"/>
      <c r="K369" s="245"/>
      <c r="L369" s="245"/>
      <c r="N369" s="579"/>
      <c r="O369" s="579"/>
      <c r="P369" s="579"/>
      <c r="Q369" s="66"/>
      <c r="R369" s="66"/>
      <c r="S369" s="66"/>
    </row>
    <row r="370" spans="2:19" x14ac:dyDescent="0.2">
      <c r="B370" s="245"/>
      <c r="C370" s="245"/>
      <c r="D370" s="245"/>
      <c r="E370" s="245"/>
      <c r="F370" s="245"/>
      <c r="G370" s="579"/>
      <c r="H370" s="245"/>
      <c r="I370" s="245"/>
      <c r="J370" s="245"/>
      <c r="K370" s="245"/>
      <c r="L370" s="245"/>
      <c r="N370" s="579"/>
      <c r="O370" s="579"/>
      <c r="P370" s="579"/>
      <c r="Q370" s="66"/>
      <c r="R370" s="66"/>
      <c r="S370" s="66"/>
    </row>
    <row r="371" spans="2:19" x14ac:dyDescent="0.2">
      <c r="B371" s="245"/>
      <c r="C371" s="245"/>
      <c r="D371" s="245"/>
      <c r="E371" s="245"/>
      <c r="F371" s="245"/>
      <c r="G371" s="579"/>
      <c r="H371" s="245"/>
      <c r="I371" s="245"/>
      <c r="J371" s="245"/>
      <c r="K371" s="245"/>
      <c r="L371" s="245"/>
      <c r="N371" s="579"/>
      <c r="O371" s="579"/>
      <c r="P371" s="579"/>
      <c r="Q371" s="66"/>
      <c r="R371" s="66"/>
      <c r="S371" s="66"/>
    </row>
    <row r="372" spans="2:19" x14ac:dyDescent="0.2">
      <c r="B372" s="245"/>
      <c r="C372" s="245"/>
      <c r="D372" s="245"/>
      <c r="E372" s="245"/>
      <c r="F372" s="245"/>
      <c r="G372" s="579"/>
      <c r="H372" s="245"/>
      <c r="I372" s="245"/>
      <c r="J372" s="245"/>
      <c r="K372" s="245"/>
      <c r="L372" s="245"/>
      <c r="N372" s="579"/>
      <c r="O372" s="579"/>
      <c r="P372" s="579"/>
      <c r="Q372" s="66"/>
      <c r="R372" s="66"/>
      <c r="S372" s="66"/>
    </row>
    <row r="373" spans="2:19" x14ac:dyDescent="0.2">
      <c r="B373" s="245"/>
      <c r="C373" s="245"/>
      <c r="D373" s="245"/>
      <c r="E373" s="245"/>
      <c r="F373" s="245"/>
      <c r="G373" s="579"/>
      <c r="H373" s="245"/>
      <c r="I373" s="245"/>
      <c r="J373" s="245"/>
      <c r="K373" s="245"/>
      <c r="L373" s="245"/>
      <c r="N373" s="579"/>
      <c r="O373" s="579"/>
      <c r="P373" s="579"/>
      <c r="Q373" s="66"/>
      <c r="R373" s="66"/>
      <c r="S373" s="66"/>
    </row>
    <row r="374" spans="2:19" x14ac:dyDescent="0.2">
      <c r="B374" s="245"/>
      <c r="C374" s="245"/>
      <c r="D374" s="245"/>
      <c r="E374" s="245"/>
      <c r="F374" s="245"/>
      <c r="G374" s="579"/>
      <c r="H374" s="245"/>
      <c r="I374" s="245"/>
      <c r="J374" s="245"/>
      <c r="K374" s="245"/>
      <c r="L374" s="245"/>
      <c r="N374" s="579"/>
      <c r="O374" s="579"/>
      <c r="P374" s="579"/>
      <c r="Q374" s="66"/>
      <c r="R374" s="66"/>
      <c r="S374" s="66"/>
    </row>
    <row r="375" spans="2:19" x14ac:dyDescent="0.2">
      <c r="B375" s="245"/>
      <c r="C375" s="245"/>
      <c r="D375" s="245"/>
      <c r="E375" s="245"/>
      <c r="F375" s="245"/>
      <c r="G375" s="579"/>
      <c r="H375" s="245"/>
      <c r="I375" s="245"/>
      <c r="J375" s="245"/>
      <c r="K375" s="245"/>
      <c r="L375" s="245"/>
      <c r="N375" s="579"/>
      <c r="O375" s="579"/>
      <c r="P375" s="579"/>
      <c r="Q375" s="66"/>
      <c r="R375" s="66"/>
      <c r="S375" s="66"/>
    </row>
    <row r="376" spans="2:19" x14ac:dyDescent="0.2">
      <c r="B376" s="245"/>
      <c r="C376" s="245"/>
      <c r="D376" s="245"/>
      <c r="E376" s="245"/>
      <c r="F376" s="245"/>
      <c r="G376" s="579"/>
      <c r="H376" s="245"/>
      <c r="I376" s="245"/>
      <c r="J376" s="245"/>
      <c r="K376" s="245"/>
      <c r="L376" s="245"/>
      <c r="N376" s="579"/>
      <c r="O376" s="579"/>
      <c r="P376" s="579"/>
      <c r="Q376" s="66"/>
      <c r="R376" s="66"/>
      <c r="S376" s="66"/>
    </row>
    <row r="377" spans="2:19" x14ac:dyDescent="0.2">
      <c r="B377" s="245"/>
      <c r="C377" s="245"/>
      <c r="D377" s="245"/>
      <c r="E377" s="245"/>
      <c r="F377" s="245"/>
      <c r="G377" s="579"/>
      <c r="H377" s="245"/>
      <c r="I377" s="245"/>
      <c r="J377" s="245"/>
      <c r="K377" s="245"/>
      <c r="L377" s="245"/>
      <c r="N377" s="579"/>
      <c r="O377" s="579"/>
      <c r="P377" s="579"/>
      <c r="Q377" s="66"/>
      <c r="R377" s="66"/>
      <c r="S377" s="66"/>
    </row>
    <row r="378" spans="2:19" x14ac:dyDescent="0.2">
      <c r="B378" s="245"/>
      <c r="C378" s="245"/>
      <c r="D378" s="245"/>
      <c r="E378" s="245"/>
      <c r="F378" s="245"/>
      <c r="G378" s="579"/>
      <c r="H378" s="245"/>
      <c r="I378" s="245"/>
      <c r="J378" s="245"/>
      <c r="K378" s="245"/>
      <c r="L378" s="245"/>
      <c r="N378" s="579"/>
      <c r="O378" s="579"/>
      <c r="P378" s="579"/>
      <c r="Q378" s="66"/>
      <c r="R378" s="66"/>
      <c r="S378" s="66"/>
    </row>
    <row r="379" spans="2:19" x14ac:dyDescent="0.2">
      <c r="B379" s="245"/>
      <c r="C379" s="245"/>
      <c r="D379" s="245"/>
      <c r="E379" s="245"/>
      <c r="F379" s="245"/>
      <c r="G379" s="579"/>
      <c r="H379" s="245"/>
      <c r="I379" s="245"/>
      <c r="J379" s="245"/>
      <c r="K379" s="245"/>
      <c r="L379" s="245"/>
      <c r="N379" s="579"/>
      <c r="O379" s="579"/>
      <c r="P379" s="579"/>
      <c r="Q379" s="66"/>
      <c r="R379" s="66"/>
      <c r="S379" s="66"/>
    </row>
    <row r="380" spans="2:19" x14ac:dyDescent="0.2">
      <c r="B380" s="245"/>
      <c r="C380" s="245"/>
      <c r="D380" s="245"/>
      <c r="E380" s="245"/>
      <c r="F380" s="245"/>
      <c r="G380" s="579"/>
      <c r="H380" s="245"/>
      <c r="I380" s="245"/>
      <c r="J380" s="245"/>
      <c r="K380" s="245"/>
      <c r="L380" s="245"/>
      <c r="N380" s="579"/>
      <c r="O380" s="579"/>
      <c r="P380" s="579"/>
      <c r="Q380" s="66"/>
      <c r="R380" s="66"/>
      <c r="S380" s="66"/>
    </row>
    <row r="381" spans="2:19" x14ac:dyDescent="0.2">
      <c r="B381" s="245"/>
      <c r="C381" s="245"/>
      <c r="D381" s="245"/>
      <c r="E381" s="245"/>
      <c r="F381" s="245"/>
      <c r="G381" s="579"/>
      <c r="H381" s="245"/>
      <c r="I381" s="245"/>
      <c r="J381" s="245"/>
      <c r="K381" s="245"/>
      <c r="L381" s="245"/>
      <c r="N381" s="579"/>
      <c r="O381" s="579"/>
      <c r="P381" s="579"/>
      <c r="Q381" s="66"/>
      <c r="R381" s="66"/>
      <c r="S381" s="66"/>
    </row>
    <row r="382" spans="2:19" x14ac:dyDescent="0.2">
      <c r="B382" s="245"/>
      <c r="C382" s="245"/>
      <c r="D382" s="245"/>
      <c r="E382" s="245"/>
      <c r="F382" s="245"/>
      <c r="G382" s="579"/>
      <c r="H382" s="245"/>
      <c r="I382" s="245"/>
      <c r="J382" s="245"/>
      <c r="K382" s="245"/>
      <c r="L382" s="245"/>
      <c r="N382" s="579"/>
      <c r="O382" s="579"/>
      <c r="P382" s="579"/>
      <c r="Q382" s="66"/>
      <c r="R382" s="66"/>
      <c r="S382" s="66"/>
    </row>
    <row r="383" spans="2:19" x14ac:dyDescent="0.2">
      <c r="B383" s="245"/>
      <c r="C383" s="245"/>
      <c r="D383" s="245"/>
      <c r="E383" s="245"/>
      <c r="F383" s="245"/>
      <c r="G383" s="579"/>
      <c r="H383" s="245"/>
      <c r="I383" s="245"/>
      <c r="J383" s="245"/>
      <c r="K383" s="245"/>
      <c r="L383" s="245"/>
      <c r="N383" s="579"/>
      <c r="O383" s="579"/>
      <c r="P383" s="579"/>
      <c r="Q383" s="66"/>
      <c r="R383" s="66"/>
      <c r="S383" s="66"/>
    </row>
    <row r="384" spans="2:19" x14ac:dyDescent="0.2">
      <c r="B384" s="245"/>
      <c r="C384" s="245"/>
      <c r="D384" s="245"/>
      <c r="E384" s="245"/>
      <c r="F384" s="245"/>
      <c r="G384" s="579"/>
      <c r="H384" s="245"/>
      <c r="I384" s="245"/>
      <c r="J384" s="245"/>
      <c r="K384" s="245"/>
      <c r="L384" s="245"/>
      <c r="N384" s="579"/>
      <c r="O384" s="579"/>
      <c r="P384" s="579"/>
      <c r="Q384" s="66"/>
      <c r="R384" s="66"/>
      <c r="S384" s="66"/>
    </row>
    <row r="385" spans="2:19" x14ac:dyDescent="0.2">
      <c r="B385" s="245"/>
      <c r="C385" s="245"/>
      <c r="D385" s="245"/>
      <c r="E385" s="245"/>
      <c r="F385" s="245"/>
      <c r="G385" s="579"/>
      <c r="H385" s="245"/>
      <c r="I385" s="245"/>
      <c r="J385" s="245"/>
      <c r="K385" s="245"/>
      <c r="L385" s="245"/>
      <c r="N385" s="579"/>
      <c r="O385" s="579"/>
      <c r="P385" s="579"/>
      <c r="Q385" s="66"/>
      <c r="R385" s="66"/>
      <c r="S385" s="66"/>
    </row>
    <row r="386" spans="2:19" x14ac:dyDescent="0.2">
      <c r="B386" s="245"/>
      <c r="C386" s="245"/>
      <c r="D386" s="245"/>
      <c r="E386" s="245"/>
      <c r="F386" s="245"/>
      <c r="G386" s="579"/>
      <c r="H386" s="245"/>
      <c r="I386" s="245"/>
      <c r="J386" s="245"/>
      <c r="K386" s="245"/>
      <c r="L386" s="245"/>
      <c r="N386" s="579"/>
      <c r="O386" s="579"/>
      <c r="P386" s="579"/>
      <c r="Q386" s="66"/>
      <c r="R386" s="66"/>
      <c r="S386" s="66"/>
    </row>
    <row r="387" spans="2:19" x14ac:dyDescent="0.2">
      <c r="B387" s="245"/>
      <c r="C387" s="245"/>
      <c r="D387" s="245"/>
      <c r="E387" s="245"/>
      <c r="F387" s="245"/>
      <c r="G387" s="579"/>
      <c r="H387" s="245"/>
      <c r="I387" s="245"/>
      <c r="J387" s="245"/>
      <c r="K387" s="245"/>
      <c r="L387" s="245"/>
      <c r="N387" s="579"/>
      <c r="O387" s="579"/>
      <c r="P387" s="579"/>
      <c r="Q387" s="66"/>
      <c r="R387" s="66"/>
      <c r="S387" s="66"/>
    </row>
    <row r="388" spans="2:19" x14ac:dyDescent="0.2">
      <c r="B388" s="245"/>
      <c r="C388" s="245"/>
      <c r="D388" s="245"/>
      <c r="E388" s="245"/>
      <c r="F388" s="245"/>
      <c r="G388" s="579"/>
      <c r="H388" s="245"/>
      <c r="I388" s="245"/>
      <c r="J388" s="245"/>
      <c r="K388" s="245"/>
      <c r="L388" s="245"/>
      <c r="N388" s="579"/>
      <c r="O388" s="579"/>
      <c r="P388" s="579"/>
      <c r="Q388" s="66"/>
      <c r="R388" s="66"/>
      <c r="S388" s="66"/>
    </row>
    <row r="389" spans="2:19" x14ac:dyDescent="0.2">
      <c r="B389" s="245"/>
      <c r="C389" s="245"/>
      <c r="D389" s="245"/>
      <c r="E389" s="245"/>
      <c r="F389" s="245"/>
      <c r="G389" s="579"/>
      <c r="H389" s="245"/>
      <c r="I389" s="245"/>
      <c r="J389" s="245"/>
      <c r="K389" s="245"/>
      <c r="L389" s="245"/>
      <c r="N389" s="579"/>
      <c r="O389" s="579"/>
      <c r="P389" s="579"/>
      <c r="Q389" s="66"/>
      <c r="R389" s="66"/>
      <c r="S389" s="66"/>
    </row>
    <row r="390" spans="2:19" x14ac:dyDescent="0.2">
      <c r="B390" s="245"/>
      <c r="C390" s="245"/>
      <c r="D390" s="245"/>
      <c r="E390" s="245"/>
      <c r="F390" s="245"/>
      <c r="G390" s="579"/>
      <c r="H390" s="245"/>
      <c r="I390" s="245"/>
      <c r="J390" s="245"/>
      <c r="K390" s="245"/>
      <c r="L390" s="245"/>
      <c r="N390" s="579"/>
      <c r="O390" s="579"/>
      <c r="P390" s="579"/>
      <c r="Q390" s="66"/>
      <c r="R390" s="66"/>
      <c r="S390" s="66"/>
    </row>
    <row r="391" spans="2:19" x14ac:dyDescent="0.2">
      <c r="B391" s="245"/>
      <c r="C391" s="245"/>
      <c r="D391" s="245"/>
      <c r="E391" s="245"/>
      <c r="F391" s="245"/>
      <c r="G391" s="579"/>
      <c r="H391" s="245"/>
      <c r="I391" s="245"/>
      <c r="J391" s="245"/>
      <c r="K391" s="245"/>
      <c r="L391" s="245"/>
      <c r="N391" s="579"/>
      <c r="O391" s="579"/>
      <c r="P391" s="579"/>
      <c r="Q391" s="66"/>
      <c r="R391" s="66"/>
      <c r="S391" s="66"/>
    </row>
    <row r="392" spans="2:19" x14ac:dyDescent="0.2">
      <c r="B392" s="245"/>
      <c r="C392" s="245"/>
      <c r="D392" s="245"/>
      <c r="E392" s="245"/>
      <c r="F392" s="245"/>
      <c r="G392" s="579"/>
      <c r="H392" s="245"/>
      <c r="I392" s="245"/>
      <c r="J392" s="245"/>
      <c r="K392" s="245"/>
      <c r="L392" s="245"/>
      <c r="N392" s="579"/>
      <c r="O392" s="579"/>
      <c r="P392" s="579"/>
      <c r="Q392" s="66"/>
      <c r="R392" s="66"/>
      <c r="S392" s="66"/>
    </row>
    <row r="393" spans="2:19" x14ac:dyDescent="0.2">
      <c r="B393" s="245"/>
      <c r="C393" s="245"/>
      <c r="D393" s="245"/>
      <c r="E393" s="245"/>
      <c r="F393" s="245"/>
      <c r="G393" s="579"/>
      <c r="H393" s="245"/>
      <c r="I393" s="245"/>
      <c r="J393" s="245"/>
      <c r="K393" s="245"/>
      <c r="L393" s="245"/>
      <c r="N393" s="579"/>
      <c r="O393" s="579"/>
      <c r="P393" s="579"/>
      <c r="Q393" s="66"/>
      <c r="R393" s="66"/>
      <c r="S393" s="66"/>
    </row>
    <row r="394" spans="2:19" x14ac:dyDescent="0.2">
      <c r="B394" s="245"/>
      <c r="C394" s="245"/>
      <c r="D394" s="245"/>
      <c r="E394" s="245"/>
      <c r="F394" s="245"/>
      <c r="G394" s="579"/>
      <c r="H394" s="245"/>
      <c r="I394" s="245"/>
      <c r="J394" s="245"/>
      <c r="K394" s="245"/>
      <c r="L394" s="245"/>
      <c r="N394" s="579"/>
      <c r="O394" s="579"/>
      <c r="P394" s="579"/>
      <c r="Q394" s="66"/>
      <c r="R394" s="66"/>
      <c r="S394" s="66"/>
    </row>
    <row r="395" spans="2:19" x14ac:dyDescent="0.2">
      <c r="B395" s="245"/>
      <c r="C395" s="245"/>
      <c r="D395" s="245"/>
      <c r="E395" s="245"/>
      <c r="F395" s="245"/>
      <c r="G395" s="579"/>
      <c r="H395" s="245"/>
      <c r="I395" s="245"/>
      <c r="J395" s="245"/>
      <c r="K395" s="245"/>
      <c r="L395" s="245"/>
      <c r="N395" s="579"/>
      <c r="O395" s="579"/>
      <c r="P395" s="579"/>
      <c r="Q395" s="66"/>
      <c r="R395" s="66"/>
      <c r="S395" s="66"/>
    </row>
    <row r="396" spans="2:19" x14ac:dyDescent="0.2">
      <c r="B396" s="245"/>
      <c r="C396" s="245"/>
      <c r="D396" s="245"/>
      <c r="E396" s="245"/>
      <c r="F396" s="245"/>
      <c r="G396" s="579"/>
      <c r="H396" s="245"/>
      <c r="I396" s="245"/>
      <c r="J396" s="245"/>
      <c r="K396" s="245"/>
      <c r="L396" s="245"/>
      <c r="N396" s="579"/>
      <c r="O396" s="579"/>
      <c r="P396" s="579"/>
      <c r="Q396" s="66"/>
      <c r="R396" s="66"/>
      <c r="S396" s="66"/>
    </row>
    <row r="397" spans="2:19" x14ac:dyDescent="0.2">
      <c r="B397" s="245"/>
      <c r="C397" s="245"/>
      <c r="D397" s="245"/>
      <c r="E397" s="245"/>
      <c r="F397" s="245"/>
      <c r="G397" s="579"/>
      <c r="H397" s="245"/>
      <c r="I397" s="245"/>
      <c r="J397" s="245"/>
      <c r="K397" s="245"/>
      <c r="L397" s="245"/>
      <c r="N397" s="579"/>
      <c r="O397" s="579"/>
      <c r="P397" s="579"/>
      <c r="Q397" s="66"/>
      <c r="R397" s="66"/>
      <c r="S397" s="66"/>
    </row>
    <row r="398" spans="2:19" x14ac:dyDescent="0.2">
      <c r="B398" s="245"/>
      <c r="C398" s="245"/>
      <c r="D398" s="245"/>
      <c r="E398" s="245"/>
      <c r="F398" s="245"/>
      <c r="G398" s="579"/>
      <c r="H398" s="245"/>
      <c r="I398" s="245"/>
      <c r="J398" s="245"/>
      <c r="K398" s="245"/>
      <c r="L398" s="245"/>
      <c r="N398" s="579"/>
      <c r="O398" s="579"/>
      <c r="P398" s="579"/>
      <c r="Q398" s="66"/>
      <c r="R398" s="66"/>
      <c r="S398" s="66"/>
    </row>
    <row r="399" spans="2:19" x14ac:dyDescent="0.2">
      <c r="B399" s="245"/>
      <c r="C399" s="245"/>
      <c r="D399" s="245"/>
      <c r="E399" s="245"/>
      <c r="F399" s="245"/>
      <c r="G399" s="579"/>
      <c r="H399" s="245"/>
      <c r="I399" s="245"/>
      <c r="J399" s="245"/>
      <c r="K399" s="245"/>
      <c r="L399" s="245"/>
      <c r="N399" s="579"/>
      <c r="O399" s="579"/>
      <c r="P399" s="579"/>
      <c r="Q399" s="66"/>
      <c r="R399" s="66"/>
      <c r="S399" s="66"/>
    </row>
    <row r="400" spans="2:19" x14ac:dyDescent="0.2">
      <c r="B400" s="245"/>
      <c r="C400" s="245"/>
      <c r="D400" s="245"/>
      <c r="E400" s="245"/>
      <c r="F400" s="245"/>
      <c r="G400" s="579"/>
      <c r="H400" s="245"/>
      <c r="I400" s="245"/>
      <c r="J400" s="245"/>
      <c r="K400" s="245"/>
      <c r="L400" s="245"/>
      <c r="N400" s="579"/>
      <c r="O400" s="579"/>
      <c r="P400" s="579"/>
      <c r="Q400" s="66"/>
      <c r="R400" s="66"/>
      <c r="S400" s="66"/>
    </row>
    <row r="401" spans="2:19" x14ac:dyDescent="0.2">
      <c r="B401" s="245"/>
      <c r="C401" s="245"/>
      <c r="D401" s="245"/>
      <c r="E401" s="245"/>
      <c r="F401" s="245"/>
      <c r="G401" s="579"/>
      <c r="H401" s="245"/>
      <c r="I401" s="245"/>
      <c r="J401" s="245"/>
      <c r="K401" s="245"/>
      <c r="L401" s="245"/>
      <c r="N401" s="579"/>
      <c r="O401" s="579"/>
      <c r="P401" s="579"/>
      <c r="Q401" s="66"/>
      <c r="R401" s="66"/>
      <c r="S401" s="66"/>
    </row>
    <row r="402" spans="2:19" x14ac:dyDescent="0.2">
      <c r="B402" s="245"/>
      <c r="C402" s="245"/>
      <c r="D402" s="245"/>
      <c r="E402" s="245"/>
      <c r="F402" s="245"/>
      <c r="G402" s="579"/>
      <c r="H402" s="245"/>
      <c r="I402" s="245"/>
      <c r="J402" s="245"/>
      <c r="K402" s="245"/>
      <c r="L402" s="245"/>
      <c r="N402" s="579"/>
      <c r="O402" s="579"/>
      <c r="P402" s="579"/>
      <c r="Q402" s="66"/>
      <c r="R402" s="66"/>
      <c r="S402" s="66"/>
    </row>
    <row r="403" spans="2:19" x14ac:dyDescent="0.2">
      <c r="B403" s="245"/>
      <c r="C403" s="245"/>
      <c r="D403" s="245"/>
      <c r="E403" s="245"/>
      <c r="F403" s="245"/>
      <c r="G403" s="579"/>
      <c r="H403" s="245"/>
      <c r="I403" s="245"/>
      <c r="J403" s="245"/>
      <c r="K403" s="245"/>
      <c r="L403" s="245"/>
      <c r="N403" s="579"/>
      <c r="O403" s="579"/>
      <c r="P403" s="579"/>
      <c r="Q403" s="66"/>
      <c r="R403" s="66"/>
      <c r="S403" s="66"/>
    </row>
    <row r="404" spans="2:19" x14ac:dyDescent="0.2">
      <c r="B404" s="245"/>
      <c r="C404" s="245"/>
      <c r="D404" s="245"/>
      <c r="E404" s="245"/>
      <c r="F404" s="245"/>
      <c r="G404" s="579"/>
      <c r="H404" s="245"/>
      <c r="I404" s="245"/>
      <c r="J404" s="245"/>
      <c r="K404" s="245"/>
      <c r="L404" s="245"/>
      <c r="N404" s="579"/>
      <c r="O404" s="579"/>
      <c r="P404" s="579"/>
      <c r="Q404" s="66"/>
      <c r="R404" s="66"/>
      <c r="S404" s="66"/>
    </row>
    <row r="405" spans="2:19" x14ac:dyDescent="0.2">
      <c r="B405" s="245"/>
      <c r="C405" s="245"/>
      <c r="D405" s="245"/>
      <c r="E405" s="245"/>
      <c r="F405" s="245"/>
      <c r="G405" s="579"/>
      <c r="H405" s="245"/>
      <c r="I405" s="245"/>
      <c r="J405" s="245"/>
      <c r="K405" s="245"/>
      <c r="L405" s="245"/>
      <c r="N405" s="579"/>
      <c r="O405" s="579"/>
      <c r="P405" s="579"/>
      <c r="Q405" s="66"/>
      <c r="R405" s="66"/>
      <c r="S405" s="66"/>
    </row>
    <row r="406" spans="2:19" x14ac:dyDescent="0.2">
      <c r="B406" s="245"/>
      <c r="C406" s="245"/>
      <c r="D406" s="245"/>
      <c r="E406" s="245"/>
      <c r="F406" s="245"/>
      <c r="G406" s="579"/>
      <c r="H406" s="245"/>
      <c r="I406" s="245"/>
      <c r="J406" s="245"/>
      <c r="K406" s="245"/>
      <c r="L406" s="245"/>
      <c r="N406" s="579"/>
      <c r="O406" s="579"/>
      <c r="P406" s="579"/>
      <c r="Q406" s="66"/>
      <c r="R406" s="66"/>
      <c r="S406" s="66"/>
    </row>
    <row r="407" spans="2:19" x14ac:dyDescent="0.2">
      <c r="B407" s="245"/>
      <c r="C407" s="245"/>
      <c r="D407" s="245"/>
      <c r="E407" s="245"/>
      <c r="F407" s="245"/>
      <c r="G407" s="579"/>
      <c r="H407" s="245"/>
      <c r="I407" s="245"/>
      <c r="J407" s="245"/>
      <c r="K407" s="245"/>
      <c r="L407" s="245"/>
      <c r="N407" s="579"/>
      <c r="O407" s="579"/>
      <c r="P407" s="579"/>
      <c r="Q407" s="66"/>
      <c r="R407" s="66"/>
      <c r="S407" s="66"/>
    </row>
    <row r="408" spans="2:19" x14ac:dyDescent="0.2">
      <c r="B408" s="245"/>
      <c r="C408" s="245"/>
      <c r="D408" s="245"/>
      <c r="E408" s="245"/>
      <c r="F408" s="245"/>
      <c r="G408" s="579"/>
      <c r="H408" s="245"/>
      <c r="I408" s="245"/>
      <c r="J408" s="245"/>
      <c r="K408" s="245"/>
      <c r="L408" s="245"/>
      <c r="N408" s="579"/>
      <c r="O408" s="579"/>
      <c r="P408" s="579"/>
      <c r="Q408" s="66"/>
      <c r="R408" s="66"/>
      <c r="S408" s="66"/>
    </row>
    <row r="409" spans="2:19" x14ac:dyDescent="0.2">
      <c r="B409" s="245"/>
      <c r="C409" s="245"/>
      <c r="D409" s="245"/>
      <c r="E409" s="245"/>
      <c r="F409" s="245"/>
      <c r="G409" s="579"/>
      <c r="H409" s="245"/>
      <c r="I409" s="245"/>
      <c r="J409" s="245"/>
      <c r="K409" s="245"/>
      <c r="L409" s="245"/>
      <c r="N409" s="579"/>
      <c r="O409" s="579"/>
      <c r="P409" s="579"/>
      <c r="Q409" s="66"/>
      <c r="R409" s="66"/>
      <c r="S409" s="66"/>
    </row>
    <row r="410" spans="2:19" x14ac:dyDescent="0.2">
      <c r="B410" s="245"/>
      <c r="C410" s="245"/>
      <c r="D410" s="245"/>
      <c r="E410" s="245"/>
      <c r="F410" s="245"/>
      <c r="G410" s="579"/>
      <c r="H410" s="245"/>
      <c r="I410" s="245"/>
      <c r="J410" s="245"/>
      <c r="K410" s="245"/>
      <c r="L410" s="245"/>
      <c r="N410" s="579"/>
      <c r="O410" s="579"/>
      <c r="P410" s="579"/>
      <c r="Q410" s="66"/>
      <c r="R410" s="66"/>
      <c r="S410" s="66"/>
    </row>
    <row r="411" spans="2:19" x14ac:dyDescent="0.2">
      <c r="B411" s="245"/>
      <c r="C411" s="245"/>
      <c r="D411" s="245"/>
      <c r="E411" s="245"/>
      <c r="F411" s="245"/>
      <c r="G411" s="579"/>
      <c r="H411" s="245"/>
      <c r="I411" s="245"/>
      <c r="J411" s="245"/>
      <c r="K411" s="245"/>
      <c r="L411" s="245"/>
      <c r="N411" s="579"/>
      <c r="O411" s="579"/>
      <c r="P411" s="579"/>
      <c r="Q411" s="66"/>
      <c r="R411" s="66"/>
      <c r="S411" s="66"/>
    </row>
    <row r="412" spans="2:19" x14ac:dyDescent="0.2">
      <c r="B412" s="245"/>
      <c r="C412" s="245"/>
      <c r="D412" s="245"/>
      <c r="E412" s="245"/>
      <c r="F412" s="245"/>
      <c r="G412" s="579"/>
      <c r="H412" s="245"/>
      <c r="I412" s="245"/>
      <c r="J412" s="245"/>
      <c r="K412" s="245"/>
      <c r="L412" s="245"/>
      <c r="N412" s="579"/>
      <c r="O412" s="579"/>
      <c r="P412" s="579"/>
      <c r="Q412" s="66"/>
      <c r="R412" s="66"/>
      <c r="S412" s="66"/>
    </row>
    <row r="413" spans="2:19" x14ac:dyDescent="0.2">
      <c r="B413" s="245"/>
      <c r="C413" s="245"/>
      <c r="D413" s="245"/>
      <c r="E413" s="245"/>
      <c r="F413" s="245"/>
      <c r="G413" s="579"/>
      <c r="H413" s="245"/>
      <c r="I413" s="245"/>
      <c r="J413" s="245"/>
      <c r="K413" s="245"/>
      <c r="L413" s="245"/>
      <c r="N413" s="579"/>
      <c r="O413" s="579"/>
      <c r="P413" s="579"/>
      <c r="Q413" s="66"/>
      <c r="R413" s="66"/>
      <c r="S413" s="66"/>
    </row>
    <row r="414" spans="2:19" x14ac:dyDescent="0.2">
      <c r="B414" s="245"/>
      <c r="C414" s="245"/>
      <c r="D414" s="245"/>
      <c r="E414" s="245"/>
      <c r="F414" s="245"/>
      <c r="G414" s="579"/>
      <c r="H414" s="245"/>
      <c r="I414" s="245"/>
      <c r="J414" s="245"/>
      <c r="K414" s="245"/>
      <c r="L414" s="245"/>
      <c r="N414" s="579"/>
      <c r="O414" s="579"/>
      <c r="P414" s="579"/>
      <c r="Q414" s="66"/>
      <c r="R414" s="66"/>
      <c r="S414" s="66"/>
    </row>
    <row r="415" spans="2:19" x14ac:dyDescent="0.2">
      <c r="B415" s="245"/>
      <c r="C415" s="245"/>
      <c r="D415" s="245"/>
      <c r="E415" s="245"/>
      <c r="F415" s="245"/>
      <c r="G415" s="579"/>
      <c r="H415" s="245"/>
      <c r="I415" s="245"/>
      <c r="J415" s="245"/>
      <c r="K415" s="245"/>
      <c r="L415" s="245"/>
      <c r="N415" s="579"/>
      <c r="O415" s="579"/>
      <c r="P415" s="579"/>
      <c r="Q415" s="66"/>
      <c r="R415" s="66"/>
      <c r="S415" s="66"/>
    </row>
    <row r="416" spans="2:19" x14ac:dyDescent="0.2">
      <c r="B416" s="245"/>
      <c r="C416" s="245"/>
      <c r="D416" s="245"/>
      <c r="E416" s="245"/>
      <c r="F416" s="245"/>
      <c r="G416" s="579"/>
      <c r="H416" s="245"/>
      <c r="I416" s="245"/>
      <c r="J416" s="245"/>
      <c r="K416" s="245"/>
      <c r="L416" s="245"/>
      <c r="N416" s="579"/>
      <c r="O416" s="579"/>
      <c r="P416" s="579"/>
      <c r="Q416" s="66"/>
      <c r="R416" s="66"/>
      <c r="S416" s="66"/>
    </row>
    <row r="417" spans="2:19" x14ac:dyDescent="0.2">
      <c r="B417" s="245"/>
      <c r="C417" s="245"/>
      <c r="D417" s="245"/>
      <c r="E417" s="245"/>
      <c r="F417" s="245"/>
      <c r="G417" s="579"/>
      <c r="H417" s="245"/>
      <c r="I417" s="245"/>
      <c r="J417" s="245"/>
      <c r="K417" s="245"/>
      <c r="L417" s="245"/>
      <c r="N417" s="579"/>
      <c r="O417" s="579"/>
      <c r="P417" s="579"/>
      <c r="Q417" s="66"/>
      <c r="R417" s="66"/>
      <c r="S417" s="66"/>
    </row>
    <row r="418" spans="2:19" x14ac:dyDescent="0.2">
      <c r="B418" s="245"/>
      <c r="C418" s="245"/>
      <c r="D418" s="245"/>
      <c r="E418" s="245"/>
      <c r="F418" s="245"/>
      <c r="G418" s="579"/>
      <c r="H418" s="245"/>
      <c r="I418" s="245"/>
      <c r="J418" s="245"/>
      <c r="K418" s="245"/>
      <c r="L418" s="245"/>
      <c r="N418" s="579"/>
      <c r="O418" s="579"/>
      <c r="P418" s="579"/>
      <c r="Q418" s="66"/>
      <c r="R418" s="66"/>
      <c r="S418" s="66"/>
    </row>
    <row r="419" spans="2:19" x14ac:dyDescent="0.2">
      <c r="B419" s="245"/>
      <c r="C419" s="245"/>
      <c r="D419" s="245"/>
      <c r="E419" s="245"/>
      <c r="F419" s="245"/>
      <c r="G419" s="579"/>
      <c r="H419" s="245"/>
      <c r="I419" s="245"/>
      <c r="J419" s="245"/>
      <c r="K419" s="245"/>
      <c r="L419" s="245"/>
      <c r="N419" s="579"/>
      <c r="O419" s="579"/>
      <c r="P419" s="579"/>
      <c r="Q419" s="66"/>
      <c r="R419" s="66"/>
      <c r="S419" s="66"/>
    </row>
    <row r="420" spans="2:19" x14ac:dyDescent="0.2">
      <c r="B420" s="245"/>
      <c r="C420" s="245"/>
      <c r="D420" s="245"/>
      <c r="E420" s="245"/>
      <c r="F420" s="245"/>
      <c r="G420" s="579"/>
      <c r="H420" s="245"/>
      <c r="I420" s="245"/>
      <c r="J420" s="245"/>
      <c r="K420" s="245"/>
      <c r="L420" s="245"/>
      <c r="N420" s="579"/>
      <c r="O420" s="579"/>
      <c r="P420" s="579"/>
      <c r="Q420" s="66"/>
      <c r="R420" s="66"/>
      <c r="S420" s="66"/>
    </row>
    <row r="421" spans="2:19" x14ac:dyDescent="0.2">
      <c r="B421" s="245"/>
      <c r="C421" s="245"/>
      <c r="D421" s="245"/>
      <c r="E421" s="245"/>
      <c r="F421" s="245"/>
      <c r="G421" s="579"/>
      <c r="H421" s="245"/>
      <c r="I421" s="245"/>
      <c r="J421" s="245"/>
      <c r="K421" s="245"/>
      <c r="L421" s="245"/>
      <c r="N421" s="579"/>
      <c r="O421" s="579"/>
      <c r="P421" s="579"/>
      <c r="Q421" s="66"/>
      <c r="R421" s="66"/>
      <c r="S421" s="66"/>
    </row>
    <row r="422" spans="2:19" x14ac:dyDescent="0.2">
      <c r="B422" s="245"/>
      <c r="C422" s="245"/>
      <c r="D422" s="245"/>
      <c r="E422" s="245"/>
      <c r="F422" s="245"/>
      <c r="G422" s="579"/>
      <c r="H422" s="245"/>
      <c r="I422" s="245"/>
      <c r="J422" s="245"/>
      <c r="K422" s="245"/>
      <c r="L422" s="245"/>
      <c r="N422" s="579"/>
      <c r="O422" s="579"/>
      <c r="P422" s="579"/>
      <c r="Q422" s="66"/>
      <c r="R422" s="66"/>
      <c r="S422" s="66"/>
    </row>
    <row r="423" spans="2:19" x14ac:dyDescent="0.2">
      <c r="B423" s="245"/>
      <c r="C423" s="245"/>
      <c r="D423" s="245"/>
      <c r="E423" s="245"/>
      <c r="F423" s="245"/>
      <c r="G423" s="579"/>
      <c r="H423" s="245"/>
      <c r="I423" s="245"/>
      <c r="J423" s="245"/>
      <c r="K423" s="245"/>
      <c r="L423" s="245"/>
      <c r="N423" s="579"/>
      <c r="O423" s="579"/>
      <c r="P423" s="579"/>
      <c r="Q423" s="66"/>
      <c r="R423" s="66"/>
      <c r="S423" s="66"/>
    </row>
    <row r="424" spans="2:19" x14ac:dyDescent="0.2">
      <c r="B424" s="245"/>
      <c r="C424" s="245"/>
      <c r="D424" s="245"/>
      <c r="E424" s="245"/>
      <c r="F424" s="245"/>
      <c r="G424" s="579"/>
      <c r="H424" s="245"/>
      <c r="I424" s="245"/>
      <c r="J424" s="245"/>
      <c r="K424" s="245"/>
      <c r="L424" s="245"/>
      <c r="N424" s="579"/>
      <c r="O424" s="579"/>
      <c r="P424" s="579"/>
      <c r="Q424" s="66"/>
      <c r="R424" s="66"/>
      <c r="S424" s="66"/>
    </row>
    <row r="425" spans="2:19" x14ac:dyDescent="0.2">
      <c r="B425" s="245"/>
      <c r="C425" s="245"/>
      <c r="D425" s="245"/>
      <c r="E425" s="245"/>
      <c r="F425" s="245"/>
      <c r="G425" s="579"/>
      <c r="H425" s="245"/>
      <c r="I425" s="245"/>
      <c r="J425" s="245"/>
      <c r="K425" s="245"/>
      <c r="L425" s="245"/>
      <c r="N425" s="579"/>
      <c r="O425" s="579"/>
      <c r="P425" s="579"/>
      <c r="Q425" s="66"/>
      <c r="R425" s="66"/>
      <c r="S425" s="66"/>
    </row>
    <row r="426" spans="2:19" x14ac:dyDescent="0.2">
      <c r="B426" s="245"/>
      <c r="C426" s="245"/>
      <c r="D426" s="245"/>
      <c r="E426" s="245"/>
      <c r="F426" s="245"/>
      <c r="G426" s="579"/>
      <c r="H426" s="245"/>
      <c r="I426" s="245"/>
      <c r="J426" s="245"/>
      <c r="K426" s="245"/>
      <c r="L426" s="245"/>
      <c r="N426" s="579"/>
      <c r="O426" s="579"/>
      <c r="P426" s="579"/>
      <c r="Q426" s="66"/>
      <c r="R426" s="66"/>
      <c r="S426" s="66"/>
    </row>
    <row r="427" spans="2:19" x14ac:dyDescent="0.2">
      <c r="B427" s="245"/>
      <c r="C427" s="245"/>
      <c r="D427" s="245"/>
      <c r="E427" s="245"/>
      <c r="F427" s="245"/>
      <c r="G427" s="579"/>
      <c r="H427" s="245"/>
      <c r="I427" s="245"/>
      <c r="J427" s="245"/>
      <c r="K427" s="245"/>
      <c r="L427" s="245"/>
      <c r="N427" s="579"/>
      <c r="O427" s="579"/>
      <c r="P427" s="579"/>
      <c r="Q427" s="66"/>
      <c r="R427" s="66"/>
      <c r="S427" s="66"/>
    </row>
    <row r="428" spans="2:19" x14ac:dyDescent="0.2">
      <c r="B428" s="245"/>
      <c r="C428" s="245"/>
      <c r="D428" s="245"/>
      <c r="E428" s="245"/>
      <c r="F428" s="245"/>
      <c r="G428" s="579"/>
      <c r="H428" s="245"/>
      <c r="I428" s="245"/>
      <c r="J428" s="245"/>
      <c r="K428" s="245"/>
      <c r="L428" s="245"/>
      <c r="N428" s="579"/>
      <c r="O428" s="579"/>
      <c r="P428" s="579"/>
      <c r="Q428" s="66"/>
      <c r="R428" s="66"/>
      <c r="S428" s="66"/>
    </row>
    <row r="429" spans="2:19" x14ac:dyDescent="0.2">
      <c r="B429" s="245"/>
      <c r="C429" s="245"/>
      <c r="D429" s="245"/>
      <c r="E429" s="245"/>
      <c r="F429" s="245"/>
      <c r="G429" s="579"/>
      <c r="H429" s="245"/>
      <c r="I429" s="245"/>
      <c r="J429" s="245"/>
      <c r="K429" s="245"/>
      <c r="L429" s="245"/>
      <c r="N429" s="579"/>
      <c r="O429" s="579"/>
      <c r="P429" s="579"/>
      <c r="Q429" s="66"/>
      <c r="R429" s="66"/>
      <c r="S429" s="66"/>
    </row>
    <row r="430" spans="2:19" x14ac:dyDescent="0.2">
      <c r="B430" s="245"/>
      <c r="C430" s="245"/>
      <c r="D430" s="245"/>
      <c r="E430" s="245"/>
      <c r="F430" s="245"/>
      <c r="G430" s="579"/>
      <c r="H430" s="245"/>
      <c r="I430" s="245"/>
      <c r="J430" s="245"/>
      <c r="K430" s="245"/>
      <c r="L430" s="245"/>
      <c r="N430" s="579"/>
      <c r="O430" s="579"/>
      <c r="P430" s="579"/>
      <c r="Q430" s="66"/>
      <c r="R430" s="66"/>
      <c r="S430" s="66"/>
    </row>
    <row r="431" spans="2:19" x14ac:dyDescent="0.2">
      <c r="B431" s="245"/>
      <c r="C431" s="245"/>
      <c r="D431" s="245"/>
      <c r="E431" s="245"/>
      <c r="F431" s="245"/>
      <c r="G431" s="579"/>
      <c r="H431" s="245"/>
      <c r="I431" s="245"/>
      <c r="J431" s="245"/>
      <c r="K431" s="245"/>
      <c r="L431" s="245"/>
      <c r="N431" s="579"/>
      <c r="O431" s="579"/>
      <c r="P431" s="579"/>
      <c r="Q431" s="66"/>
      <c r="R431" s="66"/>
      <c r="S431" s="66"/>
    </row>
    <row r="432" spans="2:19" x14ac:dyDescent="0.2">
      <c r="B432" s="245"/>
      <c r="C432" s="245"/>
      <c r="D432" s="245"/>
      <c r="E432" s="245"/>
      <c r="F432" s="245"/>
      <c r="G432" s="579"/>
      <c r="H432" s="245"/>
      <c r="I432" s="245"/>
      <c r="J432" s="245"/>
      <c r="K432" s="245"/>
      <c r="L432" s="245"/>
      <c r="N432" s="579"/>
      <c r="O432" s="579"/>
      <c r="P432" s="579"/>
      <c r="Q432" s="66"/>
      <c r="R432" s="66"/>
      <c r="S432" s="66"/>
    </row>
    <row r="433" spans="2:19" x14ac:dyDescent="0.2">
      <c r="B433" s="245"/>
      <c r="C433" s="245"/>
      <c r="D433" s="245"/>
      <c r="E433" s="245"/>
      <c r="F433" s="245"/>
      <c r="G433" s="579"/>
      <c r="H433" s="245"/>
      <c r="I433" s="245"/>
      <c r="J433" s="245"/>
      <c r="K433" s="245"/>
      <c r="L433" s="245"/>
      <c r="N433" s="579"/>
      <c r="O433" s="579"/>
      <c r="P433" s="579"/>
      <c r="Q433" s="66"/>
      <c r="R433" s="66"/>
      <c r="S433" s="66"/>
    </row>
    <row r="434" spans="2:19" x14ac:dyDescent="0.2">
      <c r="B434" s="245"/>
      <c r="C434" s="245"/>
      <c r="D434" s="245"/>
      <c r="E434" s="245"/>
      <c r="F434" s="245"/>
      <c r="G434" s="579"/>
      <c r="H434" s="245"/>
      <c r="I434" s="245"/>
      <c r="J434" s="245"/>
      <c r="K434" s="245"/>
      <c r="L434" s="245"/>
      <c r="N434" s="579"/>
      <c r="O434" s="579"/>
      <c r="P434" s="579"/>
      <c r="Q434" s="66"/>
      <c r="R434" s="66"/>
      <c r="S434" s="66"/>
    </row>
    <row r="435" spans="2:19" x14ac:dyDescent="0.2">
      <c r="B435" s="245"/>
      <c r="C435" s="245"/>
      <c r="D435" s="245"/>
      <c r="E435" s="245"/>
      <c r="F435" s="245"/>
      <c r="G435" s="579"/>
      <c r="H435" s="245"/>
      <c r="I435" s="245"/>
      <c r="J435" s="245"/>
      <c r="K435" s="245"/>
      <c r="L435" s="245"/>
      <c r="N435" s="579"/>
      <c r="O435" s="579"/>
      <c r="P435" s="579"/>
      <c r="Q435" s="66"/>
      <c r="R435" s="66"/>
      <c r="S435" s="66"/>
    </row>
    <row r="436" spans="2:19" x14ac:dyDescent="0.2">
      <c r="B436" s="245"/>
      <c r="C436" s="245"/>
      <c r="D436" s="245"/>
      <c r="E436" s="245"/>
      <c r="F436" s="245"/>
      <c r="G436" s="579"/>
      <c r="H436" s="245"/>
      <c r="I436" s="245"/>
      <c r="J436" s="245"/>
      <c r="K436" s="245"/>
      <c r="L436" s="245"/>
      <c r="N436" s="579"/>
      <c r="O436" s="579"/>
      <c r="P436" s="579"/>
      <c r="Q436" s="66"/>
      <c r="R436" s="66"/>
      <c r="S436" s="66"/>
    </row>
    <row r="437" spans="2:19" x14ac:dyDescent="0.2">
      <c r="B437" s="245"/>
      <c r="C437" s="245"/>
      <c r="D437" s="245"/>
      <c r="E437" s="245"/>
      <c r="F437" s="245"/>
      <c r="G437" s="579"/>
      <c r="H437" s="245"/>
      <c r="I437" s="245"/>
      <c r="J437" s="245"/>
      <c r="K437" s="245"/>
      <c r="L437" s="245"/>
      <c r="N437" s="579"/>
      <c r="O437" s="579"/>
      <c r="P437" s="579"/>
      <c r="Q437" s="66"/>
      <c r="R437" s="66"/>
      <c r="S437" s="66"/>
    </row>
    <row r="438" spans="2:19" x14ac:dyDescent="0.2">
      <c r="B438" s="245"/>
      <c r="C438" s="245"/>
      <c r="D438" s="245"/>
      <c r="E438" s="245"/>
      <c r="F438" s="245"/>
      <c r="G438" s="579"/>
      <c r="H438" s="245"/>
      <c r="I438" s="245"/>
      <c r="J438" s="245"/>
      <c r="K438" s="245"/>
      <c r="L438" s="245"/>
      <c r="N438" s="579"/>
      <c r="O438" s="579"/>
      <c r="P438" s="579"/>
      <c r="Q438" s="66"/>
      <c r="R438" s="66"/>
      <c r="S438" s="66"/>
    </row>
    <row r="439" spans="2:19" x14ac:dyDescent="0.2">
      <c r="B439" s="245"/>
      <c r="C439" s="245"/>
      <c r="D439" s="245"/>
      <c r="E439" s="245"/>
      <c r="F439" s="245"/>
      <c r="G439" s="579"/>
      <c r="H439" s="245"/>
      <c r="I439" s="245"/>
      <c r="J439" s="245"/>
      <c r="K439" s="245"/>
      <c r="L439" s="245"/>
      <c r="N439" s="579"/>
      <c r="O439" s="579"/>
      <c r="P439" s="579"/>
      <c r="Q439" s="66"/>
      <c r="R439" s="66"/>
      <c r="S439" s="66"/>
    </row>
    <row r="440" spans="2:19" x14ac:dyDescent="0.2">
      <c r="B440" s="245"/>
      <c r="C440" s="245"/>
      <c r="D440" s="245"/>
      <c r="E440" s="245"/>
      <c r="F440" s="245"/>
      <c r="G440" s="579"/>
      <c r="H440" s="245"/>
      <c r="I440" s="245"/>
      <c r="J440" s="245"/>
      <c r="K440" s="245"/>
      <c r="L440" s="245"/>
      <c r="N440" s="579"/>
      <c r="O440" s="579"/>
      <c r="P440" s="579"/>
      <c r="Q440" s="66"/>
      <c r="R440" s="66"/>
      <c r="S440" s="66"/>
    </row>
    <row r="441" spans="2:19" x14ac:dyDescent="0.2">
      <c r="B441" s="245"/>
      <c r="C441" s="245"/>
      <c r="D441" s="245"/>
      <c r="E441" s="245"/>
      <c r="F441" s="245"/>
      <c r="G441" s="579"/>
      <c r="H441" s="245"/>
      <c r="I441" s="245"/>
      <c r="J441" s="245"/>
      <c r="K441" s="245"/>
      <c r="L441" s="245"/>
      <c r="N441" s="579"/>
      <c r="O441" s="579"/>
      <c r="P441" s="579"/>
      <c r="Q441" s="66"/>
      <c r="R441" s="66"/>
      <c r="S441" s="66"/>
    </row>
    <row r="442" spans="2:19" x14ac:dyDescent="0.2">
      <c r="B442" s="245"/>
      <c r="C442" s="245"/>
      <c r="D442" s="245"/>
      <c r="E442" s="245"/>
      <c r="F442" s="245"/>
      <c r="G442" s="579"/>
      <c r="H442" s="245"/>
      <c r="I442" s="245"/>
      <c r="J442" s="245"/>
      <c r="K442" s="245"/>
      <c r="L442" s="245"/>
      <c r="N442" s="579"/>
      <c r="O442" s="579"/>
      <c r="P442" s="579"/>
      <c r="Q442" s="66"/>
      <c r="R442" s="66"/>
      <c r="S442" s="66"/>
    </row>
    <row r="443" spans="2:19" x14ac:dyDescent="0.2">
      <c r="B443" s="245"/>
      <c r="C443" s="245"/>
      <c r="D443" s="245"/>
      <c r="E443" s="245"/>
      <c r="F443" s="245"/>
      <c r="G443" s="579"/>
      <c r="H443" s="245"/>
      <c r="I443" s="245"/>
      <c r="J443" s="245"/>
      <c r="K443" s="245"/>
      <c r="L443" s="245"/>
      <c r="N443" s="579"/>
      <c r="O443" s="579"/>
      <c r="P443" s="579"/>
      <c r="Q443" s="66"/>
      <c r="R443" s="66"/>
      <c r="S443" s="66"/>
    </row>
    <row r="444" spans="2:19" x14ac:dyDescent="0.2">
      <c r="B444" s="245"/>
      <c r="C444" s="245"/>
      <c r="D444" s="245"/>
      <c r="E444" s="245"/>
      <c r="F444" s="245"/>
      <c r="G444" s="579"/>
      <c r="H444" s="245"/>
      <c r="I444" s="245"/>
      <c r="J444" s="245"/>
      <c r="K444" s="245"/>
      <c r="L444" s="245"/>
      <c r="N444" s="579"/>
      <c r="O444" s="579"/>
      <c r="P444" s="579"/>
      <c r="Q444" s="66"/>
      <c r="R444" s="66"/>
      <c r="S444" s="66"/>
    </row>
    <row r="445" spans="2:19" x14ac:dyDescent="0.2">
      <c r="B445" s="245"/>
      <c r="C445" s="245"/>
      <c r="D445" s="245"/>
      <c r="E445" s="245"/>
      <c r="F445" s="245"/>
      <c r="G445" s="579"/>
      <c r="H445" s="245"/>
      <c r="I445" s="245"/>
      <c r="J445" s="245"/>
      <c r="K445" s="245"/>
      <c r="L445" s="245"/>
      <c r="N445" s="579"/>
      <c r="O445" s="579"/>
      <c r="P445" s="579"/>
      <c r="Q445" s="66"/>
      <c r="R445" s="66"/>
      <c r="S445" s="66"/>
    </row>
    <row r="446" spans="2:19" x14ac:dyDescent="0.2">
      <c r="B446" s="245"/>
      <c r="C446" s="245"/>
      <c r="D446" s="245"/>
      <c r="E446" s="245"/>
      <c r="F446" s="245"/>
      <c r="G446" s="579"/>
      <c r="H446" s="245"/>
      <c r="I446" s="245"/>
      <c r="J446" s="245"/>
      <c r="K446" s="245"/>
      <c r="L446" s="245"/>
      <c r="N446" s="579"/>
      <c r="O446" s="579"/>
      <c r="P446" s="579"/>
      <c r="Q446" s="66"/>
      <c r="R446" s="66"/>
      <c r="S446" s="66"/>
    </row>
    <row r="447" spans="2:19" x14ac:dyDescent="0.2">
      <c r="B447" s="245"/>
      <c r="C447" s="245"/>
      <c r="D447" s="245"/>
      <c r="E447" s="245"/>
      <c r="F447" s="245"/>
      <c r="G447" s="579"/>
      <c r="H447" s="245"/>
      <c r="I447" s="245"/>
      <c r="J447" s="245"/>
      <c r="K447" s="245"/>
      <c r="L447" s="245"/>
      <c r="N447" s="579"/>
      <c r="O447" s="579"/>
      <c r="P447" s="579"/>
      <c r="Q447" s="66"/>
      <c r="R447" s="66"/>
      <c r="S447" s="66"/>
    </row>
    <row r="448" spans="2:19" x14ac:dyDescent="0.2">
      <c r="B448" s="245"/>
      <c r="C448" s="245"/>
      <c r="D448" s="245"/>
      <c r="E448" s="245"/>
      <c r="F448" s="245"/>
      <c r="G448" s="579"/>
      <c r="H448" s="245"/>
      <c r="I448" s="245"/>
      <c r="J448" s="245"/>
      <c r="K448" s="245"/>
      <c r="L448" s="245"/>
      <c r="N448" s="579"/>
      <c r="O448" s="579"/>
      <c r="P448" s="579"/>
      <c r="Q448" s="66"/>
      <c r="R448" s="66"/>
      <c r="S448" s="66"/>
    </row>
    <row r="449" spans="2:19" x14ac:dyDescent="0.2">
      <c r="B449" s="245"/>
      <c r="C449" s="245"/>
      <c r="D449" s="245"/>
      <c r="E449" s="245"/>
      <c r="F449" s="245"/>
      <c r="G449" s="579"/>
      <c r="H449" s="245"/>
      <c r="I449" s="245"/>
      <c r="J449" s="245"/>
      <c r="K449" s="245"/>
      <c r="L449" s="245"/>
      <c r="N449" s="579"/>
      <c r="O449" s="579"/>
      <c r="P449" s="579"/>
      <c r="Q449" s="66"/>
      <c r="R449" s="66"/>
      <c r="S449" s="66"/>
    </row>
    <row r="450" spans="2:19" x14ac:dyDescent="0.2">
      <c r="B450" s="245"/>
      <c r="C450" s="245"/>
      <c r="D450" s="245"/>
      <c r="E450" s="245"/>
      <c r="F450" s="245"/>
      <c r="G450" s="579"/>
      <c r="H450" s="245"/>
      <c r="I450" s="245"/>
      <c r="J450" s="245"/>
      <c r="K450" s="245"/>
      <c r="L450" s="245"/>
      <c r="N450" s="579"/>
      <c r="O450" s="579"/>
      <c r="P450" s="579"/>
      <c r="Q450" s="66"/>
      <c r="R450" s="66"/>
      <c r="S450" s="66"/>
    </row>
    <row r="451" spans="2:19" x14ac:dyDescent="0.2">
      <c r="B451" s="245"/>
      <c r="C451" s="245"/>
      <c r="D451" s="245"/>
      <c r="E451" s="245"/>
      <c r="F451" s="245"/>
      <c r="G451" s="579"/>
      <c r="H451" s="245"/>
      <c r="I451" s="245"/>
      <c r="J451" s="245"/>
      <c r="K451" s="245"/>
      <c r="L451" s="245"/>
      <c r="N451" s="579"/>
      <c r="O451" s="579"/>
      <c r="P451" s="579"/>
      <c r="Q451" s="66"/>
      <c r="R451" s="66"/>
      <c r="S451" s="66"/>
    </row>
    <row r="452" spans="2:19" x14ac:dyDescent="0.2">
      <c r="B452" s="245"/>
      <c r="C452" s="245"/>
      <c r="D452" s="245"/>
      <c r="E452" s="245"/>
      <c r="F452" s="245"/>
      <c r="G452" s="579"/>
      <c r="H452" s="245"/>
      <c r="I452" s="245"/>
      <c r="J452" s="245"/>
      <c r="K452" s="245"/>
      <c r="L452" s="245"/>
      <c r="N452" s="579"/>
      <c r="O452" s="579"/>
      <c r="P452" s="579"/>
      <c r="Q452" s="66"/>
      <c r="R452" s="66"/>
      <c r="S452" s="66"/>
    </row>
    <row r="453" spans="2:19" x14ac:dyDescent="0.2">
      <c r="B453" s="245"/>
      <c r="C453" s="245"/>
      <c r="D453" s="245"/>
      <c r="E453" s="245"/>
      <c r="F453" s="245"/>
      <c r="G453" s="579"/>
      <c r="H453" s="245"/>
      <c r="I453" s="245"/>
      <c r="J453" s="245"/>
      <c r="K453" s="245"/>
      <c r="L453" s="245"/>
      <c r="N453" s="579"/>
      <c r="O453" s="579"/>
      <c r="P453" s="579"/>
      <c r="Q453" s="66"/>
      <c r="R453" s="66"/>
      <c r="S453" s="66"/>
    </row>
    <row r="454" spans="2:19" x14ac:dyDescent="0.2">
      <c r="B454" s="245"/>
      <c r="C454" s="245"/>
      <c r="D454" s="245"/>
      <c r="E454" s="245"/>
      <c r="F454" s="245"/>
      <c r="G454" s="579"/>
      <c r="H454" s="245"/>
      <c r="I454" s="245"/>
      <c r="J454" s="245"/>
      <c r="K454" s="245"/>
      <c r="L454" s="245"/>
      <c r="N454" s="579"/>
      <c r="O454" s="579"/>
      <c r="P454" s="579"/>
      <c r="Q454" s="66"/>
      <c r="R454" s="66"/>
      <c r="S454" s="66"/>
    </row>
    <row r="455" spans="2:19" x14ac:dyDescent="0.2">
      <c r="B455" s="245"/>
      <c r="C455" s="245"/>
      <c r="D455" s="245"/>
      <c r="E455" s="245"/>
      <c r="F455" s="245"/>
      <c r="G455" s="579"/>
      <c r="H455" s="245"/>
      <c r="I455" s="245"/>
      <c r="J455" s="245"/>
      <c r="K455" s="245"/>
      <c r="L455" s="245"/>
      <c r="N455" s="579"/>
      <c r="O455" s="579"/>
      <c r="P455" s="579"/>
      <c r="Q455" s="66"/>
      <c r="R455" s="66"/>
      <c r="S455" s="66"/>
    </row>
    <row r="456" spans="2:19" x14ac:dyDescent="0.2">
      <c r="B456" s="245"/>
      <c r="C456" s="245"/>
      <c r="D456" s="245"/>
      <c r="E456" s="245"/>
      <c r="F456" s="245"/>
      <c r="G456" s="579"/>
      <c r="H456" s="245"/>
      <c r="I456" s="245"/>
      <c r="J456" s="245"/>
      <c r="K456" s="245"/>
      <c r="L456" s="245"/>
      <c r="N456" s="579"/>
      <c r="O456" s="579"/>
      <c r="P456" s="579"/>
      <c r="Q456" s="66"/>
      <c r="R456" s="66"/>
      <c r="S456" s="66"/>
    </row>
    <row r="457" spans="2:19" x14ac:dyDescent="0.2">
      <c r="B457" s="245"/>
      <c r="C457" s="245"/>
      <c r="D457" s="245"/>
      <c r="E457" s="245"/>
      <c r="F457" s="245"/>
      <c r="G457" s="579"/>
      <c r="H457" s="245"/>
      <c r="I457" s="245"/>
      <c r="J457" s="245"/>
      <c r="K457" s="245"/>
      <c r="L457" s="245"/>
      <c r="N457" s="579"/>
      <c r="O457" s="579"/>
      <c r="P457" s="579"/>
      <c r="Q457" s="66"/>
      <c r="R457" s="66"/>
      <c r="S457" s="66"/>
    </row>
    <row r="458" spans="2:19" x14ac:dyDescent="0.2">
      <c r="B458" s="245"/>
      <c r="C458" s="245"/>
      <c r="D458" s="245"/>
      <c r="E458" s="245"/>
      <c r="F458" s="245"/>
      <c r="G458" s="579"/>
      <c r="H458" s="245"/>
      <c r="I458" s="245"/>
      <c r="J458" s="245"/>
      <c r="K458" s="245"/>
      <c r="L458" s="245"/>
      <c r="N458" s="579"/>
      <c r="O458" s="579"/>
      <c r="P458" s="579"/>
      <c r="Q458" s="66"/>
      <c r="R458" s="66"/>
      <c r="S458" s="66"/>
    </row>
    <row r="459" spans="2:19" x14ac:dyDescent="0.2">
      <c r="B459" s="245"/>
      <c r="C459" s="245"/>
      <c r="D459" s="245"/>
      <c r="E459" s="245"/>
      <c r="F459" s="245"/>
      <c r="G459" s="579"/>
      <c r="H459" s="245"/>
      <c r="I459" s="245"/>
      <c r="J459" s="245"/>
      <c r="K459" s="245"/>
      <c r="L459" s="245"/>
      <c r="N459" s="579"/>
      <c r="O459" s="579"/>
      <c r="P459" s="579"/>
      <c r="Q459" s="66"/>
      <c r="R459" s="66"/>
      <c r="S459" s="66"/>
    </row>
    <row r="460" spans="2:19" x14ac:dyDescent="0.2">
      <c r="B460" s="245"/>
      <c r="C460" s="245"/>
      <c r="D460" s="245"/>
      <c r="E460" s="245"/>
      <c r="F460" s="245"/>
      <c r="G460" s="579"/>
      <c r="H460" s="245"/>
      <c r="I460" s="245"/>
      <c r="J460" s="245"/>
      <c r="K460" s="245"/>
      <c r="L460" s="245"/>
      <c r="N460" s="579"/>
      <c r="O460" s="579"/>
      <c r="P460" s="579"/>
      <c r="Q460" s="66"/>
      <c r="R460" s="66"/>
      <c r="S460" s="66"/>
    </row>
    <row r="461" spans="2:19" x14ac:dyDescent="0.2">
      <c r="B461" s="245"/>
      <c r="C461" s="245"/>
      <c r="D461" s="245"/>
      <c r="E461" s="245"/>
      <c r="F461" s="245"/>
      <c r="G461" s="579"/>
      <c r="H461" s="245"/>
      <c r="I461" s="245"/>
      <c r="J461" s="245"/>
      <c r="K461" s="245"/>
      <c r="L461" s="245"/>
      <c r="N461" s="579"/>
      <c r="O461" s="579"/>
      <c r="P461" s="579"/>
      <c r="Q461" s="66"/>
      <c r="R461" s="66"/>
      <c r="S461" s="66"/>
    </row>
    <row r="462" spans="2:19" x14ac:dyDescent="0.2">
      <c r="B462" s="245"/>
      <c r="C462" s="245"/>
      <c r="D462" s="245"/>
      <c r="E462" s="245"/>
      <c r="F462" s="245"/>
      <c r="G462" s="579"/>
      <c r="H462" s="245"/>
      <c r="I462" s="245"/>
      <c r="J462" s="245"/>
      <c r="K462" s="245"/>
      <c r="L462" s="245"/>
      <c r="N462" s="579"/>
      <c r="O462" s="579"/>
      <c r="P462" s="579"/>
      <c r="Q462" s="66"/>
      <c r="R462" s="66"/>
      <c r="S462" s="66"/>
    </row>
    <row r="463" spans="2:19" x14ac:dyDescent="0.2">
      <c r="B463" s="245"/>
      <c r="C463" s="245"/>
      <c r="D463" s="245"/>
      <c r="E463" s="245"/>
      <c r="F463" s="245"/>
      <c r="G463" s="579"/>
      <c r="H463" s="245"/>
      <c r="I463" s="245"/>
      <c r="J463" s="245"/>
      <c r="K463" s="245"/>
      <c r="L463" s="245"/>
      <c r="N463" s="579"/>
      <c r="O463" s="579"/>
      <c r="P463" s="579"/>
      <c r="Q463" s="66"/>
      <c r="R463" s="66"/>
      <c r="S463" s="66"/>
    </row>
    <row r="464" spans="2:19" x14ac:dyDescent="0.2">
      <c r="B464" s="245"/>
      <c r="C464" s="245"/>
      <c r="D464" s="245"/>
      <c r="E464" s="245"/>
      <c r="F464" s="245"/>
      <c r="G464" s="579"/>
      <c r="H464" s="245"/>
      <c r="I464" s="245"/>
      <c r="J464" s="245"/>
      <c r="K464" s="245"/>
      <c r="L464" s="245"/>
      <c r="N464" s="579"/>
      <c r="O464" s="579"/>
      <c r="P464" s="579"/>
      <c r="Q464" s="66"/>
      <c r="R464" s="66"/>
      <c r="S464" s="66"/>
    </row>
    <row r="465" spans="2:19" x14ac:dyDescent="0.2">
      <c r="B465" s="245"/>
      <c r="C465" s="245"/>
      <c r="D465" s="245"/>
      <c r="E465" s="245"/>
      <c r="F465" s="245"/>
      <c r="G465" s="579"/>
      <c r="H465" s="245"/>
      <c r="I465" s="245"/>
      <c r="J465" s="245"/>
      <c r="K465" s="245"/>
      <c r="L465" s="245"/>
      <c r="N465" s="579"/>
      <c r="O465" s="579"/>
      <c r="P465" s="579"/>
      <c r="Q465" s="66"/>
      <c r="R465" s="66"/>
      <c r="S465" s="66"/>
    </row>
    <row r="466" spans="2:19" x14ac:dyDescent="0.2">
      <c r="B466" s="245"/>
      <c r="C466" s="245"/>
      <c r="D466" s="245"/>
      <c r="E466" s="245"/>
      <c r="F466" s="245"/>
      <c r="G466" s="579"/>
      <c r="H466" s="245"/>
      <c r="I466" s="245"/>
      <c r="J466" s="245"/>
      <c r="K466" s="245"/>
      <c r="L466" s="245"/>
      <c r="N466" s="579"/>
      <c r="O466" s="579"/>
      <c r="P466" s="579"/>
      <c r="Q466" s="66"/>
      <c r="R466" s="66"/>
      <c r="S466" s="66"/>
    </row>
    <row r="467" spans="2:19" x14ac:dyDescent="0.2">
      <c r="B467" s="245"/>
      <c r="C467" s="245"/>
      <c r="D467" s="245"/>
      <c r="E467" s="245"/>
      <c r="F467" s="245"/>
      <c r="G467" s="579"/>
      <c r="H467" s="245"/>
      <c r="I467" s="245"/>
      <c r="J467" s="245"/>
      <c r="K467" s="245"/>
      <c r="L467" s="245"/>
      <c r="N467" s="579"/>
      <c r="O467" s="579"/>
      <c r="P467" s="579"/>
      <c r="Q467" s="66"/>
      <c r="R467" s="66"/>
      <c r="S467" s="66"/>
    </row>
    <row r="468" spans="2:19" x14ac:dyDescent="0.2">
      <c r="B468" s="245"/>
      <c r="C468" s="245"/>
      <c r="D468" s="245"/>
      <c r="E468" s="245"/>
      <c r="F468" s="245"/>
      <c r="G468" s="579"/>
      <c r="H468" s="245"/>
      <c r="I468" s="245"/>
      <c r="J468" s="245"/>
      <c r="K468" s="245"/>
      <c r="L468" s="245"/>
      <c r="N468" s="579"/>
      <c r="O468" s="579"/>
      <c r="P468" s="579"/>
      <c r="Q468" s="66"/>
      <c r="R468" s="66"/>
      <c r="S468" s="66"/>
    </row>
    <row r="469" spans="2:19" x14ac:dyDescent="0.2">
      <c r="B469" s="245"/>
      <c r="C469" s="245"/>
      <c r="D469" s="245"/>
      <c r="E469" s="245"/>
      <c r="F469" s="245"/>
      <c r="G469" s="579"/>
      <c r="H469" s="245"/>
      <c r="I469" s="245"/>
      <c r="J469" s="245"/>
      <c r="K469" s="245"/>
      <c r="L469" s="245"/>
      <c r="N469" s="579"/>
      <c r="O469" s="579"/>
      <c r="P469" s="579"/>
      <c r="Q469" s="66"/>
      <c r="R469" s="66"/>
      <c r="S469" s="66"/>
    </row>
    <row r="470" spans="2:19" x14ac:dyDescent="0.2">
      <c r="B470" s="245"/>
      <c r="C470" s="245"/>
      <c r="D470" s="245"/>
      <c r="E470" s="245"/>
      <c r="F470" s="245"/>
      <c r="G470" s="579"/>
      <c r="H470" s="245"/>
      <c r="I470" s="245"/>
      <c r="J470" s="245"/>
      <c r="K470" s="245"/>
      <c r="L470" s="245"/>
      <c r="N470" s="579"/>
      <c r="O470" s="579"/>
      <c r="P470" s="579"/>
      <c r="Q470" s="66"/>
      <c r="R470" s="66"/>
      <c r="S470" s="66"/>
    </row>
    <row r="471" spans="2:19" x14ac:dyDescent="0.2">
      <c r="B471" s="245"/>
      <c r="C471" s="245"/>
      <c r="D471" s="245"/>
      <c r="E471" s="245"/>
      <c r="F471" s="245"/>
      <c r="G471" s="579"/>
      <c r="H471" s="245"/>
      <c r="I471" s="245"/>
      <c r="J471" s="245"/>
      <c r="K471" s="245"/>
      <c r="L471" s="245"/>
      <c r="N471" s="579"/>
      <c r="O471" s="579"/>
      <c r="P471" s="579"/>
      <c r="Q471" s="66"/>
      <c r="R471" s="66"/>
      <c r="S471" s="66"/>
    </row>
    <row r="472" spans="2:19" x14ac:dyDescent="0.2">
      <c r="B472" s="245"/>
      <c r="C472" s="245"/>
      <c r="D472" s="245"/>
      <c r="E472" s="245"/>
      <c r="F472" s="245"/>
      <c r="G472" s="579"/>
      <c r="H472" s="245"/>
      <c r="I472" s="245"/>
      <c r="J472" s="245"/>
      <c r="K472" s="245"/>
      <c r="L472" s="245"/>
      <c r="N472" s="579"/>
      <c r="O472" s="579"/>
      <c r="P472" s="579"/>
      <c r="Q472" s="66"/>
      <c r="R472" s="66"/>
      <c r="S472" s="66"/>
    </row>
    <row r="473" spans="2:19" x14ac:dyDescent="0.2">
      <c r="B473" s="245"/>
      <c r="C473" s="245"/>
      <c r="D473" s="245"/>
      <c r="E473" s="245"/>
      <c r="F473" s="245"/>
      <c r="G473" s="579"/>
      <c r="H473" s="245"/>
      <c r="I473" s="245"/>
      <c r="J473" s="245"/>
      <c r="K473" s="245"/>
      <c r="L473" s="245"/>
      <c r="N473" s="579"/>
      <c r="O473" s="579"/>
      <c r="P473" s="579"/>
      <c r="Q473" s="66"/>
      <c r="R473" s="66"/>
      <c r="S473" s="66"/>
    </row>
    <row r="474" spans="2:19" x14ac:dyDescent="0.2">
      <c r="B474" s="245"/>
      <c r="C474" s="245"/>
      <c r="D474" s="245"/>
      <c r="E474" s="245"/>
      <c r="F474" s="245"/>
      <c r="G474" s="579"/>
      <c r="H474" s="245"/>
      <c r="I474" s="245"/>
      <c r="J474" s="245"/>
      <c r="K474" s="245"/>
      <c r="L474" s="245"/>
      <c r="N474" s="579"/>
      <c r="O474" s="579"/>
      <c r="P474" s="579"/>
      <c r="Q474" s="66"/>
      <c r="R474" s="66"/>
      <c r="S474" s="66"/>
    </row>
    <row r="475" spans="2:19" x14ac:dyDescent="0.2">
      <c r="B475" s="245"/>
      <c r="C475" s="245"/>
      <c r="D475" s="245"/>
      <c r="E475" s="245"/>
      <c r="F475" s="245"/>
      <c r="G475" s="579"/>
      <c r="H475" s="245"/>
      <c r="I475" s="245"/>
      <c r="J475" s="245"/>
      <c r="K475" s="245"/>
      <c r="L475" s="245"/>
      <c r="N475" s="579"/>
      <c r="O475" s="579"/>
      <c r="P475" s="579"/>
      <c r="Q475" s="66"/>
      <c r="R475" s="66"/>
      <c r="S475" s="66"/>
    </row>
    <row r="476" spans="2:19" x14ac:dyDescent="0.2">
      <c r="B476" s="245"/>
      <c r="C476" s="245"/>
      <c r="D476" s="245"/>
      <c r="E476" s="245"/>
      <c r="F476" s="245"/>
      <c r="G476" s="579"/>
      <c r="H476" s="245"/>
      <c r="I476" s="245"/>
      <c r="J476" s="245"/>
      <c r="K476" s="245"/>
      <c r="L476" s="245"/>
      <c r="N476" s="579"/>
      <c r="O476" s="579"/>
      <c r="P476" s="579"/>
      <c r="Q476" s="66"/>
      <c r="R476" s="66"/>
      <c r="S476" s="66"/>
    </row>
    <row r="477" spans="2:19" x14ac:dyDescent="0.2">
      <c r="B477" s="245"/>
      <c r="C477" s="245"/>
      <c r="D477" s="245"/>
      <c r="E477" s="245"/>
      <c r="F477" s="245"/>
      <c r="G477" s="579"/>
      <c r="H477" s="245"/>
      <c r="I477" s="245"/>
      <c r="J477" s="245"/>
      <c r="K477" s="245"/>
      <c r="L477" s="245"/>
      <c r="N477" s="579"/>
      <c r="O477" s="579"/>
      <c r="P477" s="579"/>
      <c r="Q477" s="66"/>
      <c r="R477" s="66"/>
      <c r="S477" s="66"/>
    </row>
    <row r="478" spans="2:19" x14ac:dyDescent="0.2">
      <c r="B478" s="245"/>
      <c r="C478" s="245"/>
      <c r="D478" s="245"/>
      <c r="E478" s="245"/>
      <c r="F478" s="245"/>
      <c r="G478" s="579"/>
      <c r="H478" s="245"/>
      <c r="I478" s="245"/>
      <c r="J478" s="245"/>
      <c r="K478" s="245"/>
      <c r="L478" s="245"/>
      <c r="N478" s="579"/>
      <c r="O478" s="579"/>
      <c r="P478" s="579"/>
      <c r="Q478" s="66"/>
      <c r="R478" s="66"/>
      <c r="S478" s="66"/>
    </row>
    <row r="479" spans="2:19" x14ac:dyDescent="0.2">
      <c r="B479" s="245"/>
      <c r="C479" s="245"/>
      <c r="D479" s="245"/>
      <c r="E479" s="245"/>
      <c r="F479" s="245"/>
      <c r="G479" s="579"/>
      <c r="H479" s="245"/>
      <c r="I479" s="245"/>
      <c r="J479" s="245"/>
      <c r="K479" s="245"/>
      <c r="L479" s="245"/>
      <c r="N479" s="579"/>
      <c r="O479" s="579"/>
      <c r="P479" s="579"/>
      <c r="Q479" s="66"/>
      <c r="R479" s="66"/>
      <c r="S479" s="66"/>
    </row>
    <row r="480" spans="2:19" x14ac:dyDescent="0.2">
      <c r="B480" s="245"/>
      <c r="C480" s="245"/>
      <c r="D480" s="245"/>
      <c r="E480" s="245"/>
      <c r="F480" s="245"/>
      <c r="G480" s="579"/>
      <c r="H480" s="245"/>
      <c r="I480" s="245"/>
      <c r="J480" s="245"/>
      <c r="K480" s="245"/>
      <c r="L480" s="245"/>
      <c r="N480" s="579"/>
      <c r="O480" s="579"/>
      <c r="P480" s="579"/>
      <c r="Q480" s="66"/>
      <c r="R480" s="66"/>
      <c r="S480" s="66"/>
    </row>
    <row r="481" spans="2:19" x14ac:dyDescent="0.2">
      <c r="B481" s="245"/>
      <c r="C481" s="245"/>
      <c r="D481" s="245"/>
      <c r="E481" s="245"/>
      <c r="F481" s="245"/>
      <c r="G481" s="579"/>
      <c r="H481" s="245"/>
      <c r="I481" s="245"/>
      <c r="J481" s="245"/>
      <c r="K481" s="245"/>
      <c r="L481" s="245"/>
      <c r="N481" s="579"/>
      <c r="O481" s="579"/>
      <c r="P481" s="579"/>
      <c r="Q481" s="66"/>
      <c r="R481" s="66"/>
      <c r="S481" s="66"/>
    </row>
    <row r="482" spans="2:19" x14ac:dyDescent="0.2">
      <c r="B482" s="245"/>
      <c r="C482" s="245"/>
      <c r="D482" s="245"/>
      <c r="E482" s="245"/>
      <c r="F482" s="245"/>
      <c r="G482" s="579"/>
      <c r="H482" s="245"/>
      <c r="I482" s="245"/>
      <c r="J482" s="245"/>
      <c r="K482" s="245"/>
      <c r="L482" s="245"/>
      <c r="N482" s="579"/>
      <c r="O482" s="579"/>
      <c r="P482" s="579"/>
      <c r="Q482" s="66"/>
      <c r="R482" s="66"/>
      <c r="S482" s="66"/>
    </row>
    <row r="483" spans="2:19" x14ac:dyDescent="0.2">
      <c r="B483" s="245"/>
      <c r="C483" s="245"/>
      <c r="D483" s="245"/>
      <c r="E483" s="245"/>
      <c r="F483" s="245"/>
      <c r="G483" s="579"/>
      <c r="H483" s="245"/>
      <c r="I483" s="245"/>
      <c r="J483" s="245"/>
      <c r="K483" s="245"/>
      <c r="L483" s="245"/>
      <c r="N483" s="579"/>
      <c r="O483" s="579"/>
      <c r="P483" s="579"/>
      <c r="Q483" s="66"/>
      <c r="R483" s="66"/>
      <c r="S483" s="66"/>
    </row>
    <row r="484" spans="2:19" x14ac:dyDescent="0.2">
      <c r="B484" s="245"/>
      <c r="C484" s="245"/>
      <c r="D484" s="245"/>
      <c r="E484" s="245"/>
      <c r="F484" s="245"/>
      <c r="G484" s="579"/>
      <c r="H484" s="245"/>
      <c r="I484" s="245"/>
      <c r="J484" s="245"/>
      <c r="K484" s="245"/>
      <c r="L484" s="245"/>
      <c r="N484" s="579"/>
      <c r="O484" s="579"/>
      <c r="P484" s="579"/>
      <c r="Q484" s="66"/>
      <c r="R484" s="66"/>
      <c r="S484" s="66"/>
    </row>
    <row r="485" spans="2:19" x14ac:dyDescent="0.2">
      <c r="B485" s="245"/>
      <c r="C485" s="245"/>
      <c r="D485" s="245"/>
      <c r="E485" s="245"/>
      <c r="F485" s="245"/>
      <c r="G485" s="579"/>
      <c r="H485" s="245"/>
      <c r="I485" s="245"/>
      <c r="J485" s="245"/>
      <c r="K485" s="245"/>
      <c r="L485" s="245"/>
      <c r="N485" s="579"/>
      <c r="O485" s="579"/>
      <c r="P485" s="579"/>
      <c r="Q485" s="66"/>
      <c r="R485" s="66"/>
      <c r="S485" s="66"/>
    </row>
    <row r="486" spans="2:19" x14ac:dyDescent="0.2">
      <c r="B486" s="245"/>
      <c r="C486" s="245"/>
      <c r="D486" s="245"/>
      <c r="E486" s="245"/>
      <c r="F486" s="245"/>
      <c r="G486" s="579"/>
      <c r="H486" s="245"/>
      <c r="I486" s="245"/>
      <c r="J486" s="245"/>
      <c r="K486" s="245"/>
      <c r="L486" s="245"/>
      <c r="N486" s="579"/>
      <c r="O486" s="579"/>
      <c r="P486" s="579"/>
      <c r="Q486" s="66"/>
      <c r="R486" s="66"/>
      <c r="S486" s="66"/>
    </row>
    <row r="487" spans="2:19" x14ac:dyDescent="0.2">
      <c r="B487" s="245"/>
      <c r="C487" s="245"/>
      <c r="D487" s="245"/>
      <c r="E487" s="245"/>
      <c r="F487" s="245"/>
      <c r="G487" s="579"/>
      <c r="H487" s="245"/>
      <c r="I487" s="245"/>
      <c r="J487" s="245"/>
      <c r="K487" s="245"/>
      <c r="L487" s="245"/>
      <c r="N487" s="579"/>
      <c r="O487" s="579"/>
      <c r="P487" s="579"/>
      <c r="Q487" s="66"/>
      <c r="R487" s="66"/>
      <c r="S487" s="66"/>
    </row>
    <row r="488" spans="2:19" x14ac:dyDescent="0.2">
      <c r="B488" s="245"/>
      <c r="C488" s="245"/>
      <c r="D488" s="245"/>
      <c r="E488" s="245"/>
      <c r="F488" s="245"/>
      <c r="G488" s="579"/>
      <c r="H488" s="245"/>
      <c r="I488" s="245"/>
      <c r="J488" s="245"/>
      <c r="K488" s="245"/>
      <c r="L488" s="245"/>
      <c r="N488" s="579"/>
      <c r="O488" s="579"/>
      <c r="P488" s="579"/>
      <c r="Q488" s="66"/>
      <c r="R488" s="66"/>
      <c r="S488" s="66"/>
    </row>
    <row r="489" spans="2:19" x14ac:dyDescent="0.2">
      <c r="B489" s="245"/>
      <c r="C489" s="245"/>
      <c r="D489" s="245"/>
      <c r="E489" s="245"/>
      <c r="F489" s="245"/>
      <c r="G489" s="579"/>
      <c r="H489" s="245"/>
      <c r="I489" s="245"/>
      <c r="J489" s="245"/>
      <c r="K489" s="245"/>
      <c r="L489" s="245"/>
      <c r="N489" s="579"/>
      <c r="O489" s="579"/>
      <c r="P489" s="579"/>
      <c r="Q489" s="66"/>
      <c r="R489" s="66"/>
      <c r="S489" s="66"/>
    </row>
    <row r="490" spans="2:19" x14ac:dyDescent="0.2">
      <c r="B490" s="245"/>
      <c r="C490" s="245"/>
      <c r="D490" s="245"/>
      <c r="E490" s="245"/>
      <c r="F490" s="245"/>
      <c r="G490" s="579"/>
      <c r="H490" s="245"/>
      <c r="I490" s="245"/>
      <c r="J490" s="245"/>
      <c r="K490" s="245"/>
      <c r="L490" s="245"/>
      <c r="N490" s="579"/>
      <c r="O490" s="579"/>
      <c r="P490" s="579"/>
      <c r="Q490" s="66"/>
      <c r="R490" s="66"/>
      <c r="S490" s="66"/>
    </row>
    <row r="491" spans="2:19" x14ac:dyDescent="0.2">
      <c r="B491" s="245"/>
      <c r="C491" s="245"/>
      <c r="D491" s="245"/>
      <c r="E491" s="245"/>
      <c r="F491" s="245"/>
      <c r="G491" s="579"/>
      <c r="H491" s="245"/>
      <c r="I491" s="245"/>
      <c r="J491" s="245"/>
      <c r="K491" s="245"/>
      <c r="L491" s="245"/>
      <c r="N491" s="579"/>
      <c r="O491" s="579"/>
      <c r="P491" s="579"/>
      <c r="Q491" s="66"/>
      <c r="R491" s="66"/>
      <c r="S491" s="66"/>
    </row>
    <row r="492" spans="2:19" x14ac:dyDescent="0.2">
      <c r="B492" s="245"/>
      <c r="C492" s="245"/>
      <c r="D492" s="245"/>
      <c r="E492" s="245"/>
      <c r="F492" s="245"/>
      <c r="G492" s="579"/>
      <c r="H492" s="245"/>
      <c r="I492" s="245"/>
      <c r="J492" s="245"/>
      <c r="K492" s="245"/>
      <c r="L492" s="245"/>
      <c r="N492" s="579"/>
      <c r="O492" s="579"/>
      <c r="P492" s="579"/>
      <c r="Q492" s="66"/>
      <c r="R492" s="66"/>
      <c r="S492" s="66"/>
    </row>
    <row r="493" spans="2:19" x14ac:dyDescent="0.2">
      <c r="B493" s="245"/>
      <c r="C493" s="245"/>
      <c r="D493" s="245"/>
      <c r="E493" s="245"/>
      <c r="F493" s="245"/>
      <c r="G493" s="579"/>
      <c r="H493" s="245"/>
      <c r="I493" s="245"/>
      <c r="J493" s="245"/>
      <c r="K493" s="245"/>
      <c r="L493" s="245"/>
      <c r="N493" s="579"/>
      <c r="O493" s="579"/>
      <c r="P493" s="579"/>
      <c r="Q493" s="66"/>
      <c r="R493" s="66"/>
      <c r="S493" s="66"/>
    </row>
    <row r="494" spans="2:19" x14ac:dyDescent="0.2">
      <c r="B494" s="245"/>
      <c r="C494" s="245"/>
      <c r="D494" s="245"/>
      <c r="E494" s="245"/>
      <c r="F494" s="245"/>
      <c r="G494" s="579"/>
      <c r="H494" s="245"/>
      <c r="I494" s="245"/>
      <c r="J494" s="245"/>
      <c r="K494" s="245"/>
      <c r="L494" s="245"/>
      <c r="N494" s="579"/>
      <c r="O494" s="579"/>
      <c r="P494" s="579"/>
      <c r="Q494" s="66"/>
      <c r="R494" s="66"/>
      <c r="S494" s="66"/>
    </row>
    <row r="495" spans="2:19" x14ac:dyDescent="0.2">
      <c r="B495" s="245"/>
      <c r="C495" s="245"/>
      <c r="D495" s="245"/>
      <c r="E495" s="245"/>
      <c r="F495" s="245"/>
      <c r="G495" s="579"/>
      <c r="H495" s="245"/>
      <c r="I495" s="245"/>
      <c r="J495" s="245"/>
      <c r="K495" s="245"/>
      <c r="L495" s="245"/>
      <c r="N495" s="579"/>
      <c r="O495" s="579"/>
      <c r="P495" s="579"/>
      <c r="Q495" s="66"/>
      <c r="R495" s="66"/>
      <c r="S495" s="66"/>
    </row>
    <row r="496" spans="2:19" x14ac:dyDescent="0.2">
      <c r="B496" s="245"/>
      <c r="C496" s="245"/>
      <c r="D496" s="245"/>
      <c r="E496" s="245"/>
      <c r="F496" s="245"/>
      <c r="G496" s="579"/>
      <c r="H496" s="245"/>
      <c r="I496" s="245"/>
      <c r="J496" s="245"/>
      <c r="K496" s="245"/>
      <c r="L496" s="245"/>
      <c r="N496" s="579"/>
      <c r="O496" s="579"/>
      <c r="P496" s="579"/>
      <c r="Q496" s="66"/>
      <c r="R496" s="66"/>
      <c r="S496" s="66"/>
    </row>
    <row r="497" spans="2:19" x14ac:dyDescent="0.2">
      <c r="B497" s="245"/>
      <c r="C497" s="245"/>
      <c r="D497" s="245"/>
      <c r="E497" s="245"/>
      <c r="F497" s="245"/>
      <c r="G497" s="579"/>
      <c r="H497" s="245"/>
      <c r="I497" s="245"/>
      <c r="J497" s="245"/>
      <c r="K497" s="245"/>
      <c r="L497" s="245"/>
      <c r="N497" s="579"/>
      <c r="O497" s="579"/>
      <c r="P497" s="579"/>
      <c r="Q497" s="66"/>
      <c r="R497" s="66"/>
      <c r="S497" s="66"/>
    </row>
    <row r="498" spans="2:19" x14ac:dyDescent="0.2">
      <c r="B498" s="245"/>
      <c r="C498" s="245"/>
      <c r="D498" s="245"/>
      <c r="E498" s="245"/>
      <c r="F498" s="245"/>
      <c r="G498" s="579"/>
      <c r="H498" s="245"/>
      <c r="I498" s="245"/>
      <c r="J498" s="245"/>
      <c r="K498" s="245"/>
      <c r="L498" s="245"/>
      <c r="N498" s="579"/>
      <c r="O498" s="579"/>
      <c r="P498" s="579"/>
      <c r="Q498" s="66"/>
      <c r="R498" s="66"/>
      <c r="S498" s="66"/>
    </row>
    <row r="499" spans="2:19" x14ac:dyDescent="0.2">
      <c r="B499" s="245"/>
      <c r="C499" s="245"/>
      <c r="D499" s="245"/>
      <c r="E499" s="245"/>
      <c r="F499" s="245"/>
      <c r="G499" s="579"/>
      <c r="H499" s="245"/>
      <c r="I499" s="245"/>
      <c r="J499" s="245"/>
      <c r="K499" s="245"/>
      <c r="L499" s="245"/>
      <c r="N499" s="579"/>
      <c r="O499" s="579"/>
      <c r="P499" s="579"/>
      <c r="Q499" s="66"/>
      <c r="R499" s="66"/>
      <c r="S499" s="66"/>
    </row>
    <row r="500" spans="2:19" x14ac:dyDescent="0.2">
      <c r="B500" s="245"/>
      <c r="C500" s="245"/>
      <c r="D500" s="245"/>
      <c r="E500" s="245"/>
      <c r="F500" s="245"/>
      <c r="G500" s="579"/>
      <c r="H500" s="245"/>
      <c r="I500" s="245"/>
      <c r="J500" s="245"/>
      <c r="K500" s="245"/>
      <c r="L500" s="245"/>
      <c r="N500" s="579"/>
      <c r="O500" s="579"/>
      <c r="P500" s="579"/>
      <c r="Q500" s="66"/>
      <c r="R500" s="66"/>
      <c r="S500" s="66"/>
    </row>
    <row r="501" spans="2:19" x14ac:dyDescent="0.2">
      <c r="B501" s="245"/>
      <c r="C501" s="245"/>
      <c r="D501" s="245"/>
      <c r="E501" s="245"/>
      <c r="F501" s="245"/>
      <c r="G501" s="579"/>
      <c r="H501" s="245"/>
      <c r="I501" s="245"/>
      <c r="J501" s="245"/>
      <c r="K501" s="245"/>
      <c r="L501" s="245"/>
      <c r="N501" s="579"/>
      <c r="O501" s="579"/>
      <c r="P501" s="579"/>
      <c r="Q501" s="66"/>
      <c r="R501" s="66"/>
      <c r="S501" s="66"/>
    </row>
    <row r="502" spans="2:19" x14ac:dyDescent="0.2">
      <c r="B502" s="245"/>
      <c r="C502" s="245"/>
      <c r="D502" s="245"/>
      <c r="E502" s="245"/>
      <c r="F502" s="245"/>
      <c r="G502" s="579"/>
      <c r="H502" s="245"/>
      <c r="I502" s="245"/>
      <c r="J502" s="245"/>
      <c r="K502" s="245"/>
      <c r="L502" s="245"/>
      <c r="N502" s="579"/>
      <c r="O502" s="579"/>
      <c r="P502" s="579"/>
      <c r="Q502" s="66"/>
      <c r="R502" s="66"/>
      <c r="S502" s="66"/>
    </row>
    <row r="503" spans="2:19" x14ac:dyDescent="0.2">
      <c r="B503" s="245"/>
      <c r="C503" s="245"/>
      <c r="D503" s="245"/>
      <c r="E503" s="245"/>
      <c r="F503" s="245"/>
      <c r="G503" s="579"/>
      <c r="H503" s="245"/>
      <c r="I503" s="245"/>
      <c r="J503" s="245"/>
      <c r="K503" s="245"/>
      <c r="L503" s="245"/>
      <c r="N503" s="579"/>
      <c r="O503" s="579"/>
      <c r="P503" s="579"/>
      <c r="Q503" s="66"/>
      <c r="R503" s="66"/>
      <c r="S503" s="66"/>
    </row>
    <row r="504" spans="2:19" x14ac:dyDescent="0.2">
      <c r="B504" s="245"/>
      <c r="C504" s="245"/>
      <c r="D504" s="245"/>
      <c r="E504" s="245"/>
      <c r="F504" s="245"/>
      <c r="G504" s="579"/>
      <c r="H504" s="245"/>
      <c r="I504" s="245"/>
      <c r="J504" s="245"/>
      <c r="K504" s="245"/>
      <c r="L504" s="245"/>
      <c r="N504" s="579"/>
      <c r="O504" s="579"/>
      <c r="P504" s="579"/>
      <c r="Q504" s="66"/>
      <c r="R504" s="66"/>
      <c r="S504" s="66"/>
    </row>
    <row r="505" spans="2:19" x14ac:dyDescent="0.2">
      <c r="B505" s="245"/>
      <c r="C505" s="245"/>
      <c r="D505" s="245"/>
      <c r="E505" s="245"/>
      <c r="F505" s="245"/>
      <c r="G505" s="579"/>
      <c r="H505" s="245"/>
      <c r="I505" s="245"/>
      <c r="J505" s="245"/>
      <c r="K505" s="245"/>
      <c r="L505" s="245"/>
      <c r="N505" s="579"/>
      <c r="O505" s="579"/>
      <c r="P505" s="579"/>
      <c r="Q505" s="66"/>
      <c r="R505" s="66"/>
      <c r="S505" s="66"/>
    </row>
    <row r="506" spans="2:19" x14ac:dyDescent="0.2">
      <c r="B506" s="245"/>
      <c r="C506" s="245"/>
      <c r="D506" s="245"/>
      <c r="E506" s="245"/>
      <c r="F506" s="245"/>
      <c r="G506" s="579"/>
      <c r="H506" s="245"/>
      <c r="I506" s="245"/>
      <c r="J506" s="245"/>
      <c r="K506" s="245"/>
      <c r="L506" s="245"/>
      <c r="N506" s="579"/>
      <c r="O506" s="579"/>
      <c r="P506" s="579"/>
      <c r="Q506" s="66"/>
      <c r="R506" s="66"/>
      <c r="S506" s="66"/>
    </row>
    <row r="507" spans="2:19" x14ac:dyDescent="0.2">
      <c r="B507" s="245"/>
      <c r="C507" s="245"/>
      <c r="D507" s="245"/>
      <c r="E507" s="245"/>
      <c r="F507" s="245"/>
      <c r="G507" s="579"/>
      <c r="H507" s="245"/>
      <c r="I507" s="245"/>
      <c r="J507" s="245"/>
      <c r="K507" s="245"/>
      <c r="L507" s="245"/>
      <c r="N507" s="579"/>
      <c r="O507" s="579"/>
      <c r="P507" s="579"/>
      <c r="Q507" s="66"/>
      <c r="R507" s="66"/>
      <c r="S507" s="66"/>
    </row>
    <row r="508" spans="2:19" x14ac:dyDescent="0.2">
      <c r="B508" s="245"/>
      <c r="C508" s="245"/>
      <c r="D508" s="245"/>
      <c r="E508" s="245"/>
      <c r="F508" s="245"/>
      <c r="G508" s="579"/>
      <c r="H508" s="245"/>
      <c r="I508" s="245"/>
      <c r="J508" s="245"/>
      <c r="K508" s="245"/>
      <c r="L508" s="245"/>
      <c r="N508" s="579"/>
      <c r="O508" s="579"/>
      <c r="P508" s="579"/>
      <c r="Q508" s="66"/>
      <c r="R508" s="66"/>
      <c r="S508" s="66"/>
    </row>
    <row r="509" spans="2:19" x14ac:dyDescent="0.2">
      <c r="B509" s="245"/>
      <c r="C509" s="245"/>
      <c r="D509" s="245"/>
      <c r="E509" s="245"/>
      <c r="F509" s="245"/>
      <c r="G509" s="579"/>
      <c r="H509" s="245"/>
      <c r="I509" s="245"/>
      <c r="J509" s="245"/>
      <c r="K509" s="245"/>
      <c r="L509" s="245"/>
      <c r="N509" s="579"/>
      <c r="O509" s="579"/>
      <c r="P509" s="579"/>
      <c r="Q509" s="66"/>
      <c r="R509" s="66"/>
      <c r="S509" s="66"/>
    </row>
    <row r="510" spans="2:19" x14ac:dyDescent="0.2">
      <c r="B510" s="245"/>
      <c r="C510" s="245"/>
      <c r="D510" s="245"/>
      <c r="E510" s="245"/>
      <c r="F510" s="245"/>
      <c r="G510" s="579"/>
      <c r="H510" s="245"/>
      <c r="I510" s="245"/>
      <c r="J510" s="245"/>
      <c r="K510" s="245"/>
      <c r="L510" s="245"/>
      <c r="N510" s="579"/>
      <c r="O510" s="579"/>
      <c r="P510" s="579"/>
      <c r="Q510" s="66"/>
      <c r="R510" s="66"/>
      <c r="S510" s="66"/>
    </row>
    <row r="511" spans="2:19" x14ac:dyDescent="0.2">
      <c r="B511" s="245"/>
      <c r="C511" s="245"/>
      <c r="D511" s="245"/>
      <c r="E511" s="245"/>
      <c r="F511" s="245"/>
      <c r="G511" s="579"/>
      <c r="H511" s="245"/>
      <c r="I511" s="245"/>
      <c r="J511" s="245"/>
      <c r="K511" s="245"/>
      <c r="L511" s="245"/>
      <c r="N511" s="579"/>
      <c r="O511" s="579"/>
      <c r="P511" s="579"/>
      <c r="Q511" s="66"/>
      <c r="R511" s="66"/>
      <c r="S511" s="66"/>
    </row>
    <row r="512" spans="2:19" x14ac:dyDescent="0.2">
      <c r="B512" s="245"/>
      <c r="C512" s="245"/>
      <c r="D512" s="245"/>
      <c r="E512" s="245"/>
      <c r="F512" s="245"/>
      <c r="G512" s="579"/>
      <c r="H512" s="245"/>
      <c r="I512" s="245"/>
      <c r="J512" s="245"/>
      <c r="K512" s="245"/>
      <c r="L512" s="245"/>
      <c r="N512" s="579"/>
      <c r="O512" s="579"/>
      <c r="P512" s="579"/>
      <c r="Q512" s="66"/>
      <c r="R512" s="66"/>
      <c r="S512" s="66"/>
    </row>
    <row r="513" spans="2:19" x14ac:dyDescent="0.2">
      <c r="B513" s="245"/>
      <c r="C513" s="245"/>
      <c r="D513" s="245"/>
      <c r="E513" s="245"/>
      <c r="F513" s="245"/>
      <c r="G513" s="579"/>
      <c r="H513" s="245"/>
      <c r="I513" s="245"/>
      <c r="J513" s="245"/>
      <c r="K513" s="245"/>
      <c r="L513" s="245"/>
      <c r="N513" s="579"/>
      <c r="O513" s="579"/>
      <c r="P513" s="579"/>
      <c r="Q513" s="66"/>
      <c r="R513" s="66"/>
      <c r="S513" s="66"/>
    </row>
    <row r="514" spans="2:19" x14ac:dyDescent="0.2">
      <c r="B514" s="245"/>
      <c r="C514" s="245"/>
      <c r="D514" s="245"/>
      <c r="E514" s="245"/>
      <c r="F514" s="245"/>
      <c r="G514" s="579"/>
      <c r="H514" s="245"/>
      <c r="I514" s="245"/>
      <c r="J514" s="245"/>
      <c r="K514" s="245"/>
      <c r="L514" s="245"/>
      <c r="N514" s="579"/>
      <c r="O514" s="579"/>
      <c r="P514" s="579"/>
      <c r="Q514" s="66"/>
      <c r="R514" s="66"/>
      <c r="S514" s="66"/>
    </row>
    <row r="515" spans="2:19" x14ac:dyDescent="0.2">
      <c r="B515" s="245"/>
      <c r="C515" s="245"/>
      <c r="D515" s="245"/>
      <c r="E515" s="245"/>
      <c r="F515" s="245"/>
      <c r="G515" s="579"/>
      <c r="H515" s="245"/>
      <c r="I515" s="245"/>
      <c r="J515" s="245"/>
      <c r="K515" s="245"/>
      <c r="L515" s="245"/>
      <c r="N515" s="579"/>
      <c r="O515" s="579"/>
      <c r="P515" s="579"/>
      <c r="Q515" s="66"/>
      <c r="R515" s="66"/>
      <c r="S515" s="66"/>
    </row>
    <row r="516" spans="2:19" x14ac:dyDescent="0.2">
      <c r="B516" s="245"/>
      <c r="C516" s="245"/>
      <c r="D516" s="245"/>
      <c r="E516" s="245"/>
      <c r="F516" s="245"/>
      <c r="G516" s="579"/>
      <c r="H516" s="245"/>
      <c r="I516" s="245"/>
      <c r="J516" s="245"/>
      <c r="K516" s="245"/>
      <c r="L516" s="245"/>
      <c r="N516" s="579"/>
      <c r="O516" s="579"/>
      <c r="P516" s="579"/>
      <c r="Q516" s="66"/>
      <c r="R516" s="66"/>
      <c r="S516" s="66"/>
    </row>
    <row r="517" spans="2:19" x14ac:dyDescent="0.2">
      <c r="B517" s="245"/>
      <c r="C517" s="245"/>
      <c r="D517" s="245"/>
      <c r="E517" s="245"/>
      <c r="F517" s="245"/>
      <c r="G517" s="579"/>
      <c r="H517" s="245"/>
      <c r="I517" s="245"/>
      <c r="J517" s="245"/>
      <c r="K517" s="245"/>
      <c r="L517" s="245"/>
      <c r="N517" s="579"/>
      <c r="O517" s="579"/>
      <c r="P517" s="579"/>
      <c r="Q517" s="66"/>
      <c r="R517" s="66"/>
      <c r="S517" s="66"/>
    </row>
    <row r="518" spans="2:19" x14ac:dyDescent="0.2">
      <c r="B518" s="245"/>
      <c r="C518" s="245"/>
      <c r="D518" s="245"/>
      <c r="E518" s="245"/>
      <c r="F518" s="245"/>
      <c r="G518" s="579"/>
      <c r="H518" s="245"/>
      <c r="I518" s="245"/>
      <c r="J518" s="245"/>
      <c r="K518" s="245"/>
      <c r="L518" s="245"/>
      <c r="N518" s="579"/>
      <c r="O518" s="579"/>
      <c r="P518" s="579"/>
      <c r="Q518" s="66"/>
      <c r="R518" s="66"/>
      <c r="S518" s="66"/>
    </row>
    <row r="519" spans="2:19" x14ac:dyDescent="0.2">
      <c r="B519" s="245"/>
      <c r="C519" s="245"/>
      <c r="D519" s="245"/>
      <c r="E519" s="245"/>
      <c r="F519" s="245"/>
      <c r="G519" s="579"/>
      <c r="H519" s="245"/>
      <c r="I519" s="245"/>
      <c r="J519" s="245"/>
      <c r="K519" s="245"/>
      <c r="L519" s="245"/>
      <c r="N519" s="579"/>
      <c r="O519" s="579"/>
      <c r="P519" s="579"/>
      <c r="Q519" s="66"/>
      <c r="R519" s="66"/>
      <c r="S519" s="66"/>
    </row>
    <row r="520" spans="2:19" x14ac:dyDescent="0.2">
      <c r="B520" s="245"/>
      <c r="C520" s="245"/>
      <c r="D520" s="245"/>
      <c r="E520" s="245"/>
      <c r="F520" s="245"/>
      <c r="G520" s="579"/>
      <c r="H520" s="245"/>
      <c r="I520" s="245"/>
      <c r="J520" s="245"/>
      <c r="K520" s="245"/>
      <c r="L520" s="245"/>
      <c r="N520" s="579"/>
      <c r="O520" s="579"/>
      <c r="P520" s="579"/>
      <c r="Q520" s="66"/>
      <c r="R520" s="66"/>
      <c r="S520" s="66"/>
    </row>
    <row r="521" spans="2:19" x14ac:dyDescent="0.2">
      <c r="B521" s="245"/>
      <c r="C521" s="245"/>
      <c r="D521" s="245"/>
      <c r="E521" s="245"/>
      <c r="F521" s="245"/>
      <c r="G521" s="579"/>
      <c r="H521" s="245"/>
      <c r="I521" s="245"/>
      <c r="J521" s="245"/>
      <c r="K521" s="245"/>
      <c r="L521" s="245"/>
      <c r="N521" s="579"/>
      <c r="O521" s="579"/>
      <c r="P521" s="579"/>
      <c r="Q521" s="66"/>
      <c r="R521" s="66"/>
      <c r="S521" s="66"/>
    </row>
    <row r="522" spans="2:19" x14ac:dyDescent="0.2">
      <c r="B522" s="245"/>
      <c r="C522" s="245"/>
      <c r="D522" s="245"/>
      <c r="E522" s="245"/>
      <c r="F522" s="245"/>
      <c r="G522" s="579"/>
      <c r="H522" s="245"/>
      <c r="I522" s="245"/>
      <c r="J522" s="245"/>
      <c r="K522" s="245"/>
      <c r="L522" s="245"/>
      <c r="N522" s="579"/>
      <c r="O522" s="579"/>
      <c r="P522" s="579"/>
      <c r="Q522" s="66"/>
      <c r="R522" s="66"/>
      <c r="S522" s="66"/>
    </row>
    <row r="523" spans="2:19" x14ac:dyDescent="0.2">
      <c r="B523" s="245"/>
      <c r="C523" s="245"/>
      <c r="D523" s="245"/>
      <c r="E523" s="245"/>
      <c r="F523" s="245"/>
      <c r="G523" s="579"/>
      <c r="H523" s="245"/>
      <c r="I523" s="245"/>
      <c r="J523" s="245"/>
      <c r="K523" s="245"/>
      <c r="L523" s="245"/>
      <c r="N523" s="579"/>
      <c r="O523" s="579"/>
      <c r="P523" s="579"/>
      <c r="Q523" s="66"/>
      <c r="R523" s="66"/>
      <c r="S523" s="66"/>
    </row>
    <row r="524" spans="2:19" x14ac:dyDescent="0.2">
      <c r="B524" s="245"/>
      <c r="C524" s="245"/>
      <c r="D524" s="245"/>
      <c r="E524" s="245"/>
      <c r="F524" s="245"/>
      <c r="G524" s="579"/>
      <c r="H524" s="245"/>
      <c r="I524" s="245"/>
      <c r="J524" s="245"/>
      <c r="K524" s="245"/>
      <c r="L524" s="245"/>
      <c r="N524" s="579"/>
      <c r="O524" s="579"/>
      <c r="P524" s="579"/>
      <c r="Q524" s="66"/>
      <c r="R524" s="66"/>
      <c r="S524" s="66"/>
    </row>
    <row r="525" spans="2:19" x14ac:dyDescent="0.2">
      <c r="B525" s="245"/>
      <c r="C525" s="245"/>
      <c r="D525" s="245"/>
      <c r="E525" s="245"/>
      <c r="F525" s="245"/>
      <c r="G525" s="579"/>
      <c r="H525" s="245"/>
      <c r="I525" s="245"/>
      <c r="J525" s="245"/>
      <c r="K525" s="245"/>
      <c r="L525" s="245"/>
      <c r="N525" s="579"/>
      <c r="O525" s="579"/>
      <c r="P525" s="579"/>
      <c r="Q525" s="66"/>
      <c r="R525" s="66"/>
      <c r="S525" s="66"/>
    </row>
    <row r="526" spans="2:19" x14ac:dyDescent="0.2">
      <c r="B526" s="245"/>
      <c r="C526" s="245"/>
      <c r="D526" s="245"/>
      <c r="E526" s="245"/>
      <c r="F526" s="245"/>
      <c r="G526" s="579"/>
      <c r="H526" s="245"/>
      <c r="I526" s="245"/>
      <c r="J526" s="245"/>
      <c r="K526" s="245"/>
      <c r="L526" s="245"/>
      <c r="N526" s="579"/>
      <c r="O526" s="579"/>
      <c r="P526" s="579"/>
      <c r="Q526" s="66"/>
      <c r="R526" s="66"/>
      <c r="S526" s="66"/>
    </row>
    <row r="527" spans="2:19" x14ac:dyDescent="0.2">
      <c r="B527" s="245"/>
      <c r="C527" s="245"/>
      <c r="D527" s="245"/>
      <c r="E527" s="245"/>
      <c r="F527" s="245"/>
      <c r="G527" s="579"/>
      <c r="H527" s="245"/>
      <c r="I527" s="245"/>
      <c r="J527" s="245"/>
      <c r="K527" s="245"/>
      <c r="L527" s="245"/>
      <c r="N527" s="579"/>
      <c r="O527" s="579"/>
      <c r="P527" s="579"/>
      <c r="Q527" s="66"/>
      <c r="R527" s="66"/>
      <c r="S527" s="66"/>
    </row>
    <row r="528" spans="2:19" x14ac:dyDescent="0.2">
      <c r="B528" s="245"/>
      <c r="C528" s="245"/>
      <c r="D528" s="245"/>
      <c r="E528" s="245"/>
      <c r="F528" s="245"/>
      <c r="G528" s="579"/>
      <c r="H528" s="245"/>
      <c r="I528" s="245"/>
      <c r="J528" s="245"/>
      <c r="K528" s="245"/>
      <c r="L528" s="245"/>
      <c r="N528" s="579"/>
      <c r="O528" s="579"/>
      <c r="P528" s="579"/>
      <c r="Q528" s="66"/>
      <c r="R528" s="66"/>
      <c r="S528" s="66"/>
    </row>
    <row r="529" spans="2:19" x14ac:dyDescent="0.2">
      <c r="B529" s="245"/>
      <c r="C529" s="245"/>
      <c r="D529" s="245"/>
      <c r="E529" s="245"/>
      <c r="F529" s="245"/>
      <c r="G529" s="579"/>
      <c r="H529" s="245"/>
      <c r="I529" s="245"/>
      <c r="J529" s="245"/>
      <c r="K529" s="245"/>
      <c r="L529" s="245"/>
      <c r="N529" s="579"/>
      <c r="O529" s="579"/>
      <c r="P529" s="579"/>
      <c r="Q529" s="66"/>
      <c r="R529" s="66"/>
      <c r="S529" s="66"/>
    </row>
    <row r="530" spans="2:19" x14ac:dyDescent="0.2">
      <c r="B530" s="245"/>
      <c r="C530" s="245"/>
      <c r="D530" s="245"/>
      <c r="E530" s="245"/>
      <c r="F530" s="245"/>
      <c r="G530" s="579"/>
      <c r="H530" s="245"/>
      <c r="I530" s="245"/>
      <c r="J530" s="245"/>
      <c r="K530" s="245"/>
      <c r="L530" s="245"/>
      <c r="N530" s="579"/>
      <c r="O530" s="579"/>
      <c r="P530" s="579"/>
      <c r="Q530" s="66"/>
      <c r="R530" s="66"/>
      <c r="S530" s="66"/>
    </row>
    <row r="531" spans="2:19" x14ac:dyDescent="0.2">
      <c r="B531" s="245"/>
      <c r="C531" s="245"/>
      <c r="D531" s="245"/>
      <c r="E531" s="245"/>
      <c r="F531" s="245"/>
      <c r="G531" s="579"/>
      <c r="H531" s="245"/>
      <c r="I531" s="245"/>
      <c r="J531" s="245"/>
      <c r="K531" s="245"/>
      <c r="L531" s="245"/>
      <c r="N531" s="579"/>
      <c r="O531" s="579"/>
      <c r="P531" s="579"/>
      <c r="Q531" s="66"/>
      <c r="R531" s="66"/>
      <c r="S531" s="66"/>
    </row>
    <row r="532" spans="2:19" x14ac:dyDescent="0.2">
      <c r="B532" s="245"/>
      <c r="C532" s="245"/>
      <c r="D532" s="245"/>
      <c r="E532" s="245"/>
      <c r="F532" s="245"/>
      <c r="G532" s="579"/>
      <c r="H532" s="245"/>
      <c r="I532" s="245"/>
      <c r="J532" s="245"/>
      <c r="K532" s="245"/>
      <c r="L532" s="245"/>
      <c r="N532" s="579"/>
      <c r="O532" s="579"/>
      <c r="P532" s="579"/>
      <c r="Q532" s="66"/>
      <c r="R532" s="66"/>
      <c r="S532" s="66"/>
    </row>
    <row r="533" spans="2:19" x14ac:dyDescent="0.2">
      <c r="B533" s="245"/>
      <c r="C533" s="245"/>
      <c r="D533" s="245"/>
      <c r="E533" s="245"/>
      <c r="F533" s="245"/>
      <c r="G533" s="579"/>
      <c r="H533" s="245"/>
      <c r="I533" s="245"/>
      <c r="J533" s="245"/>
      <c r="K533" s="245"/>
      <c r="L533" s="245"/>
      <c r="N533" s="579"/>
      <c r="O533" s="579"/>
      <c r="P533" s="579"/>
      <c r="Q533" s="66"/>
      <c r="R533" s="66"/>
      <c r="S533" s="66"/>
    </row>
    <row r="534" spans="2:19" x14ac:dyDescent="0.2">
      <c r="B534" s="245"/>
      <c r="C534" s="245"/>
      <c r="D534" s="245"/>
      <c r="E534" s="245"/>
      <c r="F534" s="245"/>
      <c r="G534" s="579"/>
      <c r="H534" s="245"/>
      <c r="I534" s="245"/>
      <c r="J534" s="245"/>
      <c r="K534" s="245"/>
      <c r="L534" s="245"/>
      <c r="N534" s="579"/>
      <c r="O534" s="579"/>
      <c r="P534" s="579"/>
      <c r="Q534" s="66"/>
      <c r="R534" s="66"/>
      <c r="S534" s="66"/>
    </row>
    <row r="535" spans="2:19" x14ac:dyDescent="0.2">
      <c r="B535" s="245"/>
      <c r="C535" s="245"/>
      <c r="D535" s="245"/>
      <c r="E535" s="245"/>
      <c r="F535" s="245"/>
      <c r="G535" s="579"/>
      <c r="H535" s="245"/>
      <c r="I535" s="245"/>
      <c r="J535" s="245"/>
      <c r="K535" s="245"/>
      <c r="L535" s="245"/>
      <c r="N535" s="579"/>
      <c r="O535" s="579"/>
      <c r="P535" s="579"/>
      <c r="Q535" s="66"/>
      <c r="R535" s="66"/>
      <c r="S535" s="66"/>
    </row>
    <row r="536" spans="2:19" x14ac:dyDescent="0.2">
      <c r="B536" s="245"/>
      <c r="C536" s="245"/>
      <c r="D536" s="245"/>
      <c r="E536" s="245"/>
      <c r="F536" s="245"/>
      <c r="G536" s="579"/>
      <c r="H536" s="245"/>
      <c r="I536" s="245"/>
      <c r="J536" s="245"/>
      <c r="K536" s="245"/>
      <c r="L536" s="245"/>
      <c r="N536" s="579"/>
      <c r="O536" s="579"/>
      <c r="P536" s="579"/>
      <c r="Q536" s="66"/>
      <c r="R536" s="66"/>
      <c r="S536" s="66"/>
    </row>
    <row r="537" spans="2:19" x14ac:dyDescent="0.2">
      <c r="B537" s="245"/>
      <c r="C537" s="245"/>
      <c r="D537" s="245"/>
      <c r="E537" s="245"/>
      <c r="F537" s="245"/>
      <c r="G537" s="579"/>
      <c r="H537" s="245"/>
      <c r="I537" s="245"/>
      <c r="J537" s="245"/>
      <c r="K537" s="245"/>
      <c r="L537" s="245"/>
      <c r="N537" s="579"/>
      <c r="O537" s="579"/>
      <c r="P537" s="579"/>
      <c r="Q537" s="66"/>
      <c r="R537" s="66"/>
      <c r="S537" s="66"/>
    </row>
    <row r="538" spans="2:19" x14ac:dyDescent="0.2">
      <c r="B538" s="245"/>
      <c r="C538" s="245"/>
      <c r="D538" s="245"/>
      <c r="E538" s="245"/>
      <c r="F538" s="245"/>
      <c r="G538" s="579"/>
      <c r="H538" s="245"/>
      <c r="I538" s="245"/>
      <c r="J538" s="245"/>
      <c r="K538" s="245"/>
      <c r="L538" s="245"/>
      <c r="N538" s="579"/>
      <c r="O538" s="579"/>
      <c r="P538" s="579"/>
      <c r="Q538" s="66"/>
      <c r="R538" s="66"/>
      <c r="S538" s="66"/>
    </row>
    <row r="539" spans="2:19" x14ac:dyDescent="0.2">
      <c r="B539" s="245"/>
      <c r="C539" s="245"/>
      <c r="D539" s="245"/>
      <c r="E539" s="245"/>
      <c r="F539" s="245"/>
      <c r="G539" s="579"/>
      <c r="H539" s="245"/>
      <c r="I539" s="245"/>
      <c r="J539" s="245"/>
      <c r="K539" s="245"/>
      <c r="L539" s="245"/>
      <c r="N539" s="579"/>
      <c r="O539" s="579"/>
      <c r="P539" s="579"/>
      <c r="Q539" s="66"/>
      <c r="R539" s="66"/>
      <c r="S539" s="66"/>
    </row>
    <row r="540" spans="2:19" x14ac:dyDescent="0.2">
      <c r="B540" s="245"/>
      <c r="C540" s="245"/>
      <c r="D540" s="245"/>
      <c r="E540" s="245"/>
      <c r="F540" s="245"/>
      <c r="G540" s="579"/>
      <c r="H540" s="245"/>
      <c r="I540" s="245"/>
      <c r="J540" s="245"/>
      <c r="K540" s="245"/>
      <c r="L540" s="245"/>
      <c r="N540" s="579"/>
      <c r="O540" s="579"/>
      <c r="P540" s="579"/>
      <c r="Q540" s="66"/>
      <c r="R540" s="66"/>
      <c r="S540" s="66"/>
    </row>
    <row r="541" spans="2:19" x14ac:dyDescent="0.2">
      <c r="B541" s="245"/>
      <c r="C541" s="245"/>
      <c r="D541" s="245"/>
      <c r="E541" s="245"/>
      <c r="F541" s="245"/>
      <c r="G541" s="579"/>
      <c r="H541" s="245"/>
      <c r="I541" s="245"/>
      <c r="J541" s="245"/>
      <c r="K541" s="245"/>
      <c r="L541" s="245"/>
      <c r="N541" s="579"/>
      <c r="O541" s="579"/>
      <c r="P541" s="579"/>
      <c r="Q541" s="66"/>
      <c r="R541" s="66"/>
      <c r="S541" s="66"/>
    </row>
    <row r="542" spans="2:19" x14ac:dyDescent="0.2">
      <c r="B542" s="245"/>
      <c r="C542" s="245"/>
      <c r="D542" s="245"/>
      <c r="E542" s="245"/>
      <c r="F542" s="245"/>
      <c r="G542" s="579"/>
      <c r="H542" s="245"/>
      <c r="I542" s="245"/>
      <c r="J542" s="245"/>
      <c r="K542" s="245"/>
      <c r="L542" s="245"/>
      <c r="N542" s="579"/>
      <c r="O542" s="579"/>
      <c r="P542" s="579"/>
      <c r="Q542" s="66"/>
      <c r="R542" s="66"/>
      <c r="S542" s="66"/>
    </row>
    <row r="543" spans="2:19" x14ac:dyDescent="0.2">
      <c r="B543" s="245"/>
      <c r="C543" s="245"/>
      <c r="D543" s="245"/>
      <c r="E543" s="245"/>
      <c r="F543" s="245"/>
      <c r="G543" s="579"/>
      <c r="H543" s="245"/>
      <c r="I543" s="245"/>
      <c r="J543" s="245"/>
      <c r="K543" s="245"/>
      <c r="L543" s="245"/>
      <c r="N543" s="579"/>
      <c r="O543" s="579"/>
      <c r="P543" s="579"/>
      <c r="Q543" s="66"/>
      <c r="R543" s="66"/>
      <c r="S543" s="66"/>
    </row>
    <row r="544" spans="2:19" x14ac:dyDescent="0.2">
      <c r="B544" s="245"/>
      <c r="C544" s="245"/>
      <c r="D544" s="245"/>
      <c r="E544" s="245"/>
      <c r="F544" s="245"/>
      <c r="G544" s="579"/>
      <c r="H544" s="245"/>
      <c r="I544" s="245"/>
      <c r="J544" s="245"/>
      <c r="K544" s="245"/>
      <c r="L544" s="245"/>
      <c r="N544" s="579"/>
      <c r="O544" s="579"/>
      <c r="P544" s="579"/>
      <c r="Q544" s="66"/>
      <c r="R544" s="66"/>
      <c r="S544" s="66"/>
    </row>
    <row r="545" spans="2:19" x14ac:dyDescent="0.2">
      <c r="B545" s="245"/>
      <c r="C545" s="245"/>
      <c r="D545" s="245"/>
      <c r="E545" s="245"/>
      <c r="F545" s="245"/>
      <c r="G545" s="579"/>
      <c r="H545" s="245"/>
      <c r="I545" s="245"/>
      <c r="J545" s="245"/>
      <c r="K545" s="245"/>
      <c r="L545" s="245"/>
      <c r="N545" s="579"/>
      <c r="O545" s="579"/>
      <c r="P545" s="579"/>
      <c r="Q545" s="66"/>
      <c r="R545" s="66"/>
      <c r="S545" s="66"/>
    </row>
    <row r="546" spans="2:19" x14ac:dyDescent="0.2">
      <c r="B546" s="245"/>
      <c r="C546" s="245"/>
      <c r="D546" s="245"/>
      <c r="E546" s="245"/>
      <c r="F546" s="245"/>
      <c r="G546" s="579"/>
      <c r="H546" s="245"/>
      <c r="I546" s="245"/>
      <c r="J546" s="245"/>
      <c r="K546" s="245"/>
      <c r="L546" s="245"/>
      <c r="N546" s="579"/>
      <c r="O546" s="579"/>
      <c r="P546" s="579"/>
      <c r="Q546" s="66"/>
      <c r="R546" s="66"/>
      <c r="S546" s="66"/>
    </row>
    <row r="547" spans="2:19" x14ac:dyDescent="0.2">
      <c r="B547" s="245"/>
      <c r="C547" s="245"/>
      <c r="D547" s="245"/>
      <c r="E547" s="245"/>
      <c r="F547" s="245"/>
      <c r="G547" s="579"/>
      <c r="H547" s="245"/>
      <c r="I547" s="245"/>
      <c r="J547" s="245"/>
      <c r="K547" s="245"/>
      <c r="L547" s="245"/>
      <c r="N547" s="579"/>
      <c r="O547" s="579"/>
      <c r="P547" s="579"/>
      <c r="Q547" s="66"/>
      <c r="R547" s="66"/>
      <c r="S547" s="66"/>
    </row>
    <row r="548" spans="2:19" x14ac:dyDescent="0.2">
      <c r="B548" s="245"/>
      <c r="C548" s="245"/>
      <c r="D548" s="245"/>
      <c r="E548" s="245"/>
      <c r="F548" s="245"/>
      <c r="G548" s="579"/>
      <c r="H548" s="245"/>
      <c r="I548" s="245"/>
      <c r="J548" s="245"/>
      <c r="K548" s="245"/>
      <c r="L548" s="245"/>
      <c r="N548" s="579"/>
      <c r="O548" s="579"/>
      <c r="P548" s="579"/>
      <c r="Q548" s="66"/>
      <c r="R548" s="66"/>
      <c r="S548" s="66"/>
    </row>
    <row r="549" spans="2:19" x14ac:dyDescent="0.2">
      <c r="B549" s="245"/>
      <c r="C549" s="245"/>
      <c r="D549" s="245"/>
      <c r="E549" s="245"/>
      <c r="F549" s="245"/>
      <c r="G549" s="579"/>
      <c r="H549" s="245"/>
      <c r="I549" s="245"/>
      <c r="J549" s="245"/>
      <c r="K549" s="245"/>
      <c r="L549" s="245"/>
      <c r="N549" s="579"/>
      <c r="O549" s="579"/>
      <c r="P549" s="579"/>
      <c r="Q549" s="66"/>
      <c r="R549" s="66"/>
      <c r="S549" s="66"/>
    </row>
    <row r="550" spans="2:19" x14ac:dyDescent="0.2">
      <c r="B550" s="245"/>
      <c r="C550" s="245"/>
      <c r="D550" s="245"/>
      <c r="E550" s="245"/>
      <c r="F550" s="245"/>
      <c r="G550" s="579"/>
      <c r="H550" s="245"/>
      <c r="I550" s="245"/>
      <c r="J550" s="245"/>
      <c r="K550" s="245"/>
      <c r="L550" s="245"/>
      <c r="N550" s="579"/>
      <c r="O550" s="579"/>
      <c r="P550" s="579"/>
      <c r="Q550" s="66"/>
      <c r="R550" s="66"/>
      <c r="S550" s="66"/>
    </row>
    <row r="551" spans="2:19" x14ac:dyDescent="0.2">
      <c r="B551" s="245"/>
      <c r="C551" s="245"/>
      <c r="D551" s="245"/>
      <c r="E551" s="245"/>
      <c r="F551" s="245"/>
      <c r="G551" s="579"/>
      <c r="H551" s="245"/>
      <c r="I551" s="245"/>
      <c r="J551" s="245"/>
      <c r="K551" s="245"/>
      <c r="L551" s="245"/>
      <c r="N551" s="579"/>
      <c r="O551" s="579"/>
      <c r="P551" s="579"/>
      <c r="Q551" s="66"/>
      <c r="R551" s="66"/>
      <c r="S551" s="66"/>
    </row>
    <row r="552" spans="2:19" x14ac:dyDescent="0.2">
      <c r="B552" s="245"/>
      <c r="C552" s="245"/>
      <c r="D552" s="245"/>
      <c r="E552" s="245"/>
      <c r="F552" s="245"/>
      <c r="G552" s="579"/>
      <c r="H552" s="245"/>
      <c r="I552" s="245"/>
      <c r="J552" s="245"/>
      <c r="K552" s="245"/>
      <c r="L552" s="245"/>
      <c r="N552" s="579"/>
      <c r="O552" s="579"/>
      <c r="P552" s="579"/>
      <c r="Q552" s="66"/>
      <c r="R552" s="66"/>
      <c r="S552" s="66"/>
    </row>
    <row r="553" spans="2:19" x14ac:dyDescent="0.2">
      <c r="B553" s="245"/>
      <c r="C553" s="245"/>
      <c r="D553" s="245"/>
      <c r="E553" s="245"/>
      <c r="F553" s="245"/>
      <c r="G553" s="579"/>
      <c r="H553" s="245"/>
      <c r="I553" s="245"/>
      <c r="J553" s="245"/>
      <c r="K553" s="245"/>
      <c r="L553" s="245"/>
      <c r="N553" s="579"/>
      <c r="O553" s="579"/>
      <c r="P553" s="579"/>
      <c r="Q553" s="66"/>
      <c r="R553" s="66"/>
      <c r="S553" s="66"/>
    </row>
    <row r="554" spans="2:19" x14ac:dyDescent="0.2">
      <c r="B554" s="245"/>
      <c r="C554" s="245"/>
      <c r="D554" s="245"/>
      <c r="E554" s="245"/>
      <c r="F554" s="245"/>
      <c r="G554" s="579"/>
      <c r="H554" s="245"/>
      <c r="I554" s="245"/>
      <c r="J554" s="245"/>
      <c r="K554" s="245"/>
      <c r="L554" s="245"/>
      <c r="N554" s="579"/>
      <c r="O554" s="579"/>
      <c r="P554" s="579"/>
      <c r="Q554" s="66"/>
      <c r="R554" s="66"/>
      <c r="S554" s="66"/>
    </row>
    <row r="555" spans="2:19" x14ac:dyDescent="0.2">
      <c r="B555" s="245"/>
      <c r="C555" s="245"/>
      <c r="D555" s="245"/>
      <c r="E555" s="245"/>
      <c r="F555" s="245"/>
      <c r="G555" s="579"/>
      <c r="H555" s="245"/>
      <c r="I555" s="245"/>
      <c r="J555" s="245"/>
      <c r="K555" s="245"/>
      <c r="L555" s="245"/>
      <c r="N555" s="579"/>
      <c r="O555" s="579"/>
      <c r="P555" s="579"/>
      <c r="Q555" s="66"/>
      <c r="R555" s="66"/>
      <c r="S555" s="66"/>
    </row>
    <row r="556" spans="2:19" x14ac:dyDescent="0.2">
      <c r="B556" s="245"/>
      <c r="C556" s="245"/>
      <c r="D556" s="245"/>
      <c r="E556" s="245"/>
      <c r="F556" s="245"/>
      <c r="G556" s="579"/>
      <c r="H556" s="245"/>
      <c r="I556" s="245"/>
      <c r="J556" s="245"/>
      <c r="K556" s="245"/>
      <c r="L556" s="245"/>
      <c r="N556" s="579"/>
      <c r="O556" s="579"/>
      <c r="P556" s="579"/>
      <c r="Q556" s="66"/>
      <c r="R556" s="66"/>
      <c r="S556" s="66"/>
    </row>
    <row r="557" spans="2:19" x14ac:dyDescent="0.2">
      <c r="B557" s="245"/>
      <c r="C557" s="245"/>
      <c r="D557" s="245"/>
      <c r="E557" s="245"/>
      <c r="F557" s="245"/>
      <c r="G557" s="579"/>
      <c r="H557" s="245"/>
      <c r="I557" s="245"/>
      <c r="J557" s="245"/>
      <c r="K557" s="245"/>
      <c r="L557" s="245"/>
      <c r="N557" s="579"/>
      <c r="O557" s="579"/>
      <c r="P557" s="579"/>
      <c r="Q557" s="66"/>
      <c r="R557" s="66"/>
      <c r="S557" s="66"/>
    </row>
    <row r="558" spans="2:19" x14ac:dyDescent="0.2">
      <c r="B558" s="245"/>
      <c r="C558" s="245"/>
      <c r="D558" s="245"/>
      <c r="E558" s="245"/>
      <c r="F558" s="245"/>
      <c r="G558" s="579"/>
      <c r="H558" s="245"/>
      <c r="I558" s="245"/>
      <c r="J558" s="245"/>
      <c r="K558" s="245"/>
      <c r="L558" s="245"/>
      <c r="N558" s="579"/>
      <c r="O558" s="579"/>
      <c r="P558" s="579"/>
      <c r="Q558" s="66"/>
      <c r="R558" s="66"/>
      <c r="S558" s="66"/>
    </row>
    <row r="559" spans="2:19" x14ac:dyDescent="0.2">
      <c r="B559" s="245"/>
      <c r="C559" s="245"/>
      <c r="D559" s="245"/>
      <c r="E559" s="245"/>
      <c r="F559" s="245"/>
      <c r="G559" s="579"/>
      <c r="H559" s="245"/>
      <c r="I559" s="245"/>
      <c r="J559" s="245"/>
      <c r="K559" s="245"/>
      <c r="L559" s="245"/>
      <c r="N559" s="579"/>
      <c r="O559" s="579"/>
      <c r="P559" s="579"/>
      <c r="Q559" s="66"/>
      <c r="R559" s="66"/>
      <c r="S559" s="66"/>
    </row>
    <row r="560" spans="2:19" x14ac:dyDescent="0.2">
      <c r="B560" s="245"/>
      <c r="C560" s="245"/>
      <c r="D560" s="245"/>
      <c r="E560" s="245"/>
      <c r="F560" s="245"/>
      <c r="G560" s="579"/>
      <c r="H560" s="245"/>
      <c r="I560" s="245"/>
      <c r="J560" s="245"/>
      <c r="K560" s="245"/>
      <c r="L560" s="245"/>
      <c r="N560" s="579"/>
      <c r="O560" s="579"/>
      <c r="P560" s="579"/>
      <c r="Q560" s="66"/>
      <c r="R560" s="66"/>
      <c r="S560" s="66"/>
    </row>
    <row r="561" spans="2:19" x14ac:dyDescent="0.2">
      <c r="B561" s="245"/>
      <c r="C561" s="245"/>
      <c r="D561" s="245"/>
      <c r="E561" s="245"/>
      <c r="F561" s="245"/>
      <c r="G561" s="579"/>
      <c r="H561" s="245"/>
      <c r="I561" s="245"/>
      <c r="J561" s="245"/>
      <c r="K561" s="245"/>
      <c r="L561" s="245"/>
      <c r="N561" s="579"/>
      <c r="O561" s="579"/>
      <c r="P561" s="579"/>
      <c r="Q561" s="66"/>
      <c r="R561" s="66"/>
      <c r="S561" s="66"/>
    </row>
    <row r="562" spans="2:19" x14ac:dyDescent="0.2">
      <c r="B562" s="245"/>
      <c r="C562" s="245"/>
      <c r="D562" s="245"/>
      <c r="E562" s="245"/>
      <c r="F562" s="245"/>
      <c r="G562" s="579"/>
      <c r="H562" s="245"/>
      <c r="I562" s="245"/>
      <c r="J562" s="245"/>
      <c r="K562" s="245"/>
      <c r="L562" s="245"/>
      <c r="N562" s="579"/>
      <c r="O562" s="579"/>
      <c r="P562" s="579"/>
      <c r="Q562" s="66"/>
      <c r="R562" s="66"/>
      <c r="S562" s="66"/>
    </row>
    <row r="563" spans="2:19" x14ac:dyDescent="0.2">
      <c r="B563" s="245"/>
      <c r="C563" s="245"/>
      <c r="D563" s="245"/>
      <c r="E563" s="245"/>
      <c r="F563" s="245"/>
      <c r="G563" s="579"/>
      <c r="H563" s="245"/>
      <c r="I563" s="245"/>
      <c r="J563" s="245"/>
      <c r="K563" s="245"/>
      <c r="L563" s="245"/>
      <c r="N563" s="579"/>
      <c r="O563" s="579"/>
      <c r="P563" s="579"/>
      <c r="Q563" s="66"/>
      <c r="R563" s="66"/>
      <c r="S563" s="66"/>
    </row>
    <row r="564" spans="2:19" x14ac:dyDescent="0.2">
      <c r="B564" s="245"/>
      <c r="C564" s="245"/>
      <c r="D564" s="245"/>
      <c r="E564" s="245"/>
      <c r="F564" s="245"/>
      <c r="G564" s="579"/>
      <c r="H564" s="245"/>
      <c r="I564" s="245"/>
      <c r="J564" s="245"/>
      <c r="K564" s="245"/>
      <c r="L564" s="245"/>
      <c r="N564" s="579"/>
      <c r="O564" s="579"/>
      <c r="P564" s="579"/>
      <c r="Q564" s="66"/>
      <c r="R564" s="66"/>
      <c r="S564" s="66"/>
    </row>
    <row r="565" spans="2:19" x14ac:dyDescent="0.2">
      <c r="B565" s="245"/>
      <c r="C565" s="245"/>
      <c r="D565" s="245"/>
      <c r="E565" s="245"/>
      <c r="F565" s="245"/>
      <c r="G565" s="579"/>
      <c r="H565" s="245"/>
      <c r="I565" s="245"/>
      <c r="J565" s="245"/>
      <c r="K565" s="245"/>
      <c r="L565" s="245"/>
      <c r="N565" s="579"/>
      <c r="O565" s="579"/>
      <c r="P565" s="579"/>
      <c r="Q565" s="66"/>
      <c r="R565" s="66"/>
      <c r="S565" s="66"/>
    </row>
    <row r="566" spans="2:19" x14ac:dyDescent="0.2">
      <c r="B566" s="245"/>
      <c r="C566" s="245"/>
      <c r="D566" s="245"/>
      <c r="E566" s="245"/>
      <c r="F566" s="245"/>
      <c r="G566" s="579"/>
      <c r="H566" s="245"/>
      <c r="I566" s="245"/>
      <c r="J566" s="245"/>
      <c r="K566" s="245"/>
      <c r="L566" s="245"/>
      <c r="N566" s="579"/>
      <c r="O566" s="579"/>
      <c r="P566" s="579"/>
      <c r="Q566" s="66"/>
      <c r="R566" s="66"/>
      <c r="S566" s="66"/>
    </row>
    <row r="567" spans="2:19" x14ac:dyDescent="0.2">
      <c r="B567" s="245"/>
      <c r="C567" s="245"/>
      <c r="D567" s="245"/>
      <c r="E567" s="245"/>
      <c r="F567" s="245"/>
      <c r="G567" s="579"/>
      <c r="H567" s="245"/>
      <c r="I567" s="245"/>
      <c r="J567" s="245"/>
      <c r="K567" s="245"/>
      <c r="L567" s="245"/>
      <c r="N567" s="579"/>
      <c r="O567" s="579"/>
      <c r="P567" s="579"/>
      <c r="Q567" s="66"/>
      <c r="R567" s="66"/>
      <c r="S567" s="66"/>
    </row>
    <row r="568" spans="2:19" x14ac:dyDescent="0.2">
      <c r="B568" s="245"/>
      <c r="C568" s="245"/>
      <c r="D568" s="245"/>
      <c r="E568" s="245"/>
      <c r="F568" s="245"/>
      <c r="G568" s="579"/>
      <c r="H568" s="245"/>
      <c r="I568" s="245"/>
      <c r="J568" s="245"/>
      <c r="K568" s="245"/>
      <c r="L568" s="245"/>
      <c r="N568" s="579"/>
      <c r="O568" s="579"/>
      <c r="P568" s="579"/>
      <c r="Q568" s="66"/>
      <c r="R568" s="66"/>
      <c r="S568" s="66"/>
    </row>
    <row r="569" spans="2:19" x14ac:dyDescent="0.2">
      <c r="B569" s="245"/>
      <c r="C569" s="245"/>
      <c r="D569" s="245"/>
      <c r="E569" s="245"/>
      <c r="F569" s="245"/>
      <c r="G569" s="579"/>
      <c r="H569" s="245"/>
      <c r="I569" s="245"/>
      <c r="J569" s="245"/>
      <c r="K569" s="245"/>
      <c r="L569" s="245"/>
      <c r="N569" s="579"/>
      <c r="O569" s="579"/>
      <c r="P569" s="579"/>
      <c r="Q569" s="66"/>
      <c r="R569" s="66"/>
      <c r="S569" s="66"/>
    </row>
    <row r="570" spans="2:19" x14ac:dyDescent="0.2">
      <c r="B570" s="245"/>
      <c r="C570" s="245"/>
      <c r="D570" s="245"/>
      <c r="E570" s="245"/>
      <c r="F570" s="245"/>
      <c r="G570" s="579"/>
      <c r="H570" s="245"/>
      <c r="I570" s="245"/>
      <c r="J570" s="245"/>
      <c r="K570" s="245"/>
      <c r="L570" s="245"/>
      <c r="N570" s="579"/>
      <c r="O570" s="579"/>
      <c r="P570" s="579"/>
      <c r="Q570" s="66"/>
      <c r="R570" s="66"/>
      <c r="S570" s="66"/>
    </row>
    <row r="571" spans="2:19" x14ac:dyDescent="0.2">
      <c r="B571" s="245"/>
      <c r="C571" s="245"/>
      <c r="D571" s="245"/>
      <c r="E571" s="245"/>
      <c r="F571" s="245"/>
      <c r="G571" s="579"/>
      <c r="H571" s="245"/>
      <c r="I571" s="245"/>
      <c r="J571" s="245"/>
      <c r="K571" s="245"/>
      <c r="L571" s="245"/>
      <c r="N571" s="579"/>
      <c r="O571" s="579"/>
      <c r="P571" s="579"/>
      <c r="Q571" s="66"/>
      <c r="R571" s="66"/>
      <c r="S571" s="66"/>
    </row>
    <row r="572" spans="2:19" x14ac:dyDescent="0.2">
      <c r="B572" s="245"/>
      <c r="C572" s="245"/>
      <c r="D572" s="245"/>
      <c r="E572" s="245"/>
      <c r="F572" s="245"/>
      <c r="G572" s="579"/>
      <c r="H572" s="245"/>
      <c r="I572" s="245"/>
      <c r="J572" s="245"/>
      <c r="K572" s="245"/>
      <c r="L572" s="245"/>
      <c r="N572" s="579"/>
      <c r="O572" s="579"/>
      <c r="P572" s="579"/>
      <c r="Q572" s="66"/>
      <c r="R572" s="66"/>
      <c r="S572" s="66"/>
    </row>
    <row r="573" spans="2:19" x14ac:dyDescent="0.2">
      <c r="B573" s="245"/>
      <c r="C573" s="245"/>
      <c r="D573" s="245"/>
      <c r="E573" s="245"/>
      <c r="F573" s="245"/>
      <c r="G573" s="579"/>
      <c r="H573" s="245"/>
      <c r="I573" s="245"/>
      <c r="J573" s="245"/>
      <c r="K573" s="245"/>
      <c r="L573" s="245"/>
      <c r="N573" s="579"/>
      <c r="O573" s="579"/>
      <c r="P573" s="579"/>
      <c r="Q573" s="66"/>
      <c r="R573" s="66"/>
      <c r="S573" s="66"/>
    </row>
    <row r="574" spans="2:19" x14ac:dyDescent="0.2">
      <c r="B574" s="245"/>
      <c r="C574" s="245"/>
      <c r="D574" s="245"/>
      <c r="E574" s="245"/>
      <c r="F574" s="245"/>
      <c r="G574" s="579"/>
      <c r="H574" s="245"/>
      <c r="I574" s="245"/>
      <c r="J574" s="245"/>
      <c r="K574" s="245"/>
      <c r="L574" s="245"/>
      <c r="N574" s="579"/>
      <c r="O574" s="579"/>
      <c r="P574" s="579"/>
      <c r="Q574" s="66"/>
      <c r="R574" s="66"/>
      <c r="S574" s="66"/>
    </row>
    <row r="575" spans="2:19" x14ac:dyDescent="0.2">
      <c r="B575" s="245"/>
      <c r="C575" s="245"/>
      <c r="D575" s="245"/>
      <c r="E575" s="245"/>
      <c r="F575" s="245"/>
      <c r="G575" s="579"/>
      <c r="H575" s="245"/>
      <c r="I575" s="245"/>
      <c r="J575" s="245"/>
      <c r="K575" s="245"/>
      <c r="L575" s="245"/>
      <c r="N575" s="579"/>
      <c r="O575" s="579"/>
      <c r="P575" s="579"/>
      <c r="Q575" s="66"/>
      <c r="R575" s="66"/>
      <c r="S575" s="66"/>
    </row>
    <row r="576" spans="2:19" x14ac:dyDescent="0.2">
      <c r="B576" s="245"/>
      <c r="C576" s="245"/>
      <c r="D576" s="245"/>
      <c r="E576" s="245"/>
      <c r="F576" s="245"/>
      <c r="G576" s="579"/>
      <c r="H576" s="245"/>
      <c r="I576" s="245"/>
      <c r="J576" s="245"/>
      <c r="K576" s="245"/>
      <c r="L576" s="245"/>
      <c r="N576" s="579"/>
      <c r="O576" s="579"/>
      <c r="P576" s="579"/>
      <c r="Q576" s="66"/>
      <c r="R576" s="66"/>
      <c r="S576" s="66"/>
    </row>
    <row r="577" spans="2:19" x14ac:dyDescent="0.2">
      <c r="B577" s="245"/>
      <c r="C577" s="245"/>
      <c r="D577" s="245"/>
      <c r="E577" s="245"/>
      <c r="F577" s="245"/>
      <c r="G577" s="579"/>
      <c r="H577" s="245"/>
      <c r="I577" s="245"/>
      <c r="J577" s="245"/>
      <c r="K577" s="245"/>
      <c r="L577" s="245"/>
      <c r="N577" s="579"/>
      <c r="O577" s="579"/>
      <c r="P577" s="579"/>
      <c r="Q577" s="66"/>
      <c r="R577" s="66"/>
      <c r="S577" s="66"/>
    </row>
    <row r="578" spans="2:19" x14ac:dyDescent="0.2">
      <c r="B578" s="245"/>
      <c r="C578" s="245"/>
      <c r="D578" s="245"/>
      <c r="E578" s="245"/>
      <c r="F578" s="245"/>
      <c r="G578" s="579"/>
      <c r="H578" s="245"/>
      <c r="I578" s="245"/>
      <c r="J578" s="245"/>
      <c r="K578" s="245"/>
      <c r="L578" s="245"/>
      <c r="N578" s="579"/>
      <c r="O578" s="579"/>
      <c r="P578" s="579"/>
      <c r="Q578" s="66"/>
      <c r="R578" s="66"/>
      <c r="S578" s="66"/>
    </row>
    <row r="579" spans="2:19" x14ac:dyDescent="0.2">
      <c r="B579" s="245"/>
      <c r="C579" s="245"/>
      <c r="D579" s="245"/>
      <c r="E579" s="245"/>
      <c r="F579" s="245"/>
      <c r="G579" s="579"/>
      <c r="H579" s="245"/>
      <c r="I579" s="245"/>
      <c r="J579" s="245"/>
      <c r="K579" s="245"/>
      <c r="L579" s="245"/>
      <c r="N579" s="579"/>
      <c r="O579" s="579"/>
      <c r="P579" s="579"/>
      <c r="Q579" s="66"/>
      <c r="R579" s="66"/>
      <c r="S579" s="66"/>
    </row>
    <row r="580" spans="2:19" x14ac:dyDescent="0.2">
      <c r="B580" s="245"/>
      <c r="C580" s="245"/>
      <c r="D580" s="245"/>
      <c r="E580" s="245"/>
      <c r="F580" s="245"/>
      <c r="G580" s="579"/>
      <c r="H580" s="245"/>
      <c r="I580" s="245"/>
      <c r="J580" s="245"/>
      <c r="K580" s="245"/>
      <c r="L580" s="245"/>
      <c r="N580" s="579"/>
      <c r="O580" s="579"/>
      <c r="P580" s="579"/>
      <c r="Q580" s="66"/>
      <c r="R580" s="66"/>
      <c r="S580" s="66"/>
    </row>
    <row r="581" spans="2:19" x14ac:dyDescent="0.2">
      <c r="B581" s="245"/>
      <c r="C581" s="245"/>
      <c r="D581" s="245"/>
      <c r="E581" s="245"/>
      <c r="F581" s="245"/>
      <c r="G581" s="579"/>
      <c r="H581" s="245"/>
      <c r="I581" s="245"/>
      <c r="J581" s="245"/>
      <c r="K581" s="245"/>
      <c r="L581" s="245"/>
      <c r="N581" s="579"/>
      <c r="O581" s="579"/>
      <c r="P581" s="579"/>
      <c r="Q581" s="66"/>
      <c r="R581" s="66"/>
      <c r="S581" s="66"/>
    </row>
    <row r="582" spans="2:19" x14ac:dyDescent="0.2">
      <c r="B582" s="245"/>
      <c r="C582" s="245"/>
      <c r="D582" s="245"/>
      <c r="E582" s="245"/>
      <c r="F582" s="245"/>
      <c r="G582" s="579"/>
      <c r="H582" s="245"/>
      <c r="I582" s="245"/>
      <c r="J582" s="245"/>
      <c r="K582" s="245"/>
      <c r="L582" s="245"/>
      <c r="N582" s="579"/>
      <c r="O582" s="579"/>
      <c r="P582" s="579"/>
      <c r="Q582" s="66"/>
      <c r="R582" s="66"/>
      <c r="S582" s="66"/>
    </row>
    <row r="583" spans="2:19" x14ac:dyDescent="0.2">
      <c r="B583" s="245"/>
      <c r="C583" s="245"/>
      <c r="D583" s="245"/>
      <c r="E583" s="245"/>
      <c r="F583" s="245"/>
      <c r="G583" s="579"/>
      <c r="H583" s="245"/>
      <c r="I583" s="245"/>
      <c r="J583" s="245"/>
      <c r="K583" s="245"/>
      <c r="L583" s="245"/>
      <c r="N583" s="579"/>
      <c r="O583" s="579"/>
      <c r="P583" s="579"/>
      <c r="Q583" s="66"/>
      <c r="R583" s="66"/>
      <c r="S583" s="66"/>
    </row>
    <row r="584" spans="2:19" x14ac:dyDescent="0.2">
      <c r="B584" s="245"/>
      <c r="C584" s="245"/>
      <c r="D584" s="245"/>
      <c r="E584" s="245"/>
      <c r="F584" s="245"/>
      <c r="G584" s="579"/>
      <c r="H584" s="245"/>
      <c r="I584" s="245"/>
      <c r="J584" s="245"/>
      <c r="K584" s="245"/>
      <c r="L584" s="245"/>
      <c r="N584" s="579"/>
      <c r="O584" s="579"/>
      <c r="P584" s="579"/>
      <c r="Q584" s="66"/>
      <c r="R584" s="66"/>
      <c r="S584" s="66"/>
    </row>
    <row r="585" spans="2:19" x14ac:dyDescent="0.2">
      <c r="B585" s="245"/>
      <c r="C585" s="245"/>
      <c r="D585" s="245"/>
      <c r="E585" s="245"/>
      <c r="F585" s="245"/>
      <c r="G585" s="579"/>
      <c r="H585" s="245"/>
      <c r="I585" s="245"/>
      <c r="J585" s="245"/>
      <c r="K585" s="245"/>
      <c r="L585" s="245"/>
      <c r="N585" s="579"/>
      <c r="O585" s="579"/>
      <c r="P585" s="579"/>
      <c r="Q585" s="66"/>
      <c r="R585" s="66"/>
      <c r="S585" s="66"/>
    </row>
    <row r="586" spans="2:19" x14ac:dyDescent="0.2">
      <c r="B586" s="245"/>
      <c r="C586" s="245"/>
      <c r="D586" s="245"/>
      <c r="E586" s="245"/>
      <c r="F586" s="245"/>
      <c r="G586" s="579"/>
      <c r="H586" s="245"/>
      <c r="I586" s="245"/>
      <c r="J586" s="245"/>
      <c r="K586" s="245"/>
      <c r="L586" s="245"/>
      <c r="N586" s="579"/>
      <c r="O586" s="579"/>
      <c r="P586" s="579"/>
      <c r="Q586" s="66"/>
      <c r="R586" s="66"/>
      <c r="S586" s="66"/>
    </row>
    <row r="587" spans="2:19" x14ac:dyDescent="0.2">
      <c r="B587" s="245"/>
      <c r="C587" s="245"/>
      <c r="D587" s="245"/>
      <c r="E587" s="245"/>
      <c r="F587" s="245"/>
      <c r="G587" s="579"/>
      <c r="H587" s="245"/>
      <c r="I587" s="245"/>
      <c r="J587" s="245"/>
      <c r="K587" s="245"/>
      <c r="L587" s="245"/>
      <c r="N587" s="579"/>
      <c r="O587" s="579"/>
      <c r="P587" s="579"/>
      <c r="Q587" s="66"/>
      <c r="R587" s="66"/>
      <c r="S587" s="66"/>
    </row>
    <row r="588" spans="2:19" x14ac:dyDescent="0.2">
      <c r="B588" s="245"/>
      <c r="C588" s="245"/>
      <c r="D588" s="245"/>
      <c r="E588" s="245"/>
      <c r="F588" s="245"/>
      <c r="G588" s="579"/>
      <c r="H588" s="245"/>
      <c r="I588" s="245"/>
      <c r="J588" s="245"/>
      <c r="K588" s="245"/>
      <c r="L588" s="245"/>
      <c r="N588" s="579"/>
      <c r="O588" s="579"/>
      <c r="P588" s="579"/>
      <c r="Q588" s="66"/>
      <c r="R588" s="66"/>
      <c r="S588" s="66"/>
    </row>
    <row r="589" spans="2:19" x14ac:dyDescent="0.2">
      <c r="B589" s="245"/>
      <c r="C589" s="245"/>
      <c r="D589" s="245"/>
      <c r="E589" s="245"/>
      <c r="F589" s="245"/>
      <c r="G589" s="579"/>
      <c r="H589" s="245"/>
      <c r="I589" s="245"/>
      <c r="J589" s="245"/>
      <c r="K589" s="245"/>
      <c r="L589" s="245"/>
      <c r="N589" s="579"/>
      <c r="O589" s="579"/>
      <c r="P589" s="579"/>
      <c r="Q589" s="66"/>
      <c r="R589" s="66"/>
      <c r="S589" s="66"/>
    </row>
    <row r="590" spans="2:19" x14ac:dyDescent="0.2">
      <c r="B590" s="245"/>
      <c r="C590" s="245"/>
      <c r="D590" s="245"/>
      <c r="E590" s="245"/>
      <c r="F590" s="245"/>
      <c r="G590" s="579"/>
      <c r="H590" s="245"/>
      <c r="I590" s="245"/>
      <c r="J590" s="245"/>
      <c r="K590" s="245"/>
      <c r="L590" s="245"/>
      <c r="N590" s="579"/>
      <c r="O590" s="579"/>
      <c r="P590" s="579"/>
      <c r="Q590" s="66"/>
      <c r="R590" s="66"/>
      <c r="S590" s="66"/>
    </row>
    <row r="591" spans="2:19" x14ac:dyDescent="0.2">
      <c r="B591" s="245"/>
      <c r="C591" s="245"/>
      <c r="D591" s="245"/>
      <c r="E591" s="245"/>
      <c r="F591" s="245"/>
      <c r="G591" s="579"/>
      <c r="H591" s="245"/>
      <c r="I591" s="245"/>
      <c r="J591" s="245"/>
      <c r="K591" s="245"/>
      <c r="L591" s="245"/>
      <c r="N591" s="579"/>
      <c r="O591" s="579"/>
      <c r="P591" s="579"/>
      <c r="Q591" s="66"/>
      <c r="R591" s="66"/>
      <c r="S591" s="66"/>
    </row>
    <row r="592" spans="2:19" x14ac:dyDescent="0.2">
      <c r="B592" s="245"/>
      <c r="C592" s="245"/>
      <c r="D592" s="245"/>
      <c r="E592" s="245"/>
      <c r="F592" s="245"/>
      <c r="G592" s="579"/>
      <c r="H592" s="245"/>
      <c r="I592" s="245"/>
      <c r="J592" s="245"/>
      <c r="K592" s="245"/>
      <c r="L592" s="245"/>
      <c r="N592" s="579"/>
      <c r="O592" s="579"/>
      <c r="P592" s="579"/>
      <c r="Q592" s="66"/>
      <c r="R592" s="66"/>
      <c r="S592" s="66"/>
    </row>
    <row r="593" spans="2:19" x14ac:dyDescent="0.2">
      <c r="B593" s="245"/>
      <c r="C593" s="245"/>
      <c r="D593" s="245"/>
      <c r="E593" s="245"/>
      <c r="F593" s="245"/>
      <c r="G593" s="579"/>
      <c r="H593" s="245"/>
      <c r="I593" s="245"/>
      <c r="J593" s="245"/>
      <c r="K593" s="245"/>
      <c r="L593" s="245"/>
      <c r="N593" s="579"/>
      <c r="O593" s="579"/>
      <c r="P593" s="579"/>
      <c r="Q593" s="66"/>
      <c r="R593" s="66"/>
      <c r="S593" s="66"/>
    </row>
    <row r="594" spans="2:19" x14ac:dyDescent="0.2">
      <c r="B594" s="245"/>
      <c r="C594" s="245"/>
      <c r="D594" s="245"/>
      <c r="E594" s="245"/>
      <c r="F594" s="245"/>
      <c r="G594" s="579"/>
      <c r="H594" s="245"/>
      <c r="I594" s="245"/>
      <c r="J594" s="245"/>
      <c r="K594" s="245"/>
      <c r="L594" s="245"/>
      <c r="N594" s="579"/>
      <c r="O594" s="579"/>
      <c r="P594" s="579"/>
      <c r="Q594" s="66"/>
      <c r="R594" s="66"/>
      <c r="S594" s="66"/>
    </row>
    <row r="595" spans="2:19" x14ac:dyDescent="0.2">
      <c r="B595" s="245"/>
      <c r="C595" s="245"/>
      <c r="D595" s="245"/>
      <c r="E595" s="245"/>
      <c r="F595" s="245"/>
      <c r="G595" s="579"/>
      <c r="H595" s="245"/>
      <c r="I595" s="245"/>
      <c r="J595" s="245"/>
      <c r="K595" s="245"/>
      <c r="L595" s="245"/>
      <c r="N595" s="579"/>
      <c r="O595" s="579"/>
      <c r="P595" s="579"/>
      <c r="Q595" s="66"/>
      <c r="R595" s="66"/>
      <c r="S595" s="66"/>
    </row>
    <row r="596" spans="2:19" x14ac:dyDescent="0.2">
      <c r="B596" s="245"/>
      <c r="C596" s="245"/>
      <c r="D596" s="245"/>
      <c r="E596" s="245"/>
      <c r="F596" s="245"/>
      <c r="G596" s="579"/>
      <c r="H596" s="245"/>
      <c r="I596" s="245"/>
      <c r="J596" s="245"/>
      <c r="K596" s="245"/>
      <c r="L596" s="245"/>
      <c r="N596" s="579"/>
      <c r="O596" s="579"/>
      <c r="P596" s="579"/>
      <c r="Q596" s="66"/>
      <c r="R596" s="66"/>
      <c r="S596" s="66"/>
    </row>
    <row r="597" spans="2:19" x14ac:dyDescent="0.2">
      <c r="B597" s="245"/>
      <c r="C597" s="245"/>
      <c r="D597" s="245"/>
      <c r="E597" s="245"/>
      <c r="F597" s="245"/>
      <c r="G597" s="579"/>
      <c r="H597" s="245"/>
      <c r="I597" s="245"/>
      <c r="J597" s="245"/>
      <c r="K597" s="245"/>
      <c r="L597" s="245"/>
      <c r="N597" s="579"/>
      <c r="O597" s="579"/>
      <c r="P597" s="579"/>
      <c r="Q597" s="66"/>
      <c r="R597" s="66"/>
      <c r="S597" s="66"/>
    </row>
    <row r="598" spans="2:19" x14ac:dyDescent="0.2">
      <c r="B598" s="245"/>
      <c r="C598" s="245"/>
      <c r="D598" s="245"/>
      <c r="E598" s="245"/>
      <c r="F598" s="245"/>
      <c r="G598" s="579"/>
      <c r="H598" s="245"/>
      <c r="I598" s="245"/>
      <c r="J598" s="245"/>
      <c r="K598" s="245"/>
      <c r="L598" s="245"/>
      <c r="N598" s="579"/>
      <c r="O598" s="579"/>
      <c r="P598" s="579"/>
      <c r="Q598" s="66"/>
      <c r="R598" s="66"/>
      <c r="S598" s="66"/>
    </row>
    <row r="599" spans="2:19" x14ac:dyDescent="0.2">
      <c r="B599" s="245"/>
      <c r="C599" s="245"/>
      <c r="D599" s="245"/>
      <c r="E599" s="245"/>
      <c r="F599" s="245"/>
      <c r="G599" s="579"/>
      <c r="H599" s="245"/>
      <c r="I599" s="245"/>
      <c r="J599" s="245"/>
      <c r="K599" s="245"/>
      <c r="L599" s="245"/>
      <c r="N599" s="579"/>
      <c r="O599" s="579"/>
      <c r="P599" s="579"/>
      <c r="Q599" s="66"/>
      <c r="R599" s="66"/>
      <c r="S599" s="66"/>
    </row>
    <row r="600" spans="2:19" x14ac:dyDescent="0.2">
      <c r="B600" s="245"/>
      <c r="C600" s="245"/>
      <c r="D600" s="245"/>
      <c r="E600" s="245"/>
      <c r="F600" s="245"/>
      <c r="G600" s="579"/>
      <c r="H600" s="245"/>
      <c r="I600" s="245"/>
      <c r="J600" s="245"/>
      <c r="K600" s="245"/>
      <c r="L600" s="245"/>
      <c r="N600" s="579"/>
      <c r="O600" s="579"/>
      <c r="P600" s="579"/>
      <c r="Q600" s="66"/>
      <c r="R600" s="66"/>
      <c r="S600" s="66"/>
    </row>
    <row r="601" spans="2:19" x14ac:dyDescent="0.2">
      <c r="B601" s="245"/>
      <c r="C601" s="245"/>
      <c r="D601" s="245"/>
      <c r="E601" s="245"/>
      <c r="F601" s="245"/>
      <c r="G601" s="579"/>
      <c r="H601" s="245"/>
      <c r="I601" s="245"/>
      <c r="J601" s="245"/>
      <c r="K601" s="245"/>
      <c r="L601" s="245"/>
      <c r="N601" s="579"/>
      <c r="O601" s="579"/>
      <c r="P601" s="579"/>
      <c r="Q601" s="66"/>
      <c r="R601" s="66"/>
      <c r="S601" s="66"/>
    </row>
    <row r="602" spans="2:19" x14ac:dyDescent="0.2">
      <c r="B602" s="245"/>
      <c r="C602" s="245"/>
      <c r="D602" s="245"/>
      <c r="E602" s="245"/>
      <c r="F602" s="245"/>
      <c r="G602" s="579"/>
      <c r="H602" s="245"/>
      <c r="I602" s="245"/>
      <c r="J602" s="245"/>
      <c r="K602" s="245"/>
      <c r="L602" s="245"/>
      <c r="N602" s="579"/>
      <c r="O602" s="579"/>
      <c r="P602" s="579"/>
      <c r="Q602" s="66"/>
      <c r="R602" s="66"/>
      <c r="S602" s="66"/>
    </row>
    <row r="603" spans="2:19" x14ac:dyDescent="0.2">
      <c r="B603" s="245"/>
      <c r="C603" s="245"/>
      <c r="D603" s="245"/>
      <c r="E603" s="245"/>
      <c r="F603" s="245"/>
      <c r="G603" s="579"/>
      <c r="H603" s="245"/>
      <c r="I603" s="245"/>
      <c r="J603" s="245"/>
      <c r="K603" s="245"/>
      <c r="L603" s="245"/>
      <c r="N603" s="579"/>
      <c r="O603" s="579"/>
      <c r="P603" s="579"/>
      <c r="Q603" s="66"/>
      <c r="R603" s="66"/>
      <c r="S603" s="66"/>
    </row>
    <row r="604" spans="2:19" x14ac:dyDescent="0.2">
      <c r="B604" s="245"/>
      <c r="C604" s="245"/>
      <c r="D604" s="245"/>
      <c r="E604" s="245"/>
      <c r="F604" s="245"/>
      <c r="G604" s="579"/>
      <c r="H604" s="245"/>
      <c r="I604" s="245"/>
      <c r="J604" s="245"/>
      <c r="K604" s="245"/>
      <c r="L604" s="245"/>
      <c r="N604" s="579"/>
      <c r="O604" s="579"/>
      <c r="P604" s="579"/>
      <c r="Q604" s="66"/>
      <c r="R604" s="66"/>
      <c r="S604" s="66"/>
    </row>
    <row r="605" spans="2:19" x14ac:dyDescent="0.2">
      <c r="B605" s="245"/>
      <c r="C605" s="245"/>
      <c r="D605" s="245"/>
      <c r="E605" s="245"/>
      <c r="F605" s="245"/>
      <c r="G605" s="579"/>
      <c r="H605" s="245"/>
      <c r="I605" s="245"/>
      <c r="J605" s="245"/>
      <c r="K605" s="245"/>
      <c r="L605" s="245"/>
      <c r="N605" s="579"/>
      <c r="O605" s="579"/>
      <c r="P605" s="579"/>
      <c r="Q605" s="66"/>
      <c r="R605" s="66"/>
      <c r="S605" s="66"/>
    </row>
    <row r="606" spans="2:19" x14ac:dyDescent="0.2">
      <c r="B606" s="245"/>
      <c r="C606" s="245"/>
      <c r="D606" s="245"/>
      <c r="E606" s="245"/>
      <c r="F606" s="245"/>
      <c r="G606" s="579"/>
      <c r="H606" s="245"/>
      <c r="I606" s="245"/>
      <c r="J606" s="245"/>
      <c r="K606" s="245"/>
      <c r="L606" s="245"/>
      <c r="N606" s="579"/>
      <c r="O606" s="579"/>
      <c r="P606" s="579"/>
      <c r="Q606" s="66"/>
      <c r="R606" s="66"/>
      <c r="S606" s="66"/>
    </row>
    <row r="607" spans="2:19" x14ac:dyDescent="0.2">
      <c r="B607" s="245"/>
      <c r="C607" s="245"/>
      <c r="D607" s="245"/>
      <c r="E607" s="245"/>
      <c r="F607" s="245"/>
      <c r="G607" s="579"/>
      <c r="H607" s="245"/>
      <c r="I607" s="245"/>
      <c r="J607" s="245"/>
      <c r="K607" s="245"/>
      <c r="L607" s="245"/>
      <c r="N607" s="579"/>
      <c r="O607" s="579"/>
      <c r="P607" s="579"/>
      <c r="Q607" s="66"/>
      <c r="R607" s="66"/>
      <c r="S607" s="66"/>
    </row>
    <row r="608" spans="2:19" x14ac:dyDescent="0.2">
      <c r="B608" s="245"/>
      <c r="C608" s="245"/>
      <c r="D608" s="245"/>
      <c r="E608" s="245"/>
      <c r="F608" s="245"/>
      <c r="G608" s="579"/>
      <c r="H608" s="245"/>
      <c r="I608" s="245"/>
      <c r="J608" s="245"/>
      <c r="K608" s="245"/>
      <c r="L608" s="245"/>
      <c r="N608" s="579"/>
      <c r="O608" s="579"/>
      <c r="P608" s="579"/>
      <c r="Q608" s="66"/>
      <c r="R608" s="66"/>
      <c r="S608" s="66"/>
    </row>
    <row r="609" spans="2:19" x14ac:dyDescent="0.2">
      <c r="B609" s="245"/>
      <c r="C609" s="245"/>
      <c r="D609" s="245"/>
      <c r="E609" s="245"/>
      <c r="F609" s="245"/>
      <c r="G609" s="579"/>
      <c r="H609" s="245"/>
      <c r="I609" s="245"/>
      <c r="J609" s="245"/>
      <c r="K609" s="245"/>
      <c r="L609" s="245"/>
      <c r="N609" s="579"/>
      <c r="O609" s="579"/>
      <c r="P609" s="579"/>
      <c r="Q609" s="66"/>
      <c r="R609" s="66"/>
      <c r="S609" s="66"/>
    </row>
    <row r="610" spans="2:19" x14ac:dyDescent="0.2">
      <c r="B610" s="245"/>
      <c r="C610" s="245"/>
      <c r="D610" s="245"/>
      <c r="E610" s="245"/>
      <c r="F610" s="245"/>
      <c r="G610" s="579"/>
      <c r="H610" s="245"/>
      <c r="I610" s="245"/>
      <c r="J610" s="245"/>
      <c r="K610" s="245"/>
      <c r="L610" s="245"/>
      <c r="N610" s="579"/>
      <c r="O610" s="579"/>
      <c r="P610" s="579"/>
      <c r="Q610" s="66"/>
      <c r="R610" s="66"/>
      <c r="S610" s="66"/>
    </row>
    <row r="611" spans="2:19" x14ac:dyDescent="0.2">
      <c r="B611" s="245"/>
      <c r="C611" s="245"/>
      <c r="D611" s="245"/>
      <c r="E611" s="245"/>
      <c r="F611" s="245"/>
      <c r="G611" s="579"/>
      <c r="H611" s="245"/>
      <c r="I611" s="245"/>
      <c r="J611" s="245"/>
      <c r="K611" s="245"/>
      <c r="L611" s="245"/>
      <c r="N611" s="579"/>
      <c r="O611" s="579"/>
      <c r="P611" s="579"/>
      <c r="Q611" s="66"/>
      <c r="R611" s="66"/>
      <c r="S611" s="66"/>
    </row>
    <row r="612" spans="2:19" x14ac:dyDescent="0.2">
      <c r="B612" s="245"/>
      <c r="C612" s="245"/>
      <c r="D612" s="245"/>
      <c r="E612" s="245"/>
      <c r="F612" s="245"/>
      <c r="G612" s="579"/>
      <c r="H612" s="245"/>
      <c r="I612" s="245"/>
      <c r="J612" s="245"/>
      <c r="K612" s="245"/>
      <c r="L612" s="245"/>
      <c r="N612" s="579"/>
      <c r="O612" s="579"/>
      <c r="P612" s="579"/>
      <c r="Q612" s="66"/>
      <c r="R612" s="66"/>
      <c r="S612" s="66"/>
    </row>
    <row r="613" spans="2:19" x14ac:dyDescent="0.2">
      <c r="B613" s="245"/>
      <c r="C613" s="245"/>
      <c r="D613" s="245"/>
      <c r="E613" s="245"/>
      <c r="F613" s="245"/>
      <c r="G613" s="579"/>
      <c r="H613" s="245"/>
      <c r="I613" s="245"/>
      <c r="J613" s="245"/>
      <c r="K613" s="245"/>
      <c r="L613" s="245"/>
      <c r="N613" s="579"/>
      <c r="O613" s="579"/>
      <c r="P613" s="579"/>
      <c r="Q613" s="66"/>
      <c r="R613" s="66"/>
      <c r="S613" s="66"/>
    </row>
    <row r="614" spans="2:19" x14ac:dyDescent="0.2">
      <c r="B614" s="245"/>
      <c r="C614" s="245"/>
      <c r="D614" s="245"/>
      <c r="E614" s="245"/>
      <c r="F614" s="245"/>
      <c r="G614" s="579"/>
      <c r="H614" s="245"/>
      <c r="I614" s="245"/>
      <c r="J614" s="245"/>
      <c r="K614" s="245"/>
      <c r="L614" s="245"/>
      <c r="N614" s="579"/>
      <c r="O614" s="579"/>
      <c r="P614" s="579"/>
      <c r="Q614" s="66"/>
      <c r="R614" s="66"/>
      <c r="S614" s="66"/>
    </row>
    <row r="615" spans="2:19" x14ac:dyDescent="0.2">
      <c r="B615" s="245"/>
      <c r="C615" s="245"/>
      <c r="D615" s="245"/>
      <c r="E615" s="245"/>
      <c r="F615" s="245"/>
      <c r="G615" s="579"/>
      <c r="H615" s="245"/>
      <c r="I615" s="245"/>
      <c r="J615" s="245"/>
      <c r="K615" s="245"/>
      <c r="L615" s="245"/>
      <c r="N615" s="579"/>
      <c r="O615" s="579"/>
      <c r="P615" s="579"/>
      <c r="Q615" s="66"/>
      <c r="R615" s="66"/>
      <c r="S615" s="66"/>
    </row>
    <row r="616" spans="2:19" x14ac:dyDescent="0.2">
      <c r="B616" s="245"/>
      <c r="C616" s="245"/>
      <c r="D616" s="245"/>
      <c r="E616" s="245"/>
      <c r="F616" s="245"/>
      <c r="G616" s="579"/>
      <c r="H616" s="245"/>
      <c r="I616" s="245"/>
      <c r="J616" s="245"/>
      <c r="K616" s="245"/>
      <c r="L616" s="245"/>
      <c r="N616" s="579"/>
      <c r="O616" s="579"/>
      <c r="P616" s="579"/>
      <c r="Q616" s="66"/>
      <c r="R616" s="66"/>
      <c r="S616" s="66"/>
    </row>
    <row r="617" spans="2:19" x14ac:dyDescent="0.2">
      <c r="B617" s="245"/>
      <c r="C617" s="245"/>
      <c r="D617" s="245"/>
      <c r="E617" s="245"/>
      <c r="F617" s="245"/>
      <c r="G617" s="579"/>
      <c r="H617" s="245"/>
      <c r="I617" s="245"/>
      <c r="J617" s="245"/>
      <c r="K617" s="245"/>
      <c r="L617" s="245"/>
      <c r="N617" s="579"/>
      <c r="O617" s="579"/>
      <c r="P617" s="579"/>
      <c r="Q617" s="66"/>
      <c r="R617" s="66"/>
      <c r="S617" s="66"/>
    </row>
    <row r="618" spans="2:19" x14ac:dyDescent="0.2">
      <c r="B618" s="245"/>
      <c r="C618" s="245"/>
      <c r="D618" s="245"/>
      <c r="E618" s="245"/>
      <c r="F618" s="245"/>
      <c r="G618" s="579"/>
      <c r="H618" s="245"/>
      <c r="I618" s="245"/>
      <c r="J618" s="245"/>
      <c r="K618" s="245"/>
      <c r="L618" s="245"/>
      <c r="N618" s="579"/>
      <c r="O618" s="579"/>
      <c r="P618" s="579"/>
      <c r="Q618" s="66"/>
      <c r="R618" s="66"/>
      <c r="S618" s="66"/>
    </row>
    <row r="619" spans="2:19" x14ac:dyDescent="0.2">
      <c r="B619" s="245"/>
      <c r="C619" s="245"/>
      <c r="D619" s="245"/>
      <c r="E619" s="245"/>
      <c r="F619" s="245"/>
      <c r="G619" s="579"/>
      <c r="H619" s="245"/>
      <c r="I619" s="245"/>
      <c r="J619" s="245"/>
      <c r="K619" s="245"/>
      <c r="L619" s="245"/>
      <c r="N619" s="579"/>
      <c r="O619" s="579"/>
      <c r="P619" s="579"/>
      <c r="Q619" s="66"/>
      <c r="R619" s="66"/>
      <c r="S619" s="66"/>
    </row>
    <row r="620" spans="2:19" x14ac:dyDescent="0.2">
      <c r="B620" s="245"/>
      <c r="C620" s="245"/>
      <c r="D620" s="245"/>
      <c r="E620" s="245"/>
      <c r="F620" s="245"/>
      <c r="G620" s="579"/>
      <c r="H620" s="245"/>
      <c r="I620" s="245"/>
      <c r="J620" s="245"/>
      <c r="K620" s="245"/>
      <c r="L620" s="245"/>
      <c r="N620" s="579"/>
      <c r="O620" s="579"/>
      <c r="P620" s="579"/>
      <c r="Q620" s="66"/>
      <c r="R620" s="66"/>
      <c r="S620" s="66"/>
    </row>
    <row r="621" spans="2:19" x14ac:dyDescent="0.2">
      <c r="B621" s="245"/>
      <c r="C621" s="245"/>
      <c r="D621" s="245"/>
      <c r="E621" s="245"/>
      <c r="F621" s="245"/>
      <c r="G621" s="579"/>
      <c r="H621" s="245"/>
      <c r="I621" s="245"/>
      <c r="J621" s="245"/>
      <c r="K621" s="245"/>
      <c r="L621" s="245"/>
      <c r="N621" s="579"/>
      <c r="O621" s="579"/>
      <c r="P621" s="579"/>
      <c r="Q621" s="66"/>
      <c r="R621" s="66"/>
      <c r="S621" s="66"/>
    </row>
    <row r="622" spans="2:19" x14ac:dyDescent="0.2">
      <c r="B622" s="245"/>
      <c r="C622" s="245"/>
      <c r="D622" s="245"/>
      <c r="E622" s="245"/>
      <c r="F622" s="245"/>
      <c r="G622" s="579"/>
      <c r="H622" s="245"/>
      <c r="I622" s="245"/>
      <c r="J622" s="245"/>
      <c r="K622" s="245"/>
      <c r="L622" s="245"/>
      <c r="N622" s="579"/>
      <c r="O622" s="579"/>
      <c r="P622" s="579"/>
      <c r="Q622" s="66"/>
      <c r="R622" s="66"/>
      <c r="S622" s="66"/>
    </row>
    <row r="623" spans="2:19" x14ac:dyDescent="0.2">
      <c r="B623" s="245"/>
      <c r="C623" s="245"/>
      <c r="D623" s="245"/>
      <c r="E623" s="245"/>
      <c r="F623" s="245"/>
      <c r="G623" s="579"/>
      <c r="H623" s="245"/>
      <c r="I623" s="245"/>
      <c r="J623" s="245"/>
      <c r="K623" s="245"/>
      <c r="L623" s="245"/>
      <c r="N623" s="579"/>
      <c r="O623" s="579"/>
      <c r="P623" s="579"/>
      <c r="Q623" s="66"/>
      <c r="R623" s="66"/>
      <c r="S623" s="66"/>
    </row>
    <row r="624" spans="2:19" x14ac:dyDescent="0.2">
      <c r="B624" s="245"/>
      <c r="C624" s="245"/>
      <c r="D624" s="245"/>
      <c r="E624" s="245"/>
      <c r="F624" s="245"/>
      <c r="G624" s="579"/>
      <c r="H624" s="245"/>
      <c r="I624" s="245"/>
      <c r="J624" s="245"/>
      <c r="K624" s="245"/>
      <c r="L624" s="245"/>
      <c r="N624" s="579"/>
      <c r="O624" s="579"/>
      <c r="P624" s="579"/>
      <c r="Q624" s="66"/>
      <c r="R624" s="66"/>
      <c r="S624" s="66"/>
    </row>
    <row r="625" spans="2:19" x14ac:dyDescent="0.2">
      <c r="B625" s="245"/>
      <c r="C625" s="245"/>
      <c r="D625" s="245"/>
      <c r="E625" s="245"/>
      <c r="F625" s="245"/>
      <c r="G625" s="579"/>
      <c r="H625" s="245"/>
      <c r="I625" s="245"/>
      <c r="J625" s="245"/>
      <c r="K625" s="245"/>
      <c r="L625" s="245"/>
      <c r="N625" s="579"/>
      <c r="O625" s="579"/>
      <c r="P625" s="579"/>
      <c r="Q625" s="66"/>
      <c r="R625" s="66"/>
      <c r="S625" s="66"/>
    </row>
    <row r="626" spans="2:19" x14ac:dyDescent="0.2">
      <c r="B626" s="245"/>
      <c r="C626" s="245"/>
      <c r="D626" s="245"/>
      <c r="E626" s="245"/>
      <c r="F626" s="245"/>
      <c r="G626" s="579"/>
      <c r="H626" s="245"/>
      <c r="I626" s="245"/>
      <c r="J626" s="245"/>
      <c r="K626" s="245"/>
      <c r="L626" s="245"/>
      <c r="N626" s="579"/>
      <c r="O626" s="579"/>
      <c r="P626" s="579"/>
      <c r="Q626" s="66"/>
      <c r="R626" s="66"/>
      <c r="S626" s="66"/>
    </row>
    <row r="627" spans="2:19" x14ac:dyDescent="0.2">
      <c r="B627" s="245"/>
      <c r="C627" s="245"/>
      <c r="D627" s="245"/>
      <c r="E627" s="245"/>
      <c r="F627" s="245"/>
      <c r="G627" s="579"/>
      <c r="H627" s="245"/>
      <c r="I627" s="245"/>
      <c r="J627" s="245"/>
      <c r="K627" s="245"/>
      <c r="L627" s="245"/>
      <c r="N627" s="579"/>
      <c r="O627" s="579"/>
      <c r="P627" s="579"/>
      <c r="Q627" s="66"/>
      <c r="R627" s="66"/>
      <c r="S627" s="66"/>
    </row>
    <row r="628" spans="2:19" x14ac:dyDescent="0.2">
      <c r="B628" s="245"/>
      <c r="C628" s="245"/>
      <c r="D628" s="245"/>
      <c r="E628" s="245"/>
      <c r="F628" s="245"/>
      <c r="G628" s="579"/>
      <c r="H628" s="245"/>
      <c r="I628" s="245"/>
      <c r="J628" s="245"/>
      <c r="K628" s="245"/>
      <c r="L628" s="245"/>
      <c r="N628" s="579"/>
      <c r="O628" s="579"/>
      <c r="P628" s="579"/>
      <c r="Q628" s="66"/>
      <c r="R628" s="66"/>
      <c r="S628" s="66"/>
    </row>
    <row r="629" spans="2:19" x14ac:dyDescent="0.2">
      <c r="B629" s="245"/>
      <c r="C629" s="245"/>
      <c r="D629" s="245"/>
      <c r="E629" s="245"/>
      <c r="F629" s="245"/>
      <c r="G629" s="579"/>
      <c r="H629" s="245"/>
      <c r="I629" s="245"/>
      <c r="J629" s="245"/>
      <c r="K629" s="245"/>
      <c r="L629" s="245"/>
      <c r="N629" s="579"/>
      <c r="O629" s="579"/>
      <c r="P629" s="579"/>
      <c r="Q629" s="66"/>
      <c r="R629" s="66"/>
      <c r="S629" s="66"/>
    </row>
    <row r="630" spans="2:19" x14ac:dyDescent="0.2">
      <c r="B630" s="245"/>
      <c r="C630" s="245"/>
      <c r="D630" s="245"/>
      <c r="E630" s="245"/>
      <c r="F630" s="245"/>
      <c r="G630" s="579"/>
      <c r="H630" s="245"/>
      <c r="I630" s="245"/>
      <c r="J630" s="245"/>
      <c r="K630" s="245"/>
      <c r="L630" s="245"/>
      <c r="N630" s="579"/>
      <c r="O630" s="579"/>
      <c r="P630" s="579"/>
      <c r="Q630" s="66"/>
      <c r="R630" s="66"/>
      <c r="S630" s="66"/>
    </row>
    <row r="631" spans="2:19" x14ac:dyDescent="0.2">
      <c r="B631" s="245"/>
      <c r="C631" s="245"/>
      <c r="D631" s="245"/>
      <c r="E631" s="245"/>
      <c r="F631" s="245"/>
      <c r="G631" s="579"/>
      <c r="H631" s="245"/>
      <c r="I631" s="245"/>
      <c r="J631" s="245"/>
      <c r="K631" s="245"/>
      <c r="L631" s="245"/>
      <c r="N631" s="579"/>
      <c r="O631" s="579"/>
      <c r="P631" s="579"/>
      <c r="Q631" s="66"/>
      <c r="R631" s="66"/>
      <c r="S631" s="66"/>
    </row>
    <row r="632" spans="2:19" x14ac:dyDescent="0.2">
      <c r="B632" s="245"/>
      <c r="C632" s="245"/>
      <c r="D632" s="245"/>
      <c r="E632" s="245"/>
      <c r="F632" s="245"/>
      <c r="G632" s="579"/>
      <c r="H632" s="245"/>
      <c r="I632" s="245"/>
      <c r="J632" s="245"/>
      <c r="K632" s="245"/>
      <c r="L632" s="245"/>
      <c r="N632" s="579"/>
      <c r="O632" s="579"/>
      <c r="P632" s="579"/>
      <c r="Q632" s="66"/>
      <c r="R632" s="66"/>
      <c r="S632" s="66"/>
    </row>
    <row r="633" spans="2:19" x14ac:dyDescent="0.2">
      <c r="B633" s="245"/>
      <c r="C633" s="245"/>
      <c r="D633" s="245"/>
      <c r="E633" s="245"/>
      <c r="F633" s="245"/>
      <c r="G633" s="579"/>
      <c r="H633" s="245"/>
      <c r="I633" s="245"/>
      <c r="J633" s="245"/>
      <c r="K633" s="245"/>
      <c r="L633" s="245"/>
      <c r="N633" s="579"/>
      <c r="O633" s="579"/>
      <c r="P633" s="579"/>
      <c r="Q633" s="66"/>
      <c r="R633" s="66"/>
      <c r="S633" s="66"/>
    </row>
    <row r="634" spans="2:19" x14ac:dyDescent="0.2">
      <c r="B634" s="245"/>
      <c r="C634" s="245"/>
      <c r="D634" s="245"/>
      <c r="E634" s="245"/>
      <c r="F634" s="245"/>
      <c r="G634" s="579"/>
      <c r="H634" s="245"/>
      <c r="I634" s="245"/>
      <c r="J634" s="245"/>
      <c r="K634" s="245"/>
      <c r="L634" s="245"/>
      <c r="N634" s="579"/>
      <c r="O634" s="579"/>
      <c r="P634" s="579"/>
      <c r="Q634" s="66"/>
      <c r="R634" s="66"/>
      <c r="S634" s="66"/>
    </row>
    <row r="635" spans="2:19" x14ac:dyDescent="0.2">
      <c r="B635" s="245"/>
      <c r="C635" s="245"/>
      <c r="D635" s="245"/>
      <c r="E635" s="245"/>
      <c r="F635" s="245"/>
      <c r="G635" s="579"/>
      <c r="H635" s="245"/>
      <c r="I635" s="245"/>
      <c r="J635" s="245"/>
      <c r="K635" s="245"/>
      <c r="L635" s="245"/>
      <c r="N635" s="579"/>
      <c r="O635" s="579"/>
      <c r="P635" s="579"/>
      <c r="Q635" s="66"/>
      <c r="R635" s="66"/>
      <c r="S635" s="66"/>
    </row>
    <row r="636" spans="2:19" x14ac:dyDescent="0.2">
      <c r="B636" s="245"/>
      <c r="C636" s="245"/>
      <c r="D636" s="245"/>
      <c r="E636" s="245"/>
      <c r="F636" s="245"/>
      <c r="G636" s="579"/>
      <c r="H636" s="245"/>
      <c r="I636" s="245"/>
      <c r="J636" s="245"/>
      <c r="K636" s="245"/>
      <c r="L636" s="245"/>
      <c r="N636" s="579"/>
      <c r="O636" s="579"/>
      <c r="P636" s="579"/>
      <c r="Q636" s="66"/>
      <c r="R636" s="66"/>
      <c r="S636" s="66"/>
    </row>
    <row r="637" spans="2:19" x14ac:dyDescent="0.2">
      <c r="B637" s="245"/>
      <c r="C637" s="245"/>
      <c r="D637" s="245"/>
      <c r="E637" s="245"/>
      <c r="F637" s="245"/>
      <c r="G637" s="579"/>
      <c r="H637" s="245"/>
      <c r="I637" s="245"/>
      <c r="J637" s="245"/>
      <c r="K637" s="245"/>
      <c r="L637" s="245"/>
      <c r="N637" s="579"/>
      <c r="O637" s="579"/>
      <c r="P637" s="579"/>
      <c r="Q637" s="66"/>
      <c r="R637" s="66"/>
      <c r="S637" s="66"/>
    </row>
    <row r="638" spans="2:19" x14ac:dyDescent="0.2">
      <c r="B638" s="245"/>
      <c r="C638" s="245"/>
      <c r="D638" s="245"/>
      <c r="E638" s="245"/>
      <c r="F638" s="245"/>
      <c r="G638" s="579"/>
      <c r="H638" s="245"/>
      <c r="I638" s="245"/>
      <c r="J638" s="245"/>
      <c r="K638" s="245"/>
      <c r="L638" s="245"/>
      <c r="N638" s="579"/>
      <c r="O638" s="579"/>
      <c r="P638" s="579"/>
      <c r="Q638" s="66"/>
      <c r="R638" s="66"/>
      <c r="S638" s="66"/>
    </row>
    <row r="639" spans="2:19" x14ac:dyDescent="0.2">
      <c r="B639" s="245"/>
      <c r="C639" s="245"/>
      <c r="D639" s="245"/>
      <c r="E639" s="245"/>
      <c r="F639" s="245"/>
      <c r="G639" s="579"/>
      <c r="H639" s="245"/>
      <c r="I639" s="245"/>
      <c r="J639" s="245"/>
      <c r="K639" s="245"/>
      <c r="L639" s="245"/>
      <c r="N639" s="579"/>
      <c r="O639" s="579"/>
      <c r="P639" s="579"/>
      <c r="Q639" s="66"/>
      <c r="R639" s="66"/>
      <c r="S639" s="66"/>
    </row>
    <row r="640" spans="2:19" x14ac:dyDescent="0.2">
      <c r="B640" s="245"/>
      <c r="C640" s="245"/>
      <c r="D640" s="245"/>
      <c r="E640" s="245"/>
      <c r="F640" s="245"/>
      <c r="G640" s="579"/>
      <c r="H640" s="245"/>
      <c r="I640" s="245"/>
      <c r="J640" s="245"/>
      <c r="K640" s="245"/>
      <c r="L640" s="245"/>
      <c r="N640" s="579"/>
      <c r="O640" s="579"/>
      <c r="P640" s="579"/>
      <c r="Q640" s="66"/>
      <c r="R640" s="66"/>
      <c r="S640" s="66"/>
    </row>
    <row r="641" spans="2:19" x14ac:dyDescent="0.2">
      <c r="B641" s="245"/>
      <c r="C641" s="245"/>
      <c r="D641" s="245"/>
      <c r="E641" s="245"/>
      <c r="F641" s="245"/>
      <c r="G641" s="579"/>
      <c r="H641" s="245"/>
      <c r="I641" s="245"/>
      <c r="J641" s="245"/>
      <c r="K641" s="245"/>
      <c r="L641" s="245"/>
      <c r="N641" s="579"/>
      <c r="O641" s="579"/>
      <c r="P641" s="579"/>
      <c r="Q641" s="66"/>
      <c r="R641" s="66"/>
      <c r="S641" s="66"/>
    </row>
    <row r="642" spans="2:19" x14ac:dyDescent="0.2">
      <c r="B642" s="245"/>
      <c r="C642" s="245"/>
      <c r="D642" s="245"/>
      <c r="E642" s="245"/>
      <c r="F642" s="245"/>
      <c r="G642" s="579"/>
      <c r="H642" s="245"/>
      <c r="I642" s="245"/>
      <c r="J642" s="245"/>
      <c r="K642" s="245"/>
      <c r="L642" s="245"/>
      <c r="N642" s="579"/>
      <c r="O642" s="579"/>
      <c r="P642" s="579"/>
      <c r="Q642" s="66"/>
      <c r="R642" s="66"/>
      <c r="S642" s="66"/>
    </row>
    <row r="643" spans="2:19" x14ac:dyDescent="0.2">
      <c r="B643" s="245"/>
      <c r="C643" s="245"/>
      <c r="D643" s="245"/>
      <c r="E643" s="245"/>
      <c r="F643" s="245"/>
      <c r="G643" s="579"/>
      <c r="H643" s="245"/>
      <c r="I643" s="245"/>
      <c r="J643" s="245"/>
      <c r="K643" s="245"/>
      <c r="L643" s="245"/>
      <c r="N643" s="579"/>
      <c r="O643" s="579"/>
      <c r="P643" s="579"/>
      <c r="Q643" s="66"/>
      <c r="R643" s="66"/>
      <c r="S643" s="66"/>
    </row>
    <row r="644" spans="2:19" x14ac:dyDescent="0.2">
      <c r="B644" s="245"/>
      <c r="C644" s="245"/>
      <c r="D644" s="245"/>
      <c r="E644" s="245"/>
      <c r="F644" s="245"/>
      <c r="G644" s="579"/>
      <c r="H644" s="245"/>
      <c r="I644" s="245"/>
      <c r="J644" s="245"/>
      <c r="K644" s="245"/>
      <c r="L644" s="245"/>
      <c r="N644" s="579"/>
      <c r="O644" s="579"/>
      <c r="P644" s="579"/>
      <c r="Q644" s="66"/>
      <c r="R644" s="66"/>
      <c r="S644" s="66"/>
    </row>
    <row r="645" spans="2:19" x14ac:dyDescent="0.2">
      <c r="B645" s="245"/>
      <c r="C645" s="245"/>
      <c r="D645" s="245"/>
      <c r="E645" s="245"/>
      <c r="F645" s="245"/>
      <c r="G645" s="579"/>
      <c r="H645" s="245"/>
      <c r="I645" s="245"/>
      <c r="J645" s="245"/>
      <c r="K645" s="245"/>
      <c r="L645" s="245"/>
      <c r="N645" s="579"/>
      <c r="O645" s="579"/>
      <c r="P645" s="579"/>
      <c r="Q645" s="66"/>
      <c r="R645" s="66"/>
      <c r="S645" s="66"/>
    </row>
    <row r="646" spans="2:19" x14ac:dyDescent="0.2">
      <c r="B646" s="245"/>
      <c r="C646" s="245"/>
      <c r="D646" s="245"/>
      <c r="E646" s="245"/>
      <c r="F646" s="245"/>
      <c r="G646" s="579"/>
      <c r="H646" s="245"/>
      <c r="I646" s="245"/>
      <c r="J646" s="245"/>
      <c r="K646" s="245"/>
      <c r="L646" s="245"/>
      <c r="N646" s="579"/>
      <c r="O646" s="579"/>
      <c r="P646" s="579"/>
      <c r="Q646" s="66"/>
      <c r="R646" s="66"/>
      <c r="S646" s="66"/>
    </row>
    <row r="647" spans="2:19" x14ac:dyDescent="0.2">
      <c r="B647" s="245"/>
      <c r="C647" s="245"/>
      <c r="D647" s="245"/>
      <c r="E647" s="245"/>
      <c r="F647" s="245"/>
      <c r="G647" s="579"/>
      <c r="H647" s="245"/>
      <c r="I647" s="245"/>
      <c r="J647" s="245"/>
      <c r="K647" s="245"/>
      <c r="L647" s="245"/>
      <c r="N647" s="579"/>
      <c r="O647" s="579"/>
      <c r="P647" s="579"/>
      <c r="Q647" s="66"/>
      <c r="R647" s="66"/>
      <c r="S647" s="66"/>
    </row>
    <row r="648" spans="2:19" x14ac:dyDescent="0.2">
      <c r="B648" s="245"/>
      <c r="C648" s="245"/>
      <c r="D648" s="245"/>
      <c r="E648" s="245"/>
      <c r="F648" s="245"/>
      <c r="G648" s="579"/>
      <c r="H648" s="245"/>
      <c r="I648" s="245"/>
      <c r="J648" s="245"/>
      <c r="K648" s="245"/>
      <c r="L648" s="245"/>
      <c r="N648" s="579"/>
      <c r="O648" s="579"/>
      <c r="P648" s="579"/>
      <c r="Q648" s="66"/>
      <c r="R648" s="66"/>
      <c r="S648" s="66"/>
    </row>
    <row r="649" spans="2:19" x14ac:dyDescent="0.2">
      <c r="B649" s="245"/>
      <c r="C649" s="245"/>
      <c r="D649" s="245"/>
      <c r="E649" s="245"/>
      <c r="F649" s="245"/>
      <c r="G649" s="579"/>
      <c r="H649" s="245"/>
      <c r="I649" s="245"/>
      <c r="J649" s="245"/>
      <c r="K649" s="245"/>
      <c r="L649" s="245"/>
      <c r="N649" s="579"/>
      <c r="O649" s="579"/>
      <c r="P649" s="579"/>
      <c r="Q649" s="66"/>
      <c r="R649" s="66"/>
      <c r="S649" s="66"/>
    </row>
    <row r="650" spans="2:19" x14ac:dyDescent="0.2">
      <c r="B650" s="245"/>
      <c r="C650" s="245"/>
      <c r="D650" s="245"/>
      <c r="E650" s="245"/>
      <c r="F650" s="245"/>
      <c r="G650" s="579"/>
      <c r="H650" s="245"/>
      <c r="I650" s="245"/>
      <c r="J650" s="245"/>
      <c r="K650" s="245"/>
      <c r="L650" s="245"/>
      <c r="N650" s="579"/>
      <c r="O650" s="579"/>
      <c r="P650" s="579"/>
      <c r="Q650" s="66"/>
      <c r="R650" s="66"/>
      <c r="S650" s="66"/>
    </row>
    <row r="651" spans="2:19" x14ac:dyDescent="0.2">
      <c r="B651" s="245"/>
      <c r="C651" s="245"/>
      <c r="D651" s="245"/>
      <c r="E651" s="245"/>
      <c r="F651" s="245"/>
      <c r="G651" s="579"/>
      <c r="H651" s="245"/>
      <c r="I651" s="245"/>
      <c r="J651" s="245"/>
      <c r="K651" s="245"/>
      <c r="L651" s="245"/>
      <c r="N651" s="579"/>
      <c r="O651" s="579"/>
      <c r="P651" s="579"/>
      <c r="Q651" s="66"/>
      <c r="R651" s="66"/>
      <c r="S651" s="66"/>
    </row>
    <row r="652" spans="2:19" x14ac:dyDescent="0.2">
      <c r="B652" s="245"/>
      <c r="C652" s="245"/>
      <c r="D652" s="245"/>
      <c r="E652" s="245"/>
      <c r="F652" s="245"/>
      <c r="G652" s="579"/>
      <c r="H652" s="245"/>
      <c r="I652" s="245"/>
      <c r="J652" s="245"/>
      <c r="K652" s="245"/>
      <c r="L652" s="245"/>
      <c r="N652" s="579"/>
      <c r="O652" s="579"/>
      <c r="P652" s="579"/>
      <c r="Q652" s="66"/>
      <c r="R652" s="66"/>
      <c r="S652" s="66"/>
    </row>
    <row r="653" spans="2:19" x14ac:dyDescent="0.2">
      <c r="B653" s="245"/>
      <c r="C653" s="245"/>
      <c r="D653" s="245"/>
      <c r="E653" s="245"/>
      <c r="F653" s="245"/>
      <c r="G653" s="579"/>
      <c r="H653" s="245"/>
      <c r="I653" s="245"/>
      <c r="J653" s="245"/>
      <c r="K653" s="245"/>
      <c r="L653" s="245"/>
      <c r="N653" s="579"/>
      <c r="O653" s="579"/>
      <c r="P653" s="579"/>
      <c r="Q653" s="66"/>
      <c r="R653" s="66"/>
      <c r="S653" s="66"/>
    </row>
    <row r="654" spans="2:19" x14ac:dyDescent="0.2">
      <c r="B654" s="245"/>
      <c r="C654" s="245"/>
      <c r="D654" s="245"/>
      <c r="E654" s="245"/>
      <c r="F654" s="245"/>
      <c r="G654" s="579"/>
      <c r="H654" s="245"/>
      <c r="I654" s="245"/>
      <c r="J654" s="245"/>
      <c r="K654" s="245"/>
      <c r="L654" s="245"/>
      <c r="N654" s="579"/>
      <c r="O654" s="579"/>
      <c r="P654" s="579"/>
      <c r="Q654" s="66"/>
      <c r="R654" s="66"/>
      <c r="S654" s="66"/>
    </row>
    <row r="655" spans="2:19" x14ac:dyDescent="0.2">
      <c r="B655" s="245"/>
      <c r="C655" s="245"/>
      <c r="D655" s="245"/>
      <c r="E655" s="245"/>
      <c r="F655" s="245"/>
      <c r="G655" s="579"/>
      <c r="H655" s="245"/>
      <c r="I655" s="245"/>
      <c r="J655" s="245"/>
      <c r="K655" s="245"/>
      <c r="L655" s="245"/>
      <c r="N655" s="579"/>
      <c r="O655" s="579"/>
      <c r="P655" s="579"/>
      <c r="Q655" s="66"/>
      <c r="R655" s="66"/>
      <c r="S655" s="66"/>
    </row>
    <row r="656" spans="2:19" x14ac:dyDescent="0.2">
      <c r="B656" s="245"/>
      <c r="C656" s="245"/>
      <c r="D656" s="245"/>
      <c r="E656" s="245"/>
      <c r="F656" s="245"/>
      <c r="G656" s="579"/>
      <c r="H656" s="245"/>
      <c r="I656" s="245"/>
      <c r="J656" s="245"/>
      <c r="K656" s="245"/>
      <c r="L656" s="245"/>
      <c r="N656" s="579"/>
      <c r="O656" s="579"/>
      <c r="P656" s="579"/>
      <c r="Q656" s="66"/>
      <c r="R656" s="66"/>
      <c r="S656" s="66"/>
    </row>
    <row r="657" spans="2:19" x14ac:dyDescent="0.2">
      <c r="B657" s="245"/>
      <c r="C657" s="245"/>
      <c r="D657" s="245"/>
      <c r="E657" s="245"/>
      <c r="F657" s="245"/>
      <c r="G657" s="579"/>
      <c r="H657" s="245"/>
      <c r="I657" s="245"/>
      <c r="J657" s="245"/>
      <c r="K657" s="245"/>
      <c r="L657" s="245"/>
      <c r="N657" s="579"/>
      <c r="O657" s="579"/>
      <c r="P657" s="579"/>
      <c r="Q657" s="66"/>
      <c r="R657" s="66"/>
      <c r="S657" s="66"/>
    </row>
    <row r="658" spans="2:19" x14ac:dyDescent="0.2">
      <c r="B658" s="245"/>
      <c r="C658" s="245"/>
      <c r="D658" s="245"/>
      <c r="E658" s="245"/>
      <c r="F658" s="245"/>
      <c r="G658" s="579"/>
      <c r="H658" s="245"/>
      <c r="I658" s="245"/>
      <c r="J658" s="245"/>
      <c r="K658" s="245"/>
      <c r="L658" s="245"/>
      <c r="N658" s="579"/>
      <c r="O658" s="579"/>
      <c r="P658" s="579"/>
      <c r="Q658" s="66"/>
      <c r="R658" s="66"/>
      <c r="S658" s="66"/>
    </row>
    <row r="659" spans="2:19" x14ac:dyDescent="0.2">
      <c r="B659" s="245"/>
      <c r="C659" s="245"/>
      <c r="D659" s="245"/>
      <c r="E659" s="245"/>
      <c r="F659" s="245"/>
      <c r="G659" s="579"/>
      <c r="H659" s="245"/>
      <c r="I659" s="245"/>
      <c r="J659" s="245"/>
      <c r="K659" s="245"/>
      <c r="L659" s="245"/>
      <c r="N659" s="579"/>
      <c r="O659" s="579"/>
      <c r="P659" s="579"/>
      <c r="Q659" s="66"/>
      <c r="R659" s="66"/>
      <c r="S659" s="66"/>
    </row>
    <row r="660" spans="2:19" x14ac:dyDescent="0.2">
      <c r="B660" s="245"/>
      <c r="C660" s="245"/>
      <c r="D660" s="245"/>
      <c r="E660" s="245"/>
      <c r="F660" s="245"/>
      <c r="G660" s="579"/>
      <c r="H660" s="245"/>
      <c r="I660" s="245"/>
      <c r="J660" s="245"/>
      <c r="K660" s="245"/>
      <c r="L660" s="245"/>
      <c r="N660" s="579"/>
      <c r="O660" s="579"/>
      <c r="P660" s="579"/>
      <c r="Q660" s="66"/>
      <c r="R660" s="66"/>
      <c r="S660" s="66"/>
    </row>
    <row r="661" spans="2:19" x14ac:dyDescent="0.2">
      <c r="B661" s="245"/>
      <c r="C661" s="245"/>
      <c r="D661" s="245"/>
      <c r="E661" s="245"/>
      <c r="F661" s="245"/>
      <c r="G661" s="579"/>
      <c r="H661" s="245"/>
      <c r="I661" s="245"/>
      <c r="J661" s="245"/>
      <c r="K661" s="245"/>
      <c r="L661" s="245"/>
      <c r="N661" s="579"/>
      <c r="O661" s="579"/>
      <c r="P661" s="579"/>
      <c r="Q661" s="66"/>
      <c r="R661" s="66"/>
      <c r="S661" s="66"/>
    </row>
    <row r="662" spans="2:19" x14ac:dyDescent="0.2">
      <c r="B662" s="245"/>
      <c r="C662" s="245"/>
      <c r="D662" s="245"/>
      <c r="E662" s="245"/>
      <c r="F662" s="245"/>
      <c r="G662" s="579"/>
      <c r="H662" s="245"/>
      <c r="I662" s="245"/>
      <c r="J662" s="245"/>
      <c r="K662" s="245"/>
      <c r="L662" s="245"/>
      <c r="N662" s="579"/>
      <c r="O662" s="579"/>
      <c r="P662" s="579"/>
      <c r="Q662" s="66"/>
      <c r="R662" s="66"/>
      <c r="S662" s="66"/>
    </row>
    <row r="663" spans="2:19" x14ac:dyDescent="0.2">
      <c r="B663" s="245"/>
      <c r="C663" s="245"/>
      <c r="D663" s="245"/>
      <c r="E663" s="245"/>
      <c r="F663" s="245"/>
      <c r="G663" s="579"/>
      <c r="H663" s="245"/>
      <c r="I663" s="245"/>
      <c r="J663" s="245"/>
      <c r="K663" s="245"/>
      <c r="L663" s="245"/>
      <c r="N663" s="579"/>
      <c r="O663" s="579"/>
      <c r="P663" s="579"/>
      <c r="Q663" s="66"/>
      <c r="R663" s="66"/>
      <c r="S663" s="66"/>
    </row>
    <row r="664" spans="2:19" x14ac:dyDescent="0.2">
      <c r="B664" s="245"/>
      <c r="C664" s="245"/>
      <c r="D664" s="245"/>
      <c r="E664" s="245"/>
      <c r="F664" s="245"/>
      <c r="G664" s="579"/>
      <c r="H664" s="245"/>
      <c r="I664" s="245"/>
      <c r="J664" s="245"/>
      <c r="K664" s="245"/>
      <c r="L664" s="245"/>
      <c r="N664" s="579"/>
      <c r="O664" s="579"/>
      <c r="P664" s="579"/>
      <c r="Q664" s="66"/>
      <c r="R664" s="66"/>
      <c r="S664" s="66"/>
    </row>
    <row r="665" spans="2:19" x14ac:dyDescent="0.2">
      <c r="B665" s="245"/>
      <c r="C665" s="245"/>
      <c r="D665" s="245"/>
      <c r="E665" s="245"/>
      <c r="F665" s="245"/>
      <c r="G665" s="579"/>
      <c r="H665" s="245"/>
      <c r="I665" s="245"/>
      <c r="J665" s="245"/>
      <c r="K665" s="245"/>
      <c r="L665" s="245"/>
      <c r="N665" s="579"/>
      <c r="O665" s="579"/>
      <c r="P665" s="579"/>
      <c r="Q665" s="66"/>
      <c r="R665" s="66"/>
      <c r="S665" s="66"/>
    </row>
    <row r="666" spans="2:19" x14ac:dyDescent="0.2">
      <c r="B666" s="245"/>
      <c r="C666" s="245"/>
      <c r="D666" s="245"/>
      <c r="E666" s="245"/>
      <c r="F666" s="245"/>
      <c r="G666" s="579"/>
      <c r="H666" s="245"/>
      <c r="I666" s="245"/>
      <c r="J666" s="245"/>
      <c r="K666" s="245"/>
      <c r="L666" s="245"/>
      <c r="N666" s="579"/>
      <c r="O666" s="579"/>
      <c r="P666" s="579"/>
      <c r="Q666" s="66"/>
      <c r="R666" s="66"/>
      <c r="S666" s="66"/>
    </row>
    <row r="667" spans="2:19" x14ac:dyDescent="0.2">
      <c r="B667" s="245"/>
      <c r="C667" s="245"/>
      <c r="D667" s="245"/>
      <c r="E667" s="245"/>
      <c r="F667" s="245"/>
      <c r="G667" s="579"/>
      <c r="H667" s="245"/>
      <c r="I667" s="245"/>
      <c r="J667" s="245"/>
      <c r="K667" s="245"/>
      <c r="L667" s="245"/>
      <c r="N667" s="579"/>
      <c r="O667" s="579"/>
      <c r="P667" s="579"/>
      <c r="Q667" s="66"/>
      <c r="R667" s="66"/>
      <c r="S667" s="66"/>
    </row>
    <row r="668" spans="2:19" x14ac:dyDescent="0.2">
      <c r="B668" s="245"/>
      <c r="C668" s="245"/>
      <c r="D668" s="245"/>
      <c r="E668" s="245"/>
      <c r="F668" s="245"/>
      <c r="G668" s="579"/>
      <c r="H668" s="245"/>
      <c r="I668" s="245"/>
      <c r="J668" s="245"/>
      <c r="K668" s="245"/>
      <c r="L668" s="245"/>
      <c r="N668" s="579"/>
      <c r="O668" s="579"/>
      <c r="P668" s="579"/>
      <c r="Q668" s="66"/>
      <c r="R668" s="66"/>
      <c r="S668" s="66"/>
    </row>
    <row r="669" spans="2:19" x14ac:dyDescent="0.2">
      <c r="B669" s="245"/>
      <c r="C669" s="245"/>
      <c r="D669" s="245"/>
      <c r="E669" s="245"/>
      <c r="F669" s="245"/>
      <c r="G669" s="579"/>
      <c r="H669" s="245"/>
      <c r="I669" s="245"/>
      <c r="J669" s="245"/>
      <c r="K669" s="245"/>
      <c r="L669" s="245"/>
      <c r="N669" s="579"/>
      <c r="O669" s="579"/>
      <c r="P669" s="579"/>
      <c r="Q669" s="66"/>
      <c r="R669" s="66"/>
      <c r="S669" s="66"/>
    </row>
    <row r="670" spans="2:19" x14ac:dyDescent="0.2">
      <c r="B670" s="245"/>
      <c r="C670" s="245"/>
      <c r="D670" s="245"/>
      <c r="E670" s="245"/>
      <c r="F670" s="245"/>
      <c r="G670" s="579"/>
      <c r="H670" s="245"/>
      <c r="I670" s="245"/>
      <c r="J670" s="245"/>
      <c r="K670" s="245"/>
      <c r="L670" s="245"/>
      <c r="N670" s="579"/>
      <c r="O670" s="579"/>
      <c r="P670" s="579"/>
      <c r="Q670" s="66"/>
      <c r="R670" s="66"/>
      <c r="S670" s="66"/>
    </row>
    <row r="671" spans="2:19" x14ac:dyDescent="0.2">
      <c r="B671" s="245"/>
      <c r="C671" s="245"/>
      <c r="D671" s="245"/>
      <c r="E671" s="245"/>
      <c r="F671" s="245"/>
      <c r="G671" s="579"/>
      <c r="H671" s="245"/>
      <c r="I671" s="245"/>
      <c r="J671" s="245"/>
      <c r="K671" s="245"/>
      <c r="L671" s="245"/>
      <c r="N671" s="579"/>
      <c r="O671" s="579"/>
      <c r="P671" s="579"/>
      <c r="Q671" s="66"/>
      <c r="R671" s="66"/>
      <c r="S671" s="66"/>
    </row>
    <row r="672" spans="2:19" x14ac:dyDescent="0.2">
      <c r="B672" s="245"/>
      <c r="C672" s="245"/>
      <c r="D672" s="245"/>
      <c r="E672" s="245"/>
      <c r="F672" s="245"/>
      <c r="G672" s="579"/>
      <c r="H672" s="245"/>
      <c r="I672" s="245"/>
      <c r="J672" s="245"/>
      <c r="K672" s="245"/>
      <c r="L672" s="245"/>
      <c r="N672" s="579"/>
      <c r="O672" s="579"/>
      <c r="P672" s="579"/>
      <c r="Q672" s="66"/>
      <c r="R672" s="66"/>
      <c r="S672" s="66"/>
    </row>
    <row r="673" spans="2:19" x14ac:dyDescent="0.2">
      <c r="B673" s="245"/>
      <c r="C673" s="245"/>
      <c r="D673" s="245"/>
      <c r="E673" s="245"/>
      <c r="F673" s="245"/>
      <c r="G673" s="579"/>
      <c r="H673" s="245"/>
      <c r="I673" s="245"/>
      <c r="J673" s="245"/>
      <c r="K673" s="245"/>
      <c r="L673" s="245"/>
      <c r="N673" s="579"/>
      <c r="O673" s="579"/>
      <c r="P673" s="579"/>
      <c r="Q673" s="66"/>
      <c r="R673" s="66"/>
      <c r="S673" s="66"/>
    </row>
    <row r="674" spans="2:19" x14ac:dyDescent="0.2">
      <c r="B674" s="245"/>
      <c r="C674" s="245"/>
      <c r="D674" s="245"/>
      <c r="E674" s="245"/>
      <c r="F674" s="245"/>
      <c r="G674" s="579"/>
      <c r="H674" s="245"/>
      <c r="I674" s="245"/>
      <c r="J674" s="245"/>
      <c r="K674" s="245"/>
      <c r="L674" s="245"/>
      <c r="N674" s="579"/>
      <c r="O674" s="579"/>
      <c r="P674" s="579"/>
      <c r="Q674" s="66"/>
      <c r="R674" s="66"/>
      <c r="S674" s="66"/>
    </row>
    <row r="675" spans="2:19" x14ac:dyDescent="0.2">
      <c r="B675" s="245"/>
      <c r="C675" s="245"/>
      <c r="D675" s="245"/>
      <c r="E675" s="245"/>
      <c r="F675" s="245"/>
      <c r="G675" s="579"/>
      <c r="H675" s="245"/>
      <c r="I675" s="245"/>
      <c r="J675" s="245"/>
      <c r="K675" s="245"/>
      <c r="L675" s="245"/>
      <c r="N675" s="579"/>
      <c r="O675" s="579"/>
      <c r="P675" s="579"/>
      <c r="Q675" s="66"/>
      <c r="R675" s="66"/>
      <c r="S675" s="66"/>
    </row>
    <row r="676" spans="2:19" x14ac:dyDescent="0.2">
      <c r="B676" s="245"/>
      <c r="C676" s="245"/>
      <c r="D676" s="245"/>
      <c r="E676" s="245"/>
      <c r="F676" s="245"/>
      <c r="G676" s="579"/>
      <c r="H676" s="245"/>
      <c r="I676" s="245"/>
      <c r="J676" s="245"/>
      <c r="K676" s="245"/>
      <c r="L676" s="245"/>
      <c r="N676" s="579"/>
      <c r="O676" s="579"/>
      <c r="P676" s="579"/>
      <c r="Q676" s="66"/>
      <c r="R676" s="66"/>
      <c r="S676" s="66"/>
    </row>
    <row r="677" spans="2:19" x14ac:dyDescent="0.2">
      <c r="B677" s="245"/>
      <c r="C677" s="245"/>
      <c r="D677" s="245"/>
      <c r="E677" s="245"/>
      <c r="F677" s="245"/>
      <c r="G677" s="579"/>
      <c r="H677" s="245"/>
      <c r="I677" s="245"/>
      <c r="J677" s="245"/>
      <c r="K677" s="245"/>
      <c r="L677" s="245"/>
      <c r="N677" s="579"/>
      <c r="O677" s="579"/>
      <c r="P677" s="579"/>
      <c r="Q677" s="66"/>
      <c r="R677" s="66"/>
      <c r="S677" s="66"/>
    </row>
    <row r="678" spans="2:19" x14ac:dyDescent="0.2">
      <c r="B678" s="245"/>
      <c r="C678" s="245"/>
      <c r="D678" s="245"/>
      <c r="E678" s="245"/>
      <c r="F678" s="245"/>
      <c r="G678" s="579"/>
      <c r="H678" s="245"/>
      <c r="I678" s="245"/>
      <c r="J678" s="245"/>
      <c r="K678" s="245"/>
      <c r="L678" s="245"/>
      <c r="N678" s="579"/>
      <c r="O678" s="579"/>
      <c r="P678" s="579"/>
      <c r="Q678" s="66"/>
      <c r="R678" s="66"/>
      <c r="S678" s="66"/>
    </row>
    <row r="679" spans="2:19" x14ac:dyDescent="0.2">
      <c r="B679" s="245"/>
      <c r="C679" s="245"/>
      <c r="D679" s="245"/>
      <c r="E679" s="245"/>
      <c r="F679" s="245"/>
      <c r="G679" s="579"/>
      <c r="H679" s="245"/>
      <c r="I679" s="245"/>
      <c r="J679" s="245"/>
      <c r="K679" s="245"/>
      <c r="L679" s="245"/>
      <c r="N679" s="579"/>
      <c r="O679" s="579"/>
      <c r="P679" s="579"/>
      <c r="Q679" s="66"/>
      <c r="R679" s="66"/>
      <c r="S679" s="66"/>
    </row>
    <row r="680" spans="2:19" x14ac:dyDescent="0.2">
      <c r="B680" s="245"/>
      <c r="C680" s="245"/>
      <c r="D680" s="245"/>
      <c r="E680" s="245"/>
      <c r="F680" s="245"/>
      <c r="G680" s="579"/>
      <c r="H680" s="245"/>
      <c r="I680" s="245"/>
      <c r="J680" s="245"/>
      <c r="K680" s="245"/>
      <c r="L680" s="245"/>
      <c r="N680" s="579"/>
      <c r="O680" s="579"/>
      <c r="P680" s="579"/>
      <c r="Q680" s="66"/>
      <c r="R680" s="66"/>
      <c r="S680" s="66"/>
    </row>
    <row r="681" spans="2:19" x14ac:dyDescent="0.2">
      <c r="B681" s="245"/>
      <c r="C681" s="245"/>
      <c r="D681" s="245"/>
      <c r="E681" s="245"/>
      <c r="F681" s="245"/>
      <c r="G681" s="579"/>
      <c r="H681" s="245"/>
      <c r="I681" s="245"/>
      <c r="J681" s="245"/>
      <c r="K681" s="245"/>
      <c r="L681" s="245"/>
      <c r="N681" s="579"/>
      <c r="O681" s="579"/>
      <c r="P681" s="579"/>
      <c r="Q681" s="66"/>
      <c r="R681" s="66"/>
      <c r="S681" s="66"/>
    </row>
    <row r="682" spans="2:19" x14ac:dyDescent="0.2">
      <c r="B682" s="245"/>
      <c r="C682" s="245"/>
      <c r="D682" s="245"/>
      <c r="E682" s="245"/>
      <c r="F682" s="245"/>
      <c r="G682" s="579"/>
      <c r="H682" s="245"/>
      <c r="I682" s="245"/>
      <c r="J682" s="245"/>
      <c r="K682" s="245"/>
      <c r="L682" s="245"/>
      <c r="N682" s="579"/>
      <c r="O682" s="579"/>
      <c r="P682" s="579"/>
      <c r="Q682" s="66"/>
      <c r="R682" s="66"/>
      <c r="S682" s="66"/>
    </row>
    <row r="683" spans="2:19" x14ac:dyDescent="0.2">
      <c r="B683" s="245"/>
      <c r="C683" s="245"/>
      <c r="D683" s="245"/>
      <c r="E683" s="245"/>
      <c r="F683" s="245"/>
      <c r="G683" s="579"/>
      <c r="H683" s="245"/>
      <c r="I683" s="245"/>
      <c r="J683" s="245"/>
      <c r="K683" s="245"/>
      <c r="L683" s="245"/>
      <c r="N683" s="579"/>
      <c r="O683" s="579"/>
      <c r="P683" s="579"/>
      <c r="Q683" s="66"/>
      <c r="R683" s="66"/>
      <c r="S683" s="66"/>
    </row>
    <row r="684" spans="2:19" x14ac:dyDescent="0.2">
      <c r="B684" s="245"/>
      <c r="C684" s="245"/>
      <c r="D684" s="245"/>
      <c r="E684" s="245"/>
      <c r="F684" s="245"/>
      <c r="G684" s="579"/>
      <c r="H684" s="245"/>
      <c r="I684" s="245"/>
      <c r="J684" s="245"/>
      <c r="K684" s="245"/>
      <c r="L684" s="245"/>
      <c r="N684" s="579"/>
      <c r="O684" s="579"/>
      <c r="P684" s="579"/>
      <c r="Q684" s="66"/>
      <c r="R684" s="66"/>
      <c r="S684" s="66"/>
    </row>
    <row r="685" spans="2:19" x14ac:dyDescent="0.2">
      <c r="B685" s="245"/>
      <c r="C685" s="245"/>
      <c r="D685" s="245"/>
      <c r="E685" s="245"/>
      <c r="F685" s="245"/>
      <c r="G685" s="579"/>
      <c r="H685" s="245"/>
      <c r="I685" s="245"/>
      <c r="J685" s="245"/>
      <c r="K685" s="245"/>
      <c r="L685" s="245"/>
      <c r="N685" s="579"/>
      <c r="O685" s="579"/>
      <c r="P685" s="579"/>
      <c r="Q685" s="66"/>
      <c r="R685" s="66"/>
      <c r="S685" s="66"/>
    </row>
    <row r="686" spans="2:19" x14ac:dyDescent="0.2">
      <c r="B686" s="245"/>
      <c r="C686" s="245"/>
      <c r="D686" s="245"/>
      <c r="E686" s="245"/>
      <c r="F686" s="245"/>
      <c r="G686" s="579"/>
      <c r="H686" s="245"/>
      <c r="I686" s="245"/>
      <c r="J686" s="245"/>
      <c r="K686" s="245"/>
      <c r="L686" s="245"/>
      <c r="N686" s="579"/>
      <c r="O686" s="579"/>
      <c r="P686" s="579"/>
      <c r="Q686" s="66"/>
      <c r="R686" s="66"/>
      <c r="S686" s="66"/>
    </row>
    <row r="687" spans="2:19" x14ac:dyDescent="0.2">
      <c r="B687" s="245"/>
      <c r="C687" s="245"/>
      <c r="D687" s="245"/>
      <c r="E687" s="245"/>
      <c r="F687" s="245"/>
      <c r="G687" s="579"/>
      <c r="H687" s="245"/>
      <c r="I687" s="245"/>
      <c r="J687" s="245"/>
      <c r="K687" s="245"/>
      <c r="L687" s="245"/>
      <c r="N687" s="579"/>
      <c r="O687" s="579"/>
      <c r="P687" s="579"/>
      <c r="Q687" s="66"/>
      <c r="R687" s="66"/>
      <c r="S687" s="66"/>
    </row>
    <row r="688" spans="2:19" x14ac:dyDescent="0.2">
      <c r="B688" s="245"/>
      <c r="C688" s="245"/>
      <c r="D688" s="245"/>
      <c r="E688" s="245"/>
      <c r="F688" s="245"/>
      <c r="G688" s="579"/>
      <c r="H688" s="245"/>
      <c r="I688" s="245"/>
      <c r="J688" s="245"/>
      <c r="K688" s="245"/>
      <c r="L688" s="245"/>
      <c r="N688" s="579"/>
      <c r="O688" s="579"/>
      <c r="P688" s="579"/>
      <c r="Q688" s="66"/>
      <c r="R688" s="66"/>
      <c r="S688" s="66"/>
    </row>
    <row r="689" spans="2:19" x14ac:dyDescent="0.2">
      <c r="B689" s="245"/>
      <c r="C689" s="245"/>
      <c r="D689" s="245"/>
      <c r="E689" s="245"/>
      <c r="F689" s="245"/>
      <c r="G689" s="579"/>
      <c r="H689" s="245"/>
      <c r="I689" s="245"/>
      <c r="J689" s="245"/>
      <c r="K689" s="245"/>
      <c r="L689" s="245"/>
      <c r="N689" s="579"/>
      <c r="O689" s="579"/>
      <c r="P689" s="579"/>
      <c r="Q689" s="66"/>
      <c r="R689" s="66"/>
      <c r="S689" s="66"/>
    </row>
    <row r="690" spans="2:19" x14ac:dyDescent="0.2">
      <c r="B690" s="245"/>
      <c r="C690" s="245"/>
      <c r="D690" s="245"/>
      <c r="E690" s="245"/>
      <c r="F690" s="245"/>
      <c r="G690" s="579"/>
      <c r="H690" s="245"/>
      <c r="I690" s="245"/>
      <c r="J690" s="245"/>
      <c r="K690" s="245"/>
      <c r="L690" s="245"/>
      <c r="N690" s="579"/>
      <c r="O690" s="579"/>
      <c r="P690" s="579"/>
      <c r="Q690" s="66"/>
      <c r="R690" s="66"/>
      <c r="S690" s="66"/>
    </row>
    <row r="691" spans="2:19" x14ac:dyDescent="0.2">
      <c r="B691" s="245"/>
      <c r="C691" s="245"/>
      <c r="D691" s="245"/>
      <c r="E691" s="245"/>
      <c r="F691" s="245"/>
      <c r="G691" s="579"/>
      <c r="H691" s="245"/>
      <c r="I691" s="245"/>
      <c r="J691" s="245"/>
      <c r="K691" s="245"/>
      <c r="L691" s="245"/>
      <c r="N691" s="579"/>
      <c r="O691" s="579"/>
      <c r="P691" s="579"/>
      <c r="Q691" s="66"/>
      <c r="R691" s="66"/>
      <c r="S691" s="66"/>
    </row>
    <row r="692" spans="2:19" x14ac:dyDescent="0.2">
      <c r="B692" s="245"/>
      <c r="C692" s="245"/>
      <c r="D692" s="245"/>
      <c r="E692" s="245"/>
      <c r="F692" s="245"/>
      <c r="G692" s="579"/>
      <c r="H692" s="245"/>
      <c r="I692" s="245"/>
      <c r="J692" s="245"/>
      <c r="K692" s="245"/>
      <c r="L692" s="245"/>
      <c r="N692" s="579"/>
      <c r="O692" s="579"/>
      <c r="P692" s="579"/>
      <c r="Q692" s="66"/>
      <c r="R692" s="66"/>
      <c r="S692" s="66"/>
    </row>
    <row r="693" spans="2:19" x14ac:dyDescent="0.2">
      <c r="B693" s="245"/>
      <c r="C693" s="245"/>
      <c r="D693" s="245"/>
      <c r="E693" s="245"/>
      <c r="F693" s="245"/>
      <c r="G693" s="579"/>
      <c r="H693" s="245"/>
      <c r="I693" s="245"/>
      <c r="J693" s="245"/>
      <c r="K693" s="245"/>
      <c r="L693" s="245"/>
      <c r="N693" s="579"/>
      <c r="O693" s="579"/>
      <c r="P693" s="579"/>
      <c r="Q693" s="66"/>
      <c r="R693" s="66"/>
      <c r="S693" s="66"/>
    </row>
    <row r="694" spans="2:19" x14ac:dyDescent="0.2">
      <c r="B694" s="245"/>
      <c r="C694" s="245"/>
      <c r="D694" s="245"/>
      <c r="E694" s="245"/>
      <c r="F694" s="245"/>
      <c r="G694" s="579"/>
      <c r="H694" s="245"/>
      <c r="I694" s="245"/>
      <c r="J694" s="245"/>
      <c r="K694" s="245"/>
      <c r="L694" s="245"/>
      <c r="N694" s="579"/>
      <c r="O694" s="579"/>
      <c r="P694" s="579"/>
      <c r="Q694" s="66"/>
      <c r="R694" s="66"/>
      <c r="S694" s="66"/>
    </row>
    <row r="695" spans="2:19" x14ac:dyDescent="0.2">
      <c r="B695" s="245"/>
      <c r="C695" s="245"/>
      <c r="D695" s="245"/>
      <c r="E695" s="245"/>
      <c r="F695" s="245"/>
      <c r="G695" s="579"/>
      <c r="H695" s="245"/>
      <c r="I695" s="245"/>
      <c r="J695" s="245"/>
      <c r="K695" s="245"/>
      <c r="L695" s="245"/>
      <c r="N695" s="579"/>
      <c r="O695" s="579"/>
      <c r="P695" s="579"/>
      <c r="Q695" s="66"/>
      <c r="R695" s="66"/>
      <c r="S695" s="66"/>
    </row>
    <row r="696" spans="2:19" x14ac:dyDescent="0.2">
      <c r="B696" s="245"/>
      <c r="C696" s="245"/>
      <c r="D696" s="245"/>
      <c r="E696" s="245"/>
      <c r="F696" s="245"/>
      <c r="G696" s="579"/>
      <c r="H696" s="245"/>
      <c r="I696" s="245"/>
      <c r="J696" s="245"/>
      <c r="K696" s="245"/>
      <c r="L696" s="245"/>
      <c r="N696" s="579"/>
      <c r="O696" s="579"/>
      <c r="P696" s="579"/>
      <c r="Q696" s="66"/>
      <c r="R696" s="66"/>
      <c r="S696" s="66"/>
    </row>
    <row r="697" spans="2:19" x14ac:dyDescent="0.2">
      <c r="B697" s="245"/>
      <c r="C697" s="245"/>
      <c r="D697" s="245"/>
      <c r="E697" s="245"/>
      <c r="F697" s="245"/>
      <c r="G697" s="579"/>
      <c r="H697" s="245"/>
      <c r="I697" s="245"/>
      <c r="J697" s="245"/>
      <c r="K697" s="245"/>
      <c r="L697" s="245"/>
      <c r="N697" s="579"/>
      <c r="O697" s="579"/>
      <c r="P697" s="579"/>
      <c r="Q697" s="66"/>
      <c r="R697" s="66"/>
      <c r="S697" s="66"/>
    </row>
    <row r="698" spans="2:19" x14ac:dyDescent="0.2">
      <c r="B698" s="245"/>
      <c r="C698" s="245"/>
      <c r="D698" s="245"/>
      <c r="E698" s="245"/>
      <c r="F698" s="245"/>
      <c r="G698" s="579"/>
      <c r="H698" s="245"/>
      <c r="I698" s="245"/>
      <c r="J698" s="245"/>
      <c r="K698" s="245"/>
      <c r="L698" s="245"/>
      <c r="N698" s="579"/>
      <c r="O698" s="579"/>
      <c r="P698" s="579"/>
      <c r="Q698" s="66"/>
      <c r="R698" s="66"/>
      <c r="S698" s="66"/>
    </row>
    <row r="699" spans="2:19" x14ac:dyDescent="0.2">
      <c r="B699" s="245"/>
      <c r="C699" s="245"/>
      <c r="D699" s="245"/>
      <c r="E699" s="245"/>
      <c r="F699" s="245"/>
      <c r="G699" s="579"/>
      <c r="H699" s="245"/>
      <c r="I699" s="245"/>
      <c r="J699" s="245"/>
      <c r="K699" s="245"/>
      <c r="L699" s="245"/>
      <c r="N699" s="579"/>
      <c r="O699" s="579"/>
      <c r="P699" s="579"/>
      <c r="Q699" s="66"/>
      <c r="R699" s="66"/>
      <c r="S699" s="66"/>
    </row>
    <row r="700" spans="2:19" x14ac:dyDescent="0.2">
      <c r="B700" s="245"/>
      <c r="C700" s="245"/>
      <c r="D700" s="245"/>
      <c r="E700" s="245"/>
      <c r="F700" s="245"/>
      <c r="G700" s="579"/>
      <c r="H700" s="245"/>
      <c r="I700" s="245"/>
      <c r="J700" s="245"/>
      <c r="K700" s="245"/>
      <c r="L700" s="245"/>
      <c r="N700" s="579"/>
      <c r="O700" s="579"/>
      <c r="P700" s="579"/>
      <c r="Q700" s="66"/>
      <c r="R700" s="66"/>
      <c r="S700" s="66"/>
    </row>
    <row r="701" spans="2:19" x14ac:dyDescent="0.2">
      <c r="B701" s="245"/>
      <c r="C701" s="245"/>
      <c r="D701" s="245"/>
      <c r="E701" s="245"/>
      <c r="F701" s="245"/>
      <c r="G701" s="579"/>
      <c r="H701" s="245"/>
      <c r="I701" s="245"/>
      <c r="J701" s="245"/>
      <c r="K701" s="245"/>
      <c r="L701" s="245"/>
      <c r="N701" s="579"/>
      <c r="O701" s="579"/>
      <c r="P701" s="579"/>
      <c r="Q701" s="66"/>
      <c r="R701" s="66"/>
      <c r="S701" s="66"/>
    </row>
    <row r="702" spans="2:19" x14ac:dyDescent="0.2">
      <c r="B702" s="245"/>
      <c r="C702" s="245"/>
      <c r="D702" s="245"/>
      <c r="E702" s="245"/>
      <c r="F702" s="245"/>
      <c r="G702" s="579"/>
      <c r="H702" s="245"/>
      <c r="I702" s="245"/>
      <c r="J702" s="245"/>
      <c r="K702" s="245"/>
      <c r="L702" s="245"/>
      <c r="N702" s="579"/>
      <c r="O702" s="579"/>
      <c r="P702" s="579"/>
      <c r="Q702" s="66"/>
      <c r="R702" s="66"/>
      <c r="S702" s="66"/>
    </row>
    <row r="703" spans="2:19" x14ac:dyDescent="0.2">
      <c r="B703" s="245"/>
      <c r="C703" s="245"/>
      <c r="D703" s="245"/>
      <c r="E703" s="245"/>
      <c r="F703" s="245"/>
      <c r="G703" s="579"/>
      <c r="H703" s="245"/>
      <c r="I703" s="245"/>
      <c r="J703" s="245"/>
      <c r="K703" s="245"/>
      <c r="L703" s="245"/>
      <c r="N703" s="579"/>
      <c r="O703" s="579"/>
      <c r="P703" s="579"/>
      <c r="Q703" s="66"/>
      <c r="R703" s="66"/>
      <c r="S703" s="66"/>
    </row>
    <row r="704" spans="2:19" x14ac:dyDescent="0.2">
      <c r="B704" s="245"/>
      <c r="C704" s="245"/>
      <c r="D704" s="245"/>
      <c r="E704" s="245"/>
      <c r="F704" s="245"/>
      <c r="G704" s="579"/>
      <c r="H704" s="245"/>
      <c r="I704" s="245"/>
      <c r="J704" s="245"/>
      <c r="K704" s="245"/>
      <c r="L704" s="245"/>
      <c r="N704" s="579"/>
      <c r="O704" s="579"/>
      <c r="P704" s="579"/>
      <c r="Q704" s="66"/>
      <c r="R704" s="66"/>
      <c r="S704" s="66"/>
    </row>
    <row r="705" spans="2:19" x14ac:dyDescent="0.2">
      <c r="B705" s="245"/>
      <c r="C705" s="245"/>
      <c r="D705" s="245"/>
      <c r="E705" s="245"/>
      <c r="F705" s="245"/>
      <c r="G705" s="579"/>
      <c r="H705" s="245"/>
      <c r="I705" s="245"/>
      <c r="J705" s="245"/>
      <c r="K705" s="245"/>
      <c r="L705" s="245"/>
      <c r="N705" s="579"/>
      <c r="O705" s="579"/>
      <c r="P705" s="579"/>
      <c r="Q705" s="66"/>
      <c r="R705" s="66"/>
      <c r="S705" s="66"/>
    </row>
    <row r="706" spans="2:19" x14ac:dyDescent="0.2">
      <c r="B706" s="245"/>
      <c r="C706" s="245"/>
      <c r="D706" s="245"/>
      <c r="E706" s="245"/>
      <c r="F706" s="245"/>
      <c r="G706" s="579"/>
      <c r="H706" s="245"/>
      <c r="I706" s="245"/>
      <c r="J706" s="245"/>
      <c r="K706" s="245"/>
      <c r="L706" s="245"/>
      <c r="N706" s="579"/>
      <c r="O706" s="579"/>
      <c r="P706" s="579"/>
      <c r="Q706" s="66"/>
      <c r="R706" s="66"/>
      <c r="S706" s="66"/>
    </row>
    <row r="707" spans="2:19" x14ac:dyDescent="0.2">
      <c r="B707" s="245"/>
      <c r="C707" s="245"/>
      <c r="D707" s="245"/>
      <c r="E707" s="245"/>
      <c r="F707" s="245"/>
      <c r="G707" s="579"/>
      <c r="H707" s="245"/>
      <c r="I707" s="245"/>
      <c r="J707" s="245"/>
      <c r="K707" s="245"/>
      <c r="L707" s="245"/>
      <c r="N707" s="579"/>
      <c r="O707" s="579"/>
      <c r="P707" s="579"/>
      <c r="Q707" s="66"/>
      <c r="R707" s="66"/>
      <c r="S707" s="66"/>
    </row>
    <row r="708" spans="2:19" x14ac:dyDescent="0.2">
      <c r="B708" s="245"/>
      <c r="C708" s="245"/>
      <c r="D708" s="245"/>
      <c r="E708" s="245"/>
      <c r="F708" s="245"/>
      <c r="G708" s="579"/>
      <c r="H708" s="245"/>
      <c r="I708" s="245"/>
      <c r="J708" s="245"/>
      <c r="K708" s="245"/>
      <c r="L708" s="245"/>
      <c r="N708" s="579"/>
      <c r="O708" s="579"/>
      <c r="P708" s="579"/>
      <c r="Q708" s="66"/>
      <c r="R708" s="66"/>
      <c r="S708" s="66"/>
    </row>
    <row r="709" spans="2:19" x14ac:dyDescent="0.2">
      <c r="B709" s="245"/>
      <c r="C709" s="245"/>
      <c r="D709" s="245"/>
      <c r="E709" s="245"/>
      <c r="F709" s="245"/>
      <c r="G709" s="579"/>
      <c r="H709" s="245"/>
      <c r="I709" s="245"/>
      <c r="J709" s="245"/>
      <c r="K709" s="245"/>
      <c r="L709" s="245"/>
      <c r="N709" s="579"/>
      <c r="O709" s="579"/>
      <c r="P709" s="579"/>
      <c r="Q709" s="66"/>
      <c r="R709" s="66"/>
      <c r="S709" s="66"/>
    </row>
    <row r="710" spans="2:19" x14ac:dyDescent="0.2">
      <c r="B710" s="245"/>
      <c r="C710" s="245"/>
      <c r="D710" s="245"/>
      <c r="E710" s="245"/>
      <c r="F710" s="245"/>
      <c r="G710" s="579"/>
      <c r="H710" s="245"/>
      <c r="I710" s="245"/>
      <c r="J710" s="245"/>
      <c r="K710" s="245"/>
      <c r="L710" s="245"/>
      <c r="N710" s="579"/>
      <c r="O710" s="579"/>
      <c r="P710" s="579"/>
      <c r="Q710" s="66"/>
      <c r="R710" s="66"/>
      <c r="S710" s="66"/>
    </row>
    <row r="711" spans="2:19" x14ac:dyDescent="0.2">
      <c r="B711" s="245"/>
      <c r="C711" s="245"/>
      <c r="D711" s="245"/>
      <c r="E711" s="245"/>
      <c r="F711" s="245"/>
      <c r="G711" s="579"/>
      <c r="H711" s="245"/>
      <c r="I711" s="245"/>
      <c r="J711" s="245"/>
      <c r="K711" s="245"/>
      <c r="L711" s="245"/>
      <c r="N711" s="579"/>
      <c r="O711" s="579"/>
      <c r="P711" s="579"/>
      <c r="Q711" s="66"/>
      <c r="R711" s="66"/>
      <c r="S711" s="66"/>
    </row>
    <row r="712" spans="2:19" x14ac:dyDescent="0.2">
      <c r="B712" s="245"/>
      <c r="C712" s="245"/>
      <c r="D712" s="245"/>
      <c r="E712" s="245"/>
      <c r="F712" s="245"/>
      <c r="G712" s="579"/>
      <c r="H712" s="245"/>
      <c r="I712" s="245"/>
      <c r="J712" s="245"/>
      <c r="K712" s="245"/>
      <c r="L712" s="245"/>
      <c r="N712" s="579"/>
      <c r="O712" s="579"/>
      <c r="P712" s="579"/>
      <c r="Q712" s="66"/>
      <c r="R712" s="66"/>
      <c r="S712" s="66"/>
    </row>
    <row r="713" spans="2:19" x14ac:dyDescent="0.2">
      <c r="B713" s="245"/>
      <c r="C713" s="245"/>
      <c r="D713" s="245"/>
      <c r="E713" s="245"/>
      <c r="F713" s="245"/>
      <c r="G713" s="579"/>
      <c r="H713" s="245"/>
      <c r="I713" s="245"/>
      <c r="J713" s="245"/>
      <c r="K713" s="245"/>
      <c r="L713" s="245"/>
      <c r="N713" s="579"/>
      <c r="O713" s="579"/>
      <c r="P713" s="579"/>
      <c r="Q713" s="66"/>
      <c r="R713" s="66"/>
      <c r="S713" s="66"/>
    </row>
    <row r="714" spans="2:19" x14ac:dyDescent="0.2">
      <c r="B714" s="245"/>
      <c r="C714" s="245"/>
      <c r="D714" s="245"/>
      <c r="E714" s="245"/>
      <c r="F714" s="245"/>
      <c r="G714" s="579"/>
      <c r="H714" s="245"/>
      <c r="I714" s="245"/>
      <c r="J714" s="245"/>
      <c r="K714" s="245"/>
      <c r="L714" s="245"/>
      <c r="N714" s="579"/>
      <c r="O714" s="579"/>
      <c r="P714" s="579"/>
      <c r="Q714" s="66"/>
      <c r="R714" s="66"/>
      <c r="S714" s="66"/>
    </row>
    <row r="715" spans="2:19" x14ac:dyDescent="0.2">
      <c r="B715" s="245"/>
      <c r="C715" s="245"/>
      <c r="D715" s="245"/>
      <c r="E715" s="245"/>
      <c r="F715" s="245"/>
      <c r="G715" s="579"/>
      <c r="H715" s="245"/>
      <c r="I715" s="245"/>
      <c r="J715" s="245"/>
      <c r="K715" s="245"/>
      <c r="L715" s="245"/>
      <c r="N715" s="579"/>
      <c r="O715" s="579"/>
      <c r="P715" s="579"/>
      <c r="Q715" s="66"/>
      <c r="R715" s="66"/>
      <c r="S715" s="66"/>
    </row>
    <row r="716" spans="2:19" x14ac:dyDescent="0.2">
      <c r="B716" s="245"/>
      <c r="C716" s="245"/>
      <c r="D716" s="245"/>
      <c r="E716" s="245"/>
      <c r="F716" s="245"/>
      <c r="G716" s="579"/>
      <c r="H716" s="245"/>
      <c r="I716" s="245"/>
      <c r="J716" s="245"/>
      <c r="K716" s="245"/>
      <c r="L716" s="245"/>
      <c r="N716" s="579"/>
      <c r="O716" s="579"/>
      <c r="P716" s="579"/>
      <c r="Q716" s="66"/>
      <c r="R716" s="66"/>
      <c r="S716" s="66"/>
    </row>
    <row r="717" spans="2:19" x14ac:dyDescent="0.2">
      <c r="B717" s="245"/>
      <c r="C717" s="245"/>
      <c r="D717" s="245"/>
      <c r="E717" s="245"/>
      <c r="F717" s="245"/>
      <c r="G717" s="579"/>
      <c r="H717" s="245"/>
      <c r="I717" s="245"/>
      <c r="J717" s="245"/>
      <c r="K717" s="245"/>
      <c r="L717" s="245"/>
      <c r="N717" s="579"/>
      <c r="O717" s="579"/>
      <c r="P717" s="579"/>
      <c r="Q717" s="66"/>
      <c r="R717" s="66"/>
      <c r="S717" s="66"/>
    </row>
    <row r="718" spans="2:19" x14ac:dyDescent="0.2">
      <c r="B718" s="245"/>
      <c r="C718" s="245"/>
      <c r="D718" s="245"/>
      <c r="E718" s="245"/>
      <c r="F718" s="245"/>
      <c r="G718" s="579"/>
      <c r="H718" s="245"/>
      <c r="I718" s="245"/>
      <c r="J718" s="245"/>
      <c r="K718" s="245"/>
      <c r="L718" s="245"/>
      <c r="N718" s="579"/>
      <c r="O718" s="579"/>
      <c r="P718" s="579"/>
      <c r="Q718" s="66"/>
      <c r="R718" s="66"/>
      <c r="S718" s="66"/>
    </row>
    <row r="719" spans="2:19" x14ac:dyDescent="0.2">
      <c r="B719" s="245"/>
      <c r="C719" s="245"/>
      <c r="D719" s="245"/>
      <c r="E719" s="245"/>
      <c r="F719" s="245"/>
      <c r="G719" s="579"/>
      <c r="H719" s="245"/>
      <c r="I719" s="245"/>
      <c r="J719" s="245"/>
      <c r="K719" s="245"/>
      <c r="L719" s="245"/>
      <c r="N719" s="579"/>
      <c r="O719" s="579"/>
      <c r="P719" s="579"/>
      <c r="Q719" s="66"/>
      <c r="R719" s="66"/>
      <c r="S719" s="66"/>
    </row>
    <row r="720" spans="2:19" x14ac:dyDescent="0.2">
      <c r="B720" s="245"/>
      <c r="C720" s="245"/>
      <c r="D720" s="245"/>
      <c r="E720" s="245"/>
      <c r="F720" s="245"/>
      <c r="G720" s="579"/>
      <c r="H720" s="245"/>
      <c r="I720" s="245"/>
      <c r="J720" s="245"/>
      <c r="K720" s="245"/>
      <c r="L720" s="245"/>
      <c r="N720" s="579"/>
      <c r="O720" s="579"/>
      <c r="P720" s="579"/>
      <c r="Q720" s="66"/>
      <c r="R720" s="66"/>
      <c r="S720" s="66"/>
    </row>
    <row r="721" spans="2:19" x14ac:dyDescent="0.2">
      <c r="B721" s="245"/>
      <c r="C721" s="245"/>
      <c r="D721" s="245"/>
      <c r="E721" s="245"/>
      <c r="F721" s="245"/>
      <c r="G721" s="579"/>
      <c r="H721" s="245"/>
      <c r="I721" s="245"/>
      <c r="J721" s="245"/>
      <c r="K721" s="245"/>
      <c r="L721" s="245"/>
      <c r="N721" s="579"/>
      <c r="O721" s="579"/>
      <c r="P721" s="579"/>
      <c r="Q721" s="66"/>
      <c r="R721" s="66"/>
      <c r="S721" s="66"/>
    </row>
    <row r="722" spans="2:19" x14ac:dyDescent="0.2">
      <c r="B722" s="245"/>
      <c r="C722" s="245"/>
      <c r="D722" s="245"/>
      <c r="E722" s="245"/>
      <c r="F722" s="245"/>
      <c r="G722" s="579"/>
      <c r="H722" s="245"/>
      <c r="I722" s="245"/>
      <c r="J722" s="245"/>
      <c r="K722" s="245"/>
      <c r="L722" s="245"/>
      <c r="N722" s="579"/>
      <c r="O722" s="579"/>
      <c r="P722" s="579"/>
      <c r="Q722" s="66"/>
      <c r="R722" s="66"/>
      <c r="S722" s="66"/>
    </row>
    <row r="723" spans="2:19" x14ac:dyDescent="0.2">
      <c r="B723" s="245"/>
      <c r="C723" s="245"/>
      <c r="D723" s="245"/>
      <c r="E723" s="245"/>
      <c r="F723" s="245"/>
      <c r="G723" s="579"/>
      <c r="H723" s="245"/>
      <c r="I723" s="245"/>
      <c r="J723" s="245"/>
      <c r="K723" s="245"/>
      <c r="L723" s="245"/>
      <c r="N723" s="579"/>
      <c r="O723" s="579"/>
      <c r="P723" s="579"/>
      <c r="Q723" s="66"/>
      <c r="R723" s="66"/>
      <c r="S723" s="66"/>
    </row>
    <row r="724" spans="2:19" x14ac:dyDescent="0.2">
      <c r="B724" s="245"/>
      <c r="C724" s="245"/>
      <c r="D724" s="245"/>
      <c r="E724" s="245"/>
      <c r="F724" s="245"/>
      <c r="G724" s="579"/>
      <c r="H724" s="245"/>
      <c r="I724" s="245"/>
      <c r="J724" s="245"/>
      <c r="K724" s="245"/>
      <c r="L724" s="245"/>
      <c r="N724" s="579"/>
      <c r="O724" s="579"/>
      <c r="P724" s="579"/>
      <c r="Q724" s="66"/>
      <c r="R724" s="66"/>
      <c r="S724" s="66"/>
    </row>
    <row r="725" spans="2:19" x14ac:dyDescent="0.2">
      <c r="B725" s="245"/>
      <c r="C725" s="245"/>
      <c r="D725" s="245"/>
      <c r="E725" s="245"/>
      <c r="F725" s="245"/>
      <c r="G725" s="579"/>
      <c r="H725" s="245"/>
      <c r="I725" s="245"/>
      <c r="J725" s="245"/>
      <c r="K725" s="245"/>
      <c r="L725" s="245"/>
      <c r="N725" s="579"/>
      <c r="O725" s="579"/>
      <c r="P725" s="579"/>
      <c r="Q725" s="66"/>
      <c r="R725" s="66"/>
      <c r="S725" s="66"/>
    </row>
    <row r="726" spans="2:19" x14ac:dyDescent="0.2">
      <c r="B726" s="245"/>
      <c r="C726" s="245"/>
      <c r="D726" s="245"/>
      <c r="E726" s="245"/>
      <c r="F726" s="245"/>
      <c r="G726" s="579"/>
      <c r="H726" s="245"/>
      <c r="I726" s="245"/>
      <c r="J726" s="245"/>
      <c r="K726" s="245"/>
      <c r="L726" s="245"/>
      <c r="N726" s="579"/>
      <c r="O726" s="579"/>
      <c r="P726" s="579"/>
      <c r="Q726" s="66"/>
      <c r="R726" s="66"/>
      <c r="S726" s="66"/>
    </row>
    <row r="727" spans="2:19" x14ac:dyDescent="0.2">
      <c r="B727" s="245"/>
      <c r="C727" s="245"/>
      <c r="D727" s="245"/>
      <c r="E727" s="245"/>
      <c r="F727" s="245"/>
      <c r="G727" s="579"/>
      <c r="H727" s="245"/>
      <c r="I727" s="245"/>
      <c r="J727" s="245"/>
      <c r="K727" s="245"/>
      <c r="L727" s="245"/>
      <c r="N727" s="579"/>
      <c r="O727" s="579"/>
      <c r="P727" s="579"/>
      <c r="Q727" s="66"/>
      <c r="R727" s="66"/>
      <c r="S727" s="66"/>
    </row>
    <row r="728" spans="2:19" x14ac:dyDescent="0.2">
      <c r="B728" s="245"/>
      <c r="C728" s="245"/>
      <c r="D728" s="245"/>
      <c r="E728" s="245"/>
      <c r="F728" s="245"/>
      <c r="G728" s="579"/>
      <c r="H728" s="245"/>
      <c r="I728" s="245"/>
      <c r="J728" s="245"/>
      <c r="K728" s="245"/>
      <c r="L728" s="245"/>
      <c r="N728" s="579"/>
      <c r="O728" s="579"/>
      <c r="P728" s="579"/>
      <c r="Q728" s="66"/>
      <c r="R728" s="66"/>
      <c r="S728" s="66"/>
    </row>
    <row r="729" spans="2:19" x14ac:dyDescent="0.2">
      <c r="B729" s="245"/>
      <c r="C729" s="245"/>
      <c r="D729" s="245"/>
      <c r="E729" s="245"/>
      <c r="F729" s="245"/>
      <c r="G729" s="579"/>
      <c r="H729" s="245"/>
      <c r="I729" s="245"/>
      <c r="J729" s="245"/>
      <c r="K729" s="245"/>
      <c r="L729" s="245"/>
      <c r="N729" s="579"/>
      <c r="O729" s="579"/>
      <c r="P729" s="579"/>
      <c r="Q729" s="66"/>
      <c r="R729" s="66"/>
      <c r="S729" s="66"/>
    </row>
    <row r="730" spans="2:19" x14ac:dyDescent="0.2">
      <c r="B730" s="245"/>
      <c r="C730" s="245"/>
      <c r="D730" s="245"/>
      <c r="E730" s="245"/>
      <c r="F730" s="245"/>
      <c r="G730" s="579"/>
      <c r="H730" s="245"/>
      <c r="I730" s="245"/>
      <c r="J730" s="245"/>
      <c r="K730" s="245"/>
      <c r="L730" s="245"/>
      <c r="N730" s="579"/>
      <c r="O730" s="579"/>
      <c r="P730" s="579"/>
      <c r="Q730" s="66"/>
      <c r="R730" s="66"/>
      <c r="S730" s="66"/>
    </row>
    <row r="731" spans="2:19" x14ac:dyDescent="0.2">
      <c r="B731" s="245"/>
      <c r="C731" s="245"/>
      <c r="D731" s="245"/>
      <c r="E731" s="245"/>
      <c r="F731" s="245"/>
      <c r="G731" s="579"/>
      <c r="H731" s="245"/>
      <c r="I731" s="245"/>
      <c r="J731" s="245"/>
      <c r="K731" s="245"/>
      <c r="L731" s="245"/>
      <c r="N731" s="579"/>
      <c r="O731" s="579"/>
      <c r="P731" s="579"/>
      <c r="Q731" s="66"/>
      <c r="R731" s="66"/>
      <c r="S731" s="66"/>
    </row>
    <row r="732" spans="2:19" x14ac:dyDescent="0.2">
      <c r="B732" s="245"/>
      <c r="C732" s="245"/>
      <c r="D732" s="245"/>
      <c r="E732" s="245"/>
      <c r="F732" s="245"/>
      <c r="G732" s="579"/>
      <c r="H732" s="245"/>
      <c r="I732" s="245"/>
      <c r="J732" s="245"/>
      <c r="K732" s="245"/>
      <c r="L732" s="245"/>
      <c r="N732" s="579"/>
      <c r="O732" s="579"/>
      <c r="P732" s="579"/>
      <c r="Q732" s="66"/>
      <c r="R732" s="66"/>
      <c r="S732" s="66"/>
    </row>
    <row r="733" spans="2:19" x14ac:dyDescent="0.2">
      <c r="B733" s="245"/>
      <c r="C733" s="245"/>
      <c r="D733" s="245"/>
      <c r="E733" s="245"/>
      <c r="F733" s="245"/>
      <c r="G733" s="579"/>
      <c r="H733" s="245"/>
      <c r="I733" s="245"/>
      <c r="J733" s="245"/>
      <c r="K733" s="245"/>
      <c r="L733" s="245"/>
      <c r="N733" s="579"/>
      <c r="O733" s="579"/>
      <c r="P733" s="579"/>
      <c r="Q733" s="66"/>
      <c r="R733" s="66"/>
      <c r="S733" s="66"/>
    </row>
    <row r="734" spans="2:19" x14ac:dyDescent="0.2">
      <c r="B734" s="245"/>
      <c r="C734" s="245"/>
      <c r="D734" s="245"/>
      <c r="E734" s="245"/>
      <c r="F734" s="245"/>
      <c r="G734" s="579"/>
      <c r="H734" s="245"/>
      <c r="I734" s="245"/>
      <c r="J734" s="245"/>
      <c r="K734" s="245"/>
      <c r="L734" s="245"/>
      <c r="N734" s="579"/>
      <c r="O734" s="579"/>
      <c r="P734" s="579"/>
      <c r="Q734" s="66"/>
      <c r="R734" s="66"/>
      <c r="S734" s="66"/>
    </row>
    <row r="735" spans="2:19" x14ac:dyDescent="0.2">
      <c r="B735" s="245"/>
      <c r="C735" s="245"/>
      <c r="D735" s="245"/>
      <c r="E735" s="245"/>
      <c r="F735" s="245"/>
      <c r="G735" s="579"/>
      <c r="H735" s="245"/>
      <c r="I735" s="245"/>
      <c r="J735" s="245"/>
      <c r="K735" s="245"/>
      <c r="L735" s="245"/>
      <c r="N735" s="579"/>
      <c r="O735" s="579"/>
      <c r="P735" s="579"/>
      <c r="Q735" s="66"/>
      <c r="R735" s="66"/>
      <c r="S735" s="66"/>
    </row>
    <row r="736" spans="2:19" x14ac:dyDescent="0.2">
      <c r="B736" s="245"/>
      <c r="C736" s="245"/>
      <c r="D736" s="245"/>
      <c r="E736" s="245"/>
      <c r="F736" s="245"/>
      <c r="G736" s="579"/>
      <c r="H736" s="245"/>
      <c r="I736" s="245"/>
      <c r="J736" s="245"/>
      <c r="K736" s="245"/>
      <c r="L736" s="245"/>
      <c r="N736" s="579"/>
      <c r="O736" s="579"/>
      <c r="P736" s="579"/>
      <c r="Q736" s="66"/>
      <c r="R736" s="66"/>
      <c r="S736" s="66"/>
    </row>
    <row r="737" spans="2:19" x14ac:dyDescent="0.2">
      <c r="B737" s="245"/>
      <c r="C737" s="245"/>
      <c r="D737" s="245"/>
      <c r="E737" s="245"/>
      <c r="F737" s="245"/>
      <c r="G737" s="579"/>
      <c r="H737" s="245"/>
      <c r="I737" s="245"/>
      <c r="J737" s="245"/>
      <c r="K737" s="245"/>
      <c r="L737" s="245"/>
      <c r="N737" s="579"/>
      <c r="O737" s="579"/>
      <c r="P737" s="579"/>
      <c r="Q737" s="66"/>
      <c r="R737" s="66"/>
      <c r="S737" s="66"/>
    </row>
    <row r="738" spans="2:19" x14ac:dyDescent="0.2">
      <c r="B738" s="245"/>
      <c r="C738" s="245"/>
      <c r="D738" s="245"/>
      <c r="E738" s="245"/>
      <c r="F738" s="245"/>
      <c r="G738" s="579"/>
      <c r="H738" s="245"/>
      <c r="I738" s="245"/>
      <c r="J738" s="245"/>
      <c r="K738" s="245"/>
      <c r="L738" s="245"/>
      <c r="N738" s="579"/>
      <c r="O738" s="579"/>
      <c r="P738" s="579"/>
      <c r="Q738" s="66"/>
      <c r="R738" s="66"/>
      <c r="S738" s="66"/>
    </row>
    <row r="739" spans="2:19" x14ac:dyDescent="0.2">
      <c r="B739" s="245"/>
      <c r="C739" s="245"/>
      <c r="D739" s="245"/>
      <c r="E739" s="245"/>
      <c r="F739" s="245"/>
      <c r="G739" s="579"/>
      <c r="H739" s="245"/>
      <c r="I739" s="245"/>
      <c r="J739" s="245"/>
      <c r="K739" s="245"/>
      <c r="L739" s="245"/>
      <c r="N739" s="579"/>
      <c r="O739" s="579"/>
      <c r="P739" s="579"/>
      <c r="Q739" s="66"/>
      <c r="R739" s="66"/>
      <c r="S739" s="66"/>
    </row>
    <row r="740" spans="2:19" x14ac:dyDescent="0.2">
      <c r="B740" s="245"/>
      <c r="C740" s="245"/>
      <c r="D740" s="245"/>
      <c r="E740" s="245"/>
      <c r="F740" s="245"/>
      <c r="G740" s="579"/>
      <c r="H740" s="245"/>
      <c r="I740" s="245"/>
      <c r="J740" s="245"/>
      <c r="K740" s="245"/>
      <c r="L740" s="245"/>
      <c r="N740" s="579"/>
      <c r="O740" s="579"/>
      <c r="P740" s="579"/>
      <c r="Q740" s="66"/>
      <c r="R740" s="66"/>
      <c r="S740" s="66"/>
    </row>
    <row r="741" spans="2:19" x14ac:dyDescent="0.2">
      <c r="B741" s="245"/>
      <c r="C741" s="245"/>
      <c r="D741" s="245"/>
      <c r="E741" s="245"/>
      <c r="F741" s="245"/>
      <c r="G741" s="579"/>
      <c r="H741" s="245"/>
      <c r="I741" s="245"/>
      <c r="J741" s="245"/>
      <c r="K741" s="245"/>
      <c r="L741" s="245"/>
      <c r="N741" s="579"/>
      <c r="O741" s="579"/>
      <c r="P741" s="579"/>
      <c r="Q741" s="66"/>
      <c r="R741" s="66"/>
      <c r="S741" s="66"/>
    </row>
    <row r="742" spans="2:19" x14ac:dyDescent="0.2">
      <c r="B742" s="245"/>
      <c r="C742" s="245"/>
      <c r="D742" s="245"/>
      <c r="E742" s="245"/>
      <c r="F742" s="245"/>
      <c r="G742" s="579"/>
      <c r="H742" s="245"/>
      <c r="I742" s="245"/>
      <c r="J742" s="245"/>
      <c r="K742" s="245"/>
      <c r="L742" s="245"/>
      <c r="N742" s="579"/>
      <c r="O742" s="579"/>
      <c r="P742" s="579"/>
      <c r="Q742" s="66"/>
      <c r="R742" s="66"/>
      <c r="S742" s="66"/>
    </row>
    <row r="743" spans="2:19" x14ac:dyDescent="0.2">
      <c r="B743" s="245"/>
      <c r="C743" s="245"/>
      <c r="D743" s="245"/>
      <c r="E743" s="245"/>
      <c r="F743" s="245"/>
      <c r="G743" s="579"/>
      <c r="H743" s="245"/>
      <c r="I743" s="245"/>
      <c r="J743" s="245"/>
      <c r="K743" s="245"/>
      <c r="L743" s="245"/>
      <c r="N743" s="579"/>
      <c r="O743" s="579"/>
      <c r="P743" s="579"/>
      <c r="Q743" s="66"/>
      <c r="R743" s="66"/>
      <c r="S743" s="66"/>
    </row>
    <row r="744" spans="2:19" x14ac:dyDescent="0.2">
      <c r="B744" s="245"/>
      <c r="C744" s="245"/>
      <c r="D744" s="245"/>
      <c r="E744" s="245"/>
      <c r="F744" s="245"/>
      <c r="G744" s="579"/>
      <c r="H744" s="245"/>
      <c r="I744" s="245"/>
      <c r="J744" s="245"/>
      <c r="K744" s="245"/>
      <c r="L744" s="245"/>
      <c r="N744" s="579"/>
      <c r="O744" s="579"/>
      <c r="P744" s="579"/>
      <c r="Q744" s="66"/>
      <c r="R744" s="66"/>
      <c r="S744" s="66"/>
    </row>
    <row r="745" spans="2:19" x14ac:dyDescent="0.2">
      <c r="B745" s="245"/>
      <c r="C745" s="245"/>
      <c r="D745" s="245"/>
      <c r="E745" s="245"/>
      <c r="F745" s="245"/>
      <c r="G745" s="579"/>
      <c r="H745" s="245"/>
      <c r="I745" s="245"/>
      <c r="J745" s="245"/>
      <c r="K745" s="245"/>
      <c r="L745" s="245"/>
      <c r="N745" s="579"/>
      <c r="O745" s="579"/>
      <c r="P745" s="579"/>
      <c r="Q745" s="66"/>
      <c r="R745" s="66"/>
      <c r="S745" s="66"/>
    </row>
    <row r="746" spans="2:19" x14ac:dyDescent="0.2">
      <c r="B746" s="245"/>
      <c r="C746" s="245"/>
      <c r="D746" s="245"/>
      <c r="E746" s="245"/>
      <c r="F746" s="245"/>
      <c r="G746" s="579"/>
      <c r="H746" s="245"/>
      <c r="I746" s="245"/>
      <c r="J746" s="245"/>
      <c r="K746" s="245"/>
      <c r="L746" s="245"/>
      <c r="N746" s="579"/>
      <c r="O746" s="579"/>
      <c r="P746" s="579"/>
      <c r="Q746" s="66"/>
      <c r="R746" s="66"/>
      <c r="S746" s="66"/>
    </row>
    <row r="747" spans="2:19" x14ac:dyDescent="0.2">
      <c r="B747" s="245"/>
      <c r="C747" s="245"/>
      <c r="D747" s="245"/>
      <c r="E747" s="245"/>
      <c r="F747" s="245"/>
      <c r="G747" s="579"/>
      <c r="H747" s="245"/>
      <c r="I747" s="245"/>
      <c r="J747" s="245"/>
      <c r="K747" s="245"/>
      <c r="L747" s="245"/>
      <c r="N747" s="579"/>
      <c r="O747" s="579"/>
      <c r="P747" s="579"/>
      <c r="Q747" s="66"/>
      <c r="R747" s="66"/>
      <c r="S747" s="66"/>
    </row>
    <row r="748" spans="2:19" x14ac:dyDescent="0.2">
      <c r="B748" s="245"/>
      <c r="C748" s="245"/>
      <c r="D748" s="245"/>
      <c r="E748" s="245"/>
      <c r="F748" s="245"/>
      <c r="G748" s="579"/>
      <c r="H748" s="245"/>
      <c r="I748" s="245"/>
      <c r="J748" s="245"/>
      <c r="K748" s="245"/>
      <c r="L748" s="245"/>
      <c r="N748" s="579"/>
      <c r="O748" s="579"/>
      <c r="P748" s="579"/>
      <c r="Q748" s="66"/>
      <c r="R748" s="66"/>
      <c r="S748" s="66"/>
    </row>
    <row r="749" spans="2:19" x14ac:dyDescent="0.2">
      <c r="B749" s="245"/>
      <c r="C749" s="245"/>
      <c r="D749" s="245"/>
      <c r="E749" s="245"/>
      <c r="F749" s="245"/>
      <c r="G749" s="579"/>
      <c r="H749" s="245"/>
      <c r="I749" s="245"/>
      <c r="J749" s="245"/>
      <c r="K749" s="245"/>
      <c r="L749" s="245"/>
      <c r="N749" s="579"/>
      <c r="O749" s="579"/>
      <c r="P749" s="579"/>
      <c r="Q749" s="66"/>
      <c r="R749" s="66"/>
      <c r="S749" s="66"/>
    </row>
    <row r="750" spans="2:19" x14ac:dyDescent="0.2">
      <c r="B750" s="245"/>
      <c r="C750" s="245"/>
      <c r="D750" s="245"/>
      <c r="E750" s="245"/>
      <c r="F750" s="245"/>
      <c r="G750" s="579"/>
      <c r="H750" s="245"/>
      <c r="I750" s="245"/>
      <c r="J750" s="245"/>
      <c r="K750" s="245"/>
      <c r="L750" s="245"/>
      <c r="N750" s="579"/>
      <c r="O750" s="579"/>
      <c r="P750" s="579"/>
      <c r="Q750" s="66"/>
      <c r="R750" s="66"/>
      <c r="S750" s="66"/>
    </row>
    <row r="751" spans="2:19" x14ac:dyDescent="0.2">
      <c r="B751" s="245"/>
      <c r="C751" s="245"/>
      <c r="D751" s="245"/>
      <c r="E751" s="245"/>
      <c r="F751" s="245"/>
      <c r="G751" s="579"/>
      <c r="H751" s="245"/>
      <c r="I751" s="245"/>
      <c r="J751" s="245"/>
      <c r="K751" s="245"/>
      <c r="L751" s="245"/>
      <c r="N751" s="579"/>
      <c r="O751" s="579"/>
      <c r="P751" s="579"/>
      <c r="Q751" s="66"/>
      <c r="R751" s="66"/>
      <c r="S751" s="66"/>
    </row>
    <row r="752" spans="2:19" x14ac:dyDescent="0.2">
      <c r="B752" s="245"/>
      <c r="C752" s="245"/>
      <c r="D752" s="245"/>
      <c r="E752" s="245"/>
      <c r="F752" s="245"/>
      <c r="G752" s="579"/>
      <c r="H752" s="245"/>
      <c r="I752" s="245"/>
      <c r="J752" s="245"/>
      <c r="K752" s="245"/>
      <c r="L752" s="245"/>
      <c r="N752" s="579"/>
      <c r="O752" s="579"/>
      <c r="P752" s="579"/>
      <c r="Q752" s="66"/>
      <c r="R752" s="66"/>
      <c r="S752" s="66"/>
    </row>
    <row r="753" spans="2:19" x14ac:dyDescent="0.2">
      <c r="B753" s="245"/>
      <c r="C753" s="245"/>
      <c r="D753" s="245"/>
      <c r="E753" s="245"/>
      <c r="F753" s="245"/>
      <c r="G753" s="579"/>
      <c r="H753" s="245"/>
      <c r="I753" s="245"/>
      <c r="J753" s="245"/>
      <c r="K753" s="245"/>
      <c r="L753" s="245"/>
      <c r="N753" s="579"/>
      <c r="O753" s="579"/>
      <c r="P753" s="579"/>
      <c r="Q753" s="66"/>
      <c r="R753" s="66"/>
      <c r="S753" s="66"/>
    </row>
    <row r="754" spans="2:19" x14ac:dyDescent="0.2">
      <c r="B754" s="245"/>
      <c r="C754" s="245"/>
      <c r="D754" s="245"/>
      <c r="E754" s="245"/>
      <c r="F754" s="245"/>
      <c r="G754" s="579"/>
      <c r="H754" s="245"/>
      <c r="I754" s="245"/>
      <c r="J754" s="245"/>
      <c r="K754" s="245"/>
      <c r="L754" s="245"/>
      <c r="N754" s="579"/>
      <c r="O754" s="579"/>
      <c r="P754" s="579"/>
      <c r="Q754" s="66"/>
      <c r="R754" s="66"/>
      <c r="S754" s="66"/>
    </row>
    <row r="755" spans="2:19" x14ac:dyDescent="0.2">
      <c r="B755" s="245"/>
      <c r="C755" s="245"/>
      <c r="D755" s="245"/>
      <c r="E755" s="245"/>
      <c r="F755" s="245"/>
      <c r="G755" s="579"/>
      <c r="H755" s="245"/>
      <c r="I755" s="245"/>
      <c r="J755" s="245"/>
      <c r="K755" s="245"/>
      <c r="L755" s="245"/>
      <c r="N755" s="579"/>
      <c r="O755" s="579"/>
      <c r="P755" s="579"/>
      <c r="Q755" s="66"/>
      <c r="R755" s="66"/>
      <c r="S755" s="66"/>
    </row>
    <row r="756" spans="2:19" x14ac:dyDescent="0.2">
      <c r="B756" s="245"/>
      <c r="C756" s="245"/>
      <c r="D756" s="245"/>
      <c r="E756" s="245"/>
      <c r="F756" s="245"/>
      <c r="G756" s="579"/>
      <c r="H756" s="245"/>
      <c r="I756" s="245"/>
      <c r="J756" s="245"/>
      <c r="K756" s="245"/>
      <c r="L756" s="245"/>
      <c r="N756" s="579"/>
      <c r="O756" s="579"/>
      <c r="P756" s="579"/>
      <c r="Q756" s="66"/>
      <c r="R756" s="66"/>
      <c r="S756" s="66"/>
    </row>
    <row r="757" spans="2:19" x14ac:dyDescent="0.2">
      <c r="B757" s="245"/>
      <c r="C757" s="245"/>
      <c r="D757" s="245"/>
      <c r="E757" s="245"/>
      <c r="F757" s="245"/>
      <c r="G757" s="579"/>
      <c r="H757" s="245"/>
      <c r="I757" s="245"/>
      <c r="J757" s="245"/>
      <c r="K757" s="245"/>
      <c r="L757" s="245"/>
      <c r="N757" s="579"/>
      <c r="O757" s="579"/>
      <c r="P757" s="579"/>
      <c r="Q757" s="66"/>
      <c r="R757" s="66"/>
      <c r="S757" s="66"/>
    </row>
    <row r="758" spans="2:19" x14ac:dyDescent="0.2">
      <c r="B758" s="245"/>
      <c r="C758" s="245"/>
      <c r="D758" s="245"/>
      <c r="E758" s="245"/>
      <c r="F758" s="245"/>
      <c r="G758" s="579"/>
      <c r="H758" s="245"/>
      <c r="I758" s="245"/>
      <c r="J758" s="245"/>
      <c r="K758" s="245"/>
      <c r="L758" s="245"/>
      <c r="N758" s="579"/>
      <c r="O758" s="579"/>
      <c r="P758" s="579"/>
      <c r="Q758" s="66"/>
      <c r="R758" s="66"/>
      <c r="S758" s="66"/>
    </row>
    <row r="759" spans="2:19" x14ac:dyDescent="0.2">
      <c r="B759" s="245"/>
      <c r="C759" s="245"/>
      <c r="D759" s="245"/>
      <c r="E759" s="245"/>
      <c r="F759" s="245"/>
      <c r="G759" s="579"/>
      <c r="H759" s="245"/>
      <c r="I759" s="245"/>
      <c r="J759" s="245"/>
      <c r="K759" s="245"/>
      <c r="L759" s="245"/>
      <c r="N759" s="579"/>
      <c r="O759" s="579"/>
      <c r="P759" s="579"/>
      <c r="Q759" s="66"/>
      <c r="R759" s="66"/>
      <c r="S759" s="66"/>
    </row>
    <row r="760" spans="2:19" x14ac:dyDescent="0.2">
      <c r="B760" s="245"/>
      <c r="C760" s="245"/>
      <c r="D760" s="245"/>
      <c r="E760" s="245"/>
      <c r="F760" s="245"/>
      <c r="G760" s="579"/>
      <c r="H760" s="245"/>
      <c r="I760" s="245"/>
      <c r="J760" s="245"/>
      <c r="K760" s="245"/>
      <c r="L760" s="245"/>
      <c r="N760" s="579"/>
      <c r="O760" s="579"/>
      <c r="P760" s="579"/>
      <c r="Q760" s="66"/>
      <c r="R760" s="66"/>
      <c r="S760" s="66"/>
    </row>
    <row r="761" spans="2:19" x14ac:dyDescent="0.2">
      <c r="B761" s="245"/>
      <c r="C761" s="245"/>
      <c r="D761" s="245"/>
      <c r="E761" s="245"/>
      <c r="F761" s="245"/>
      <c r="G761" s="579"/>
      <c r="H761" s="245"/>
      <c r="I761" s="245"/>
      <c r="J761" s="245"/>
      <c r="K761" s="245"/>
      <c r="L761" s="245"/>
      <c r="N761" s="579"/>
      <c r="O761" s="579"/>
      <c r="P761" s="579"/>
      <c r="Q761" s="66"/>
      <c r="R761" s="66"/>
      <c r="S761" s="66"/>
    </row>
    <row r="762" spans="2:19" x14ac:dyDescent="0.2">
      <c r="B762" s="245"/>
      <c r="C762" s="245"/>
      <c r="D762" s="245"/>
      <c r="E762" s="245"/>
      <c r="F762" s="245"/>
      <c r="G762" s="579"/>
      <c r="H762" s="245"/>
      <c r="I762" s="245"/>
      <c r="J762" s="245"/>
      <c r="K762" s="245"/>
      <c r="L762" s="245"/>
      <c r="N762" s="579"/>
      <c r="O762" s="579"/>
      <c r="P762" s="579"/>
      <c r="Q762" s="66"/>
      <c r="R762" s="66"/>
      <c r="S762" s="66"/>
    </row>
    <row r="763" spans="2:19" x14ac:dyDescent="0.2">
      <c r="B763" s="245"/>
      <c r="C763" s="245"/>
      <c r="D763" s="245"/>
      <c r="E763" s="245"/>
      <c r="F763" s="245"/>
      <c r="G763" s="579"/>
      <c r="H763" s="245"/>
      <c r="I763" s="245"/>
      <c r="J763" s="245"/>
      <c r="K763" s="245"/>
      <c r="L763" s="245"/>
      <c r="N763" s="579"/>
      <c r="O763" s="579"/>
      <c r="P763" s="579"/>
      <c r="Q763" s="66"/>
      <c r="R763" s="66"/>
      <c r="S763" s="66"/>
    </row>
    <row r="764" spans="2:19" x14ac:dyDescent="0.2">
      <c r="B764" s="245"/>
      <c r="C764" s="245"/>
      <c r="D764" s="245"/>
      <c r="E764" s="245"/>
      <c r="F764" s="245"/>
      <c r="G764" s="579"/>
      <c r="H764" s="245"/>
      <c r="I764" s="245"/>
      <c r="J764" s="245"/>
      <c r="K764" s="245"/>
      <c r="L764" s="245"/>
      <c r="N764" s="579"/>
      <c r="O764" s="579"/>
      <c r="P764" s="579"/>
      <c r="Q764" s="66"/>
      <c r="R764" s="66"/>
      <c r="S764" s="66"/>
    </row>
    <row r="765" spans="2:19" x14ac:dyDescent="0.2">
      <c r="B765" s="245"/>
      <c r="C765" s="245"/>
      <c r="D765" s="245"/>
      <c r="E765" s="245"/>
      <c r="F765" s="245"/>
      <c r="G765" s="579"/>
      <c r="H765" s="245"/>
      <c r="I765" s="245"/>
      <c r="J765" s="245"/>
      <c r="K765" s="245"/>
      <c r="L765" s="245"/>
      <c r="N765" s="579"/>
      <c r="O765" s="579"/>
      <c r="P765" s="579"/>
      <c r="Q765" s="66"/>
      <c r="R765" s="66"/>
      <c r="S765" s="66"/>
    </row>
    <row r="766" spans="2:19" x14ac:dyDescent="0.2">
      <c r="B766" s="245"/>
      <c r="C766" s="245"/>
      <c r="D766" s="245"/>
      <c r="E766" s="245"/>
      <c r="F766" s="245"/>
      <c r="G766" s="579"/>
      <c r="H766" s="245"/>
      <c r="I766" s="245"/>
      <c r="J766" s="245"/>
      <c r="K766" s="245"/>
      <c r="L766" s="245"/>
      <c r="N766" s="579"/>
      <c r="O766" s="579"/>
      <c r="P766" s="579"/>
      <c r="Q766" s="66"/>
      <c r="R766" s="66"/>
      <c r="S766" s="66"/>
    </row>
    <row r="767" spans="2:19" x14ac:dyDescent="0.2">
      <c r="B767" s="245"/>
      <c r="C767" s="245"/>
      <c r="D767" s="245"/>
      <c r="E767" s="245"/>
      <c r="F767" s="245"/>
      <c r="G767" s="579"/>
      <c r="H767" s="245"/>
      <c r="I767" s="245"/>
      <c r="J767" s="245"/>
      <c r="K767" s="245"/>
      <c r="L767" s="245"/>
      <c r="N767" s="579"/>
      <c r="O767" s="579"/>
      <c r="P767" s="579"/>
      <c r="Q767" s="66"/>
      <c r="R767" s="66"/>
      <c r="S767" s="66"/>
    </row>
    <row r="768" spans="2:19" x14ac:dyDescent="0.2">
      <c r="B768" s="245"/>
      <c r="C768" s="245"/>
      <c r="D768" s="245"/>
      <c r="E768" s="245"/>
      <c r="F768" s="245"/>
      <c r="G768" s="579"/>
      <c r="H768" s="245"/>
      <c r="I768" s="245"/>
      <c r="J768" s="245"/>
      <c r="K768" s="245"/>
      <c r="L768" s="245"/>
      <c r="N768" s="579"/>
      <c r="O768" s="579"/>
      <c r="P768" s="579"/>
      <c r="Q768" s="66"/>
      <c r="R768" s="66"/>
      <c r="S768" s="66"/>
    </row>
    <row r="769" spans="2:19" x14ac:dyDescent="0.2">
      <c r="B769" s="245"/>
      <c r="C769" s="245"/>
      <c r="D769" s="245"/>
      <c r="E769" s="245"/>
      <c r="F769" s="245"/>
      <c r="G769" s="579"/>
      <c r="H769" s="245"/>
      <c r="I769" s="245"/>
      <c r="J769" s="245"/>
      <c r="K769" s="245"/>
      <c r="L769" s="245"/>
      <c r="N769" s="579"/>
      <c r="O769" s="579"/>
      <c r="P769" s="579"/>
      <c r="Q769" s="66"/>
      <c r="R769" s="66"/>
      <c r="S769" s="66"/>
    </row>
    <row r="770" spans="2:19" x14ac:dyDescent="0.2">
      <c r="B770" s="245"/>
      <c r="C770" s="245"/>
      <c r="D770" s="245"/>
      <c r="E770" s="245"/>
      <c r="F770" s="245"/>
      <c r="G770" s="579"/>
      <c r="H770" s="245"/>
      <c r="I770" s="245"/>
      <c r="J770" s="245"/>
      <c r="K770" s="245"/>
      <c r="L770" s="245"/>
      <c r="N770" s="579"/>
      <c r="O770" s="579"/>
      <c r="P770" s="579"/>
      <c r="Q770" s="66"/>
      <c r="R770" s="66"/>
      <c r="S770" s="66"/>
    </row>
    <row r="771" spans="2:19" x14ac:dyDescent="0.2">
      <c r="B771" s="245"/>
      <c r="C771" s="245"/>
      <c r="D771" s="245"/>
      <c r="E771" s="245"/>
      <c r="F771" s="245"/>
      <c r="G771" s="579"/>
      <c r="H771" s="245"/>
      <c r="I771" s="245"/>
      <c r="J771" s="245"/>
      <c r="K771" s="245"/>
      <c r="L771" s="245"/>
      <c r="N771" s="579"/>
      <c r="O771" s="579"/>
      <c r="P771" s="579"/>
      <c r="Q771" s="66"/>
      <c r="R771" s="66"/>
      <c r="S771" s="66"/>
    </row>
    <row r="772" spans="2:19" x14ac:dyDescent="0.2">
      <c r="B772" s="245"/>
      <c r="C772" s="245"/>
      <c r="D772" s="245"/>
      <c r="E772" s="245"/>
      <c r="F772" s="245"/>
      <c r="G772" s="579"/>
      <c r="H772" s="245"/>
      <c r="I772" s="245"/>
      <c r="J772" s="245"/>
      <c r="K772" s="245"/>
      <c r="L772" s="245"/>
      <c r="N772" s="579"/>
      <c r="O772" s="579"/>
      <c r="P772" s="579"/>
      <c r="Q772" s="66"/>
      <c r="R772" s="66"/>
      <c r="S772" s="66"/>
    </row>
    <row r="773" spans="2:19" x14ac:dyDescent="0.2">
      <c r="B773" s="245"/>
      <c r="C773" s="245"/>
      <c r="D773" s="245"/>
      <c r="E773" s="245"/>
      <c r="F773" s="245"/>
      <c r="G773" s="579"/>
      <c r="H773" s="245"/>
      <c r="I773" s="245"/>
      <c r="J773" s="245"/>
      <c r="K773" s="245"/>
      <c r="L773" s="245"/>
      <c r="N773" s="579"/>
      <c r="O773" s="579"/>
      <c r="P773" s="579"/>
      <c r="Q773" s="66"/>
      <c r="R773" s="66"/>
      <c r="S773" s="66"/>
    </row>
    <row r="774" spans="2:19" x14ac:dyDescent="0.2">
      <c r="B774" s="245"/>
      <c r="C774" s="245"/>
      <c r="D774" s="245"/>
      <c r="E774" s="245"/>
      <c r="F774" s="245"/>
      <c r="G774" s="579"/>
      <c r="H774" s="245"/>
      <c r="I774" s="245"/>
      <c r="J774" s="245"/>
      <c r="K774" s="245"/>
      <c r="L774" s="245"/>
      <c r="N774" s="579"/>
      <c r="O774" s="579"/>
      <c r="P774" s="579"/>
      <c r="Q774" s="66"/>
      <c r="R774" s="66"/>
      <c r="S774" s="66"/>
    </row>
    <row r="775" spans="2:19" x14ac:dyDescent="0.2">
      <c r="B775" s="245"/>
      <c r="C775" s="245"/>
      <c r="D775" s="245"/>
      <c r="E775" s="245"/>
      <c r="F775" s="245"/>
      <c r="G775" s="579"/>
      <c r="H775" s="245"/>
      <c r="I775" s="245"/>
      <c r="J775" s="245"/>
      <c r="K775" s="245"/>
      <c r="L775" s="245"/>
      <c r="N775" s="579"/>
      <c r="O775" s="579"/>
      <c r="P775" s="579"/>
      <c r="Q775" s="66"/>
      <c r="R775" s="66"/>
      <c r="S775" s="66"/>
    </row>
    <row r="776" spans="2:19" x14ac:dyDescent="0.2">
      <c r="B776" s="245"/>
      <c r="C776" s="245"/>
      <c r="D776" s="245"/>
      <c r="E776" s="245"/>
      <c r="F776" s="245"/>
      <c r="G776" s="579"/>
      <c r="H776" s="245"/>
      <c r="I776" s="245"/>
      <c r="J776" s="245"/>
      <c r="K776" s="245"/>
      <c r="L776" s="245"/>
      <c r="N776" s="579"/>
      <c r="O776" s="579"/>
      <c r="P776" s="579"/>
      <c r="Q776" s="66"/>
      <c r="R776" s="66"/>
      <c r="S776" s="66"/>
    </row>
    <row r="777" spans="2:19" x14ac:dyDescent="0.2">
      <c r="B777" s="245"/>
      <c r="C777" s="245"/>
      <c r="D777" s="245"/>
      <c r="E777" s="245"/>
      <c r="F777" s="245"/>
      <c r="G777" s="579"/>
      <c r="H777" s="245"/>
      <c r="I777" s="245"/>
      <c r="J777" s="245"/>
      <c r="K777" s="245"/>
      <c r="L777" s="245"/>
      <c r="N777" s="579"/>
      <c r="O777" s="579"/>
      <c r="P777" s="579"/>
      <c r="Q777" s="66"/>
      <c r="R777" s="66"/>
      <c r="S777" s="66"/>
    </row>
    <row r="778" spans="2:19" x14ac:dyDescent="0.2">
      <c r="B778" s="245"/>
      <c r="C778" s="245"/>
      <c r="D778" s="245"/>
      <c r="E778" s="245"/>
      <c r="F778" s="245"/>
      <c r="G778" s="579"/>
      <c r="H778" s="245"/>
      <c r="I778" s="245"/>
      <c r="J778" s="245"/>
      <c r="K778" s="245"/>
      <c r="L778" s="245"/>
      <c r="N778" s="579"/>
      <c r="O778" s="579"/>
      <c r="P778" s="579"/>
      <c r="Q778" s="66"/>
      <c r="R778" s="66"/>
      <c r="S778" s="66"/>
    </row>
    <row r="779" spans="2:19" x14ac:dyDescent="0.2">
      <c r="B779" s="245"/>
      <c r="C779" s="245"/>
      <c r="D779" s="245"/>
      <c r="E779" s="245"/>
      <c r="F779" s="245"/>
      <c r="G779" s="579"/>
      <c r="H779" s="245"/>
      <c r="I779" s="245"/>
      <c r="J779" s="245"/>
      <c r="K779" s="245"/>
      <c r="L779" s="245"/>
      <c r="N779" s="579"/>
      <c r="O779" s="579"/>
      <c r="P779" s="579"/>
      <c r="Q779" s="66"/>
      <c r="R779" s="66"/>
      <c r="S779" s="66"/>
    </row>
    <row r="780" spans="2:19" x14ac:dyDescent="0.2">
      <c r="B780" s="245"/>
      <c r="C780" s="245"/>
      <c r="D780" s="245"/>
      <c r="E780" s="245"/>
      <c r="F780" s="245"/>
      <c r="G780" s="579"/>
      <c r="H780" s="245"/>
      <c r="I780" s="245"/>
      <c r="J780" s="245"/>
      <c r="K780" s="245"/>
      <c r="L780" s="245"/>
      <c r="N780" s="579"/>
      <c r="O780" s="579"/>
      <c r="P780" s="579"/>
      <c r="Q780" s="66"/>
      <c r="R780" s="66"/>
      <c r="S780" s="66"/>
    </row>
    <row r="781" spans="2:19" x14ac:dyDescent="0.2">
      <c r="B781" s="245"/>
      <c r="C781" s="245"/>
      <c r="D781" s="245"/>
      <c r="E781" s="245"/>
      <c r="F781" s="245"/>
      <c r="G781" s="579"/>
      <c r="H781" s="245"/>
      <c r="I781" s="245"/>
      <c r="J781" s="245"/>
      <c r="K781" s="245"/>
      <c r="L781" s="245"/>
      <c r="N781" s="579"/>
      <c r="O781" s="579"/>
      <c r="P781" s="579"/>
      <c r="Q781" s="66"/>
      <c r="R781" s="66"/>
      <c r="S781" s="66"/>
    </row>
    <row r="782" spans="2:19" x14ac:dyDescent="0.2">
      <c r="B782" s="245"/>
      <c r="C782" s="245"/>
      <c r="D782" s="245"/>
      <c r="E782" s="245"/>
      <c r="F782" s="245"/>
      <c r="G782" s="579"/>
      <c r="H782" s="245"/>
      <c r="I782" s="245"/>
      <c r="J782" s="245"/>
      <c r="K782" s="245"/>
      <c r="L782" s="245"/>
      <c r="N782" s="579"/>
      <c r="O782" s="579"/>
      <c r="P782" s="579"/>
      <c r="Q782" s="66"/>
      <c r="R782" s="66"/>
      <c r="S782" s="66"/>
    </row>
    <row r="783" spans="2:19" x14ac:dyDescent="0.2">
      <c r="B783" s="245"/>
      <c r="C783" s="245"/>
      <c r="D783" s="245"/>
      <c r="E783" s="245"/>
      <c r="F783" s="245"/>
      <c r="G783" s="579"/>
      <c r="H783" s="245"/>
      <c r="I783" s="245"/>
      <c r="J783" s="245"/>
      <c r="K783" s="245"/>
      <c r="L783" s="245"/>
      <c r="N783" s="579"/>
      <c r="O783" s="579"/>
      <c r="P783" s="579"/>
      <c r="Q783" s="66"/>
      <c r="R783" s="66"/>
      <c r="S783" s="66"/>
    </row>
    <row r="784" spans="2:19" x14ac:dyDescent="0.2">
      <c r="B784" s="245"/>
      <c r="C784" s="245"/>
      <c r="D784" s="245"/>
      <c r="E784" s="245"/>
      <c r="F784" s="245"/>
      <c r="G784" s="579"/>
      <c r="H784" s="245"/>
      <c r="I784" s="245"/>
      <c r="J784" s="245"/>
      <c r="K784" s="245"/>
      <c r="L784" s="245"/>
      <c r="N784" s="579"/>
      <c r="O784" s="579"/>
      <c r="P784" s="579"/>
      <c r="Q784" s="66"/>
      <c r="R784" s="66"/>
      <c r="S784" s="66"/>
    </row>
    <row r="785" spans="2:19" x14ac:dyDescent="0.2">
      <c r="B785" s="245"/>
      <c r="C785" s="245"/>
      <c r="D785" s="245"/>
      <c r="E785" s="245"/>
      <c r="F785" s="245"/>
      <c r="G785" s="579"/>
      <c r="H785" s="245"/>
      <c r="I785" s="245"/>
      <c r="J785" s="245"/>
      <c r="K785" s="245"/>
      <c r="L785" s="245"/>
      <c r="N785" s="579"/>
      <c r="O785" s="579"/>
      <c r="P785" s="579"/>
      <c r="Q785" s="66"/>
      <c r="R785" s="66"/>
      <c r="S785" s="66"/>
    </row>
    <row r="786" spans="2:19" x14ac:dyDescent="0.2">
      <c r="B786" s="245"/>
      <c r="C786" s="245"/>
      <c r="D786" s="245"/>
      <c r="E786" s="245"/>
      <c r="F786" s="245"/>
      <c r="G786" s="579"/>
      <c r="H786" s="245"/>
      <c r="I786" s="245"/>
      <c r="J786" s="245"/>
      <c r="K786" s="245"/>
      <c r="L786" s="245"/>
      <c r="N786" s="579"/>
      <c r="O786" s="579"/>
      <c r="P786" s="579"/>
      <c r="Q786" s="66"/>
      <c r="R786" s="66"/>
      <c r="S786" s="66"/>
    </row>
    <row r="787" spans="2:19" x14ac:dyDescent="0.2">
      <c r="B787" s="245"/>
      <c r="C787" s="245"/>
      <c r="D787" s="245"/>
      <c r="E787" s="245"/>
      <c r="F787" s="245"/>
      <c r="G787" s="579"/>
      <c r="H787" s="245"/>
      <c r="I787" s="245"/>
      <c r="J787" s="245"/>
      <c r="K787" s="245"/>
      <c r="L787" s="245"/>
      <c r="N787" s="579"/>
      <c r="O787" s="579"/>
      <c r="P787" s="579"/>
      <c r="Q787" s="66"/>
      <c r="R787" s="66"/>
      <c r="S787" s="66"/>
    </row>
    <row r="788" spans="2:19" x14ac:dyDescent="0.2">
      <c r="B788" s="245"/>
      <c r="C788" s="245"/>
      <c r="D788" s="245"/>
      <c r="E788" s="245"/>
      <c r="F788" s="245"/>
      <c r="G788" s="579"/>
      <c r="H788" s="245"/>
      <c r="I788" s="245"/>
      <c r="J788" s="245"/>
      <c r="K788" s="245"/>
      <c r="L788" s="245"/>
      <c r="N788" s="579"/>
      <c r="O788" s="579"/>
      <c r="P788" s="579"/>
      <c r="Q788" s="66"/>
      <c r="R788" s="66"/>
      <c r="S788" s="66"/>
    </row>
    <row r="789" spans="2:19" x14ac:dyDescent="0.2">
      <c r="B789" s="245"/>
      <c r="C789" s="245"/>
      <c r="D789" s="245"/>
      <c r="E789" s="245"/>
      <c r="F789" s="245"/>
      <c r="G789" s="579"/>
      <c r="H789" s="245"/>
      <c r="I789" s="245"/>
      <c r="J789" s="245"/>
      <c r="K789" s="245"/>
      <c r="L789" s="245"/>
      <c r="N789" s="579"/>
      <c r="O789" s="579"/>
      <c r="P789" s="579"/>
      <c r="Q789" s="66"/>
      <c r="R789" s="66"/>
      <c r="S789" s="66"/>
    </row>
    <row r="790" spans="2:19" x14ac:dyDescent="0.2">
      <c r="B790" s="245"/>
      <c r="C790" s="245"/>
      <c r="D790" s="245"/>
      <c r="E790" s="245"/>
      <c r="F790" s="245"/>
      <c r="G790" s="579"/>
      <c r="H790" s="245"/>
      <c r="I790" s="245"/>
      <c r="J790" s="245"/>
      <c r="K790" s="245"/>
      <c r="L790" s="245"/>
      <c r="N790" s="579"/>
      <c r="O790" s="579"/>
      <c r="P790" s="579"/>
      <c r="Q790" s="66"/>
      <c r="R790" s="66"/>
      <c r="S790" s="66"/>
    </row>
    <row r="791" spans="2:19" x14ac:dyDescent="0.2">
      <c r="B791" s="245"/>
      <c r="C791" s="245"/>
      <c r="D791" s="245"/>
      <c r="E791" s="245"/>
      <c r="F791" s="245"/>
      <c r="G791" s="579"/>
      <c r="H791" s="245"/>
      <c r="I791" s="245"/>
      <c r="J791" s="245"/>
      <c r="K791" s="245"/>
      <c r="L791" s="245"/>
      <c r="N791" s="579"/>
      <c r="O791" s="579"/>
      <c r="P791" s="579"/>
      <c r="Q791" s="66"/>
      <c r="R791" s="66"/>
      <c r="S791" s="66"/>
    </row>
    <row r="792" spans="2:19" x14ac:dyDescent="0.2">
      <c r="B792" s="245"/>
      <c r="C792" s="245"/>
      <c r="D792" s="245"/>
      <c r="E792" s="245"/>
      <c r="F792" s="245"/>
      <c r="G792" s="579"/>
      <c r="H792" s="245"/>
      <c r="I792" s="245"/>
      <c r="J792" s="245"/>
      <c r="K792" s="245"/>
      <c r="L792" s="245"/>
      <c r="N792" s="579"/>
      <c r="O792" s="579"/>
      <c r="P792" s="579"/>
      <c r="Q792" s="66"/>
      <c r="R792" s="66"/>
      <c r="S792" s="66"/>
    </row>
    <row r="793" spans="2:19" x14ac:dyDescent="0.2">
      <c r="B793" s="245"/>
      <c r="C793" s="245"/>
      <c r="D793" s="245"/>
      <c r="E793" s="245"/>
      <c r="F793" s="245"/>
      <c r="G793" s="579"/>
      <c r="H793" s="245"/>
      <c r="I793" s="245"/>
      <c r="J793" s="245"/>
      <c r="K793" s="245"/>
      <c r="L793" s="245"/>
      <c r="N793" s="579"/>
      <c r="O793" s="579"/>
      <c r="P793" s="579"/>
      <c r="Q793" s="66"/>
      <c r="R793" s="66"/>
      <c r="S793" s="66"/>
    </row>
    <row r="794" spans="2:19" x14ac:dyDescent="0.2">
      <c r="B794" s="245"/>
      <c r="C794" s="245"/>
      <c r="D794" s="245"/>
      <c r="E794" s="245"/>
      <c r="F794" s="245"/>
      <c r="G794" s="579"/>
      <c r="H794" s="245"/>
      <c r="I794" s="245"/>
      <c r="J794" s="245"/>
      <c r="K794" s="245"/>
      <c r="L794" s="245"/>
      <c r="N794" s="579"/>
      <c r="O794" s="579"/>
      <c r="P794" s="579"/>
      <c r="Q794" s="66"/>
      <c r="R794" s="66"/>
      <c r="S794" s="66"/>
    </row>
    <row r="795" spans="2:19" x14ac:dyDescent="0.2">
      <c r="B795" s="245"/>
      <c r="C795" s="245"/>
      <c r="D795" s="245"/>
      <c r="E795" s="245"/>
      <c r="F795" s="245"/>
      <c r="G795" s="579"/>
      <c r="H795" s="245"/>
      <c r="I795" s="245"/>
      <c r="J795" s="245"/>
      <c r="K795" s="245"/>
      <c r="L795" s="245"/>
      <c r="N795" s="579"/>
      <c r="O795" s="579"/>
      <c r="P795" s="579"/>
      <c r="Q795" s="66"/>
      <c r="R795" s="66"/>
      <c r="S795" s="66"/>
    </row>
    <row r="796" spans="2:19" x14ac:dyDescent="0.2">
      <c r="B796" s="245"/>
      <c r="C796" s="245"/>
      <c r="D796" s="245"/>
      <c r="E796" s="245"/>
      <c r="F796" s="245"/>
      <c r="G796" s="579"/>
      <c r="H796" s="245"/>
      <c r="I796" s="245"/>
      <c r="J796" s="245"/>
      <c r="K796" s="245"/>
      <c r="L796" s="245"/>
      <c r="N796" s="579"/>
      <c r="O796" s="579"/>
      <c r="P796" s="579"/>
      <c r="Q796" s="66"/>
      <c r="R796" s="66"/>
      <c r="S796" s="66"/>
    </row>
    <row r="797" spans="2:19" x14ac:dyDescent="0.2">
      <c r="B797" s="245"/>
      <c r="C797" s="245"/>
      <c r="D797" s="245"/>
      <c r="E797" s="245"/>
      <c r="F797" s="245"/>
      <c r="G797" s="579"/>
      <c r="H797" s="245"/>
      <c r="I797" s="245"/>
      <c r="J797" s="245"/>
      <c r="K797" s="245"/>
      <c r="L797" s="245"/>
      <c r="N797" s="579"/>
      <c r="O797" s="579"/>
      <c r="P797" s="579"/>
      <c r="Q797" s="66"/>
      <c r="R797" s="66"/>
      <c r="S797" s="66"/>
    </row>
    <row r="798" spans="2:19" x14ac:dyDescent="0.2">
      <c r="B798" s="245"/>
      <c r="C798" s="245"/>
      <c r="D798" s="245"/>
      <c r="E798" s="245"/>
      <c r="F798" s="245"/>
      <c r="G798" s="579"/>
      <c r="H798" s="245"/>
      <c r="I798" s="245"/>
      <c r="J798" s="245"/>
      <c r="K798" s="245"/>
      <c r="L798" s="245"/>
      <c r="N798" s="579"/>
      <c r="O798" s="579"/>
      <c r="P798" s="579"/>
      <c r="Q798" s="66"/>
      <c r="R798" s="66"/>
      <c r="S798" s="66"/>
    </row>
    <row r="799" spans="2:19" x14ac:dyDescent="0.2">
      <c r="B799" s="245"/>
      <c r="C799" s="245"/>
      <c r="D799" s="245"/>
      <c r="E799" s="245"/>
      <c r="F799" s="245"/>
      <c r="G799" s="579"/>
      <c r="H799" s="245"/>
      <c r="I799" s="245"/>
      <c r="J799" s="245"/>
      <c r="K799" s="245"/>
      <c r="L799" s="245"/>
      <c r="N799" s="579"/>
      <c r="O799" s="579"/>
      <c r="P799" s="579"/>
      <c r="Q799" s="66"/>
      <c r="R799" s="66"/>
      <c r="S799" s="66"/>
    </row>
    <row r="800" spans="2:19" x14ac:dyDescent="0.2">
      <c r="B800" s="245"/>
      <c r="C800" s="245"/>
      <c r="D800" s="245"/>
      <c r="E800" s="245"/>
      <c r="F800" s="245"/>
      <c r="G800" s="579"/>
      <c r="H800" s="245"/>
      <c r="I800" s="245"/>
      <c r="J800" s="245"/>
      <c r="K800" s="245"/>
      <c r="L800" s="245"/>
      <c r="N800" s="579"/>
      <c r="O800" s="579"/>
      <c r="P800" s="579"/>
      <c r="Q800" s="66"/>
      <c r="R800" s="66"/>
      <c r="S800" s="66"/>
    </row>
    <row r="801" spans="2:19" x14ac:dyDescent="0.2">
      <c r="B801" s="245"/>
      <c r="C801" s="245"/>
      <c r="D801" s="245"/>
      <c r="E801" s="245"/>
      <c r="F801" s="245"/>
      <c r="G801" s="579"/>
      <c r="H801" s="245"/>
      <c r="I801" s="245"/>
      <c r="J801" s="245"/>
      <c r="K801" s="245"/>
      <c r="L801" s="245"/>
      <c r="N801" s="579"/>
      <c r="O801" s="579"/>
      <c r="P801" s="579"/>
      <c r="Q801" s="66"/>
      <c r="R801" s="66"/>
      <c r="S801" s="66"/>
    </row>
    <row r="802" spans="2:19" x14ac:dyDescent="0.2">
      <c r="B802" s="245"/>
      <c r="C802" s="245"/>
      <c r="D802" s="245"/>
      <c r="E802" s="245"/>
      <c r="F802" s="245"/>
      <c r="G802" s="579"/>
      <c r="H802" s="245"/>
      <c r="I802" s="245"/>
      <c r="J802" s="245"/>
      <c r="K802" s="245"/>
      <c r="L802" s="245"/>
      <c r="N802" s="579"/>
      <c r="O802" s="579"/>
      <c r="P802" s="579"/>
      <c r="Q802" s="66"/>
      <c r="R802" s="66"/>
      <c r="S802" s="66"/>
    </row>
    <row r="803" spans="2:19" x14ac:dyDescent="0.2">
      <c r="B803" s="245"/>
      <c r="C803" s="245"/>
      <c r="D803" s="245"/>
      <c r="E803" s="245"/>
      <c r="F803" s="245"/>
      <c r="G803" s="579"/>
      <c r="H803" s="245"/>
      <c r="I803" s="245"/>
      <c r="J803" s="245"/>
      <c r="K803" s="245"/>
      <c r="L803" s="245"/>
      <c r="N803" s="579"/>
      <c r="O803" s="579"/>
      <c r="P803" s="579"/>
      <c r="Q803" s="66"/>
      <c r="R803" s="66"/>
      <c r="S803" s="66"/>
    </row>
    <row r="804" spans="2:19" x14ac:dyDescent="0.2">
      <c r="B804" s="245"/>
      <c r="C804" s="245"/>
      <c r="D804" s="245"/>
      <c r="E804" s="245"/>
      <c r="F804" s="245"/>
      <c r="G804" s="579"/>
      <c r="H804" s="245"/>
      <c r="I804" s="245"/>
      <c r="J804" s="245"/>
      <c r="K804" s="245"/>
      <c r="L804" s="245"/>
      <c r="N804" s="579"/>
      <c r="O804" s="579"/>
      <c r="P804" s="579"/>
      <c r="Q804" s="66"/>
      <c r="R804" s="66"/>
      <c r="S804" s="66"/>
    </row>
    <row r="805" spans="2:19" x14ac:dyDescent="0.2">
      <c r="B805" s="245"/>
      <c r="C805" s="245"/>
      <c r="D805" s="245"/>
      <c r="E805" s="245"/>
      <c r="F805" s="245"/>
      <c r="G805" s="579"/>
      <c r="H805" s="245"/>
      <c r="I805" s="245"/>
      <c r="J805" s="245"/>
      <c r="K805" s="245"/>
      <c r="L805" s="245"/>
      <c r="N805" s="579"/>
      <c r="O805" s="579"/>
      <c r="P805" s="579"/>
      <c r="Q805" s="66"/>
      <c r="R805" s="66"/>
      <c r="S805" s="66"/>
    </row>
    <row r="806" spans="2:19" x14ac:dyDescent="0.2">
      <c r="B806" s="245"/>
      <c r="C806" s="245"/>
      <c r="D806" s="245"/>
      <c r="E806" s="245"/>
      <c r="F806" s="245"/>
      <c r="G806" s="579"/>
      <c r="H806" s="245"/>
      <c r="I806" s="245"/>
      <c r="J806" s="245"/>
      <c r="K806" s="245"/>
      <c r="L806" s="245"/>
      <c r="N806" s="579"/>
      <c r="O806" s="579"/>
      <c r="P806" s="579"/>
      <c r="Q806" s="66"/>
      <c r="R806" s="66"/>
      <c r="S806" s="66"/>
    </row>
    <row r="807" spans="2:19" x14ac:dyDescent="0.2">
      <c r="B807" s="245"/>
      <c r="C807" s="245"/>
      <c r="D807" s="245"/>
      <c r="E807" s="245"/>
      <c r="F807" s="245"/>
      <c r="G807" s="579"/>
      <c r="H807" s="245"/>
      <c r="I807" s="245"/>
      <c r="J807" s="245"/>
      <c r="K807" s="245"/>
      <c r="L807" s="245"/>
      <c r="N807" s="579"/>
      <c r="O807" s="579"/>
      <c r="P807" s="579"/>
      <c r="Q807" s="66"/>
      <c r="R807" s="66"/>
      <c r="S807" s="66"/>
    </row>
    <row r="808" spans="2:19" x14ac:dyDescent="0.2">
      <c r="B808" s="245"/>
      <c r="C808" s="245"/>
      <c r="D808" s="245"/>
      <c r="E808" s="245"/>
      <c r="F808" s="245"/>
      <c r="G808" s="579"/>
      <c r="H808" s="245"/>
      <c r="I808" s="245"/>
      <c r="J808" s="245"/>
      <c r="K808" s="245"/>
      <c r="L808" s="245"/>
      <c r="N808" s="579"/>
      <c r="O808" s="579"/>
      <c r="P808" s="579"/>
      <c r="Q808" s="66"/>
      <c r="R808" s="66"/>
      <c r="S808" s="66"/>
    </row>
    <row r="809" spans="2:19" x14ac:dyDescent="0.2">
      <c r="B809" s="245"/>
      <c r="C809" s="245"/>
      <c r="D809" s="245"/>
      <c r="E809" s="245"/>
      <c r="F809" s="245"/>
      <c r="G809" s="579"/>
      <c r="H809" s="245"/>
      <c r="I809" s="245"/>
      <c r="J809" s="245"/>
      <c r="K809" s="245"/>
      <c r="L809" s="245"/>
      <c r="N809" s="579"/>
      <c r="O809" s="579"/>
      <c r="P809" s="579"/>
      <c r="Q809" s="66"/>
      <c r="R809" s="66"/>
      <c r="S809" s="66"/>
    </row>
    <row r="810" spans="2:19" x14ac:dyDescent="0.2">
      <c r="B810" s="245"/>
      <c r="C810" s="245"/>
      <c r="D810" s="245"/>
      <c r="E810" s="245"/>
      <c r="F810" s="245"/>
      <c r="G810" s="579"/>
      <c r="H810" s="245"/>
      <c r="I810" s="245"/>
      <c r="J810" s="245"/>
      <c r="K810" s="245"/>
      <c r="L810" s="245"/>
      <c r="N810" s="579"/>
      <c r="O810" s="579"/>
      <c r="P810" s="579"/>
      <c r="Q810" s="66"/>
      <c r="R810" s="66"/>
      <c r="S810" s="66"/>
    </row>
    <row r="811" spans="2:19" x14ac:dyDescent="0.2">
      <c r="B811" s="245"/>
      <c r="C811" s="245"/>
      <c r="D811" s="245"/>
      <c r="E811" s="245"/>
      <c r="F811" s="245"/>
      <c r="G811" s="579"/>
      <c r="H811" s="245"/>
      <c r="I811" s="245"/>
      <c r="J811" s="245"/>
      <c r="K811" s="245"/>
      <c r="L811" s="245"/>
      <c r="N811" s="579"/>
      <c r="O811" s="579"/>
      <c r="P811" s="579"/>
      <c r="Q811" s="66"/>
      <c r="R811" s="66"/>
      <c r="S811" s="66"/>
    </row>
    <row r="812" spans="2:19" x14ac:dyDescent="0.2">
      <c r="B812" s="245"/>
      <c r="C812" s="245"/>
      <c r="D812" s="245"/>
      <c r="E812" s="245"/>
      <c r="F812" s="245"/>
      <c r="G812" s="579"/>
      <c r="H812" s="245"/>
      <c r="I812" s="245"/>
      <c r="J812" s="245"/>
      <c r="K812" s="245"/>
      <c r="L812" s="245"/>
      <c r="N812" s="579"/>
      <c r="O812" s="579"/>
      <c r="P812" s="579"/>
      <c r="Q812" s="66"/>
      <c r="R812" s="66"/>
      <c r="S812" s="66"/>
    </row>
    <row r="813" spans="2:19" x14ac:dyDescent="0.2">
      <c r="B813" s="245"/>
      <c r="C813" s="245"/>
      <c r="D813" s="245"/>
      <c r="E813" s="245"/>
      <c r="F813" s="245"/>
      <c r="G813" s="579"/>
      <c r="H813" s="245"/>
      <c r="I813" s="245"/>
      <c r="J813" s="245"/>
      <c r="K813" s="245"/>
      <c r="L813" s="245"/>
      <c r="N813" s="579"/>
      <c r="O813" s="579"/>
      <c r="P813" s="579"/>
      <c r="Q813" s="66"/>
      <c r="R813" s="66"/>
      <c r="S813" s="66"/>
    </row>
    <row r="814" spans="2:19" x14ac:dyDescent="0.2">
      <c r="B814" s="245"/>
      <c r="C814" s="245"/>
      <c r="D814" s="245"/>
      <c r="E814" s="245"/>
      <c r="F814" s="245"/>
      <c r="G814" s="579"/>
      <c r="H814" s="245"/>
      <c r="I814" s="245"/>
      <c r="J814" s="245"/>
      <c r="K814" s="245"/>
      <c r="L814" s="245"/>
      <c r="N814" s="579"/>
      <c r="O814" s="579"/>
      <c r="P814" s="579"/>
      <c r="Q814" s="66"/>
      <c r="R814" s="66"/>
      <c r="S814" s="66"/>
    </row>
    <row r="815" spans="2:19" x14ac:dyDescent="0.2">
      <c r="B815" s="245"/>
      <c r="C815" s="245"/>
      <c r="D815" s="245"/>
      <c r="E815" s="245"/>
      <c r="F815" s="245"/>
      <c r="G815" s="579"/>
      <c r="H815" s="245"/>
      <c r="I815" s="245"/>
      <c r="J815" s="245"/>
      <c r="K815" s="245"/>
      <c r="L815" s="245"/>
      <c r="N815" s="579"/>
      <c r="O815" s="579"/>
      <c r="P815" s="579"/>
      <c r="Q815" s="66"/>
      <c r="R815" s="66"/>
      <c r="S815" s="66"/>
    </row>
    <row r="816" spans="2:19" x14ac:dyDescent="0.2">
      <c r="B816" s="245"/>
      <c r="C816" s="245"/>
      <c r="D816" s="245"/>
      <c r="E816" s="245"/>
      <c r="F816" s="245"/>
      <c r="G816" s="579"/>
      <c r="H816" s="245"/>
      <c r="I816" s="245"/>
      <c r="J816" s="245"/>
      <c r="K816" s="245"/>
      <c r="L816" s="245"/>
      <c r="N816" s="579"/>
      <c r="O816" s="579"/>
      <c r="P816" s="579"/>
      <c r="Q816" s="66"/>
      <c r="R816" s="66"/>
      <c r="S816" s="66"/>
    </row>
    <row r="817" spans="2:19" x14ac:dyDescent="0.2">
      <c r="B817" s="245"/>
      <c r="C817" s="245"/>
      <c r="D817" s="245"/>
      <c r="E817" s="245"/>
      <c r="F817" s="245"/>
      <c r="G817" s="579"/>
      <c r="H817" s="245"/>
      <c r="I817" s="245"/>
      <c r="J817" s="245"/>
      <c r="K817" s="245"/>
      <c r="L817" s="245"/>
      <c r="N817" s="579"/>
      <c r="O817" s="579"/>
      <c r="P817" s="579"/>
      <c r="Q817" s="66"/>
      <c r="R817" s="66"/>
      <c r="S817" s="66"/>
    </row>
    <row r="818" spans="2:19" x14ac:dyDescent="0.2">
      <c r="B818" s="245"/>
      <c r="C818" s="245"/>
      <c r="D818" s="245"/>
      <c r="E818" s="245"/>
      <c r="F818" s="245"/>
      <c r="G818" s="579"/>
      <c r="H818" s="245"/>
      <c r="I818" s="245"/>
      <c r="J818" s="245"/>
      <c r="K818" s="245"/>
      <c r="L818" s="245"/>
      <c r="N818" s="579"/>
      <c r="O818" s="579"/>
      <c r="P818" s="579"/>
      <c r="Q818" s="66"/>
      <c r="R818" s="66"/>
      <c r="S818" s="66"/>
    </row>
    <row r="819" spans="2:19" x14ac:dyDescent="0.2">
      <c r="B819" s="245"/>
      <c r="C819" s="245"/>
      <c r="D819" s="245"/>
      <c r="E819" s="245"/>
      <c r="F819" s="245"/>
      <c r="G819" s="579"/>
      <c r="H819" s="245"/>
      <c r="I819" s="245"/>
      <c r="J819" s="245"/>
      <c r="K819" s="245"/>
      <c r="L819" s="245"/>
      <c r="N819" s="579"/>
      <c r="O819" s="579"/>
      <c r="P819" s="579"/>
      <c r="Q819" s="66"/>
      <c r="R819" s="66"/>
      <c r="S819" s="66"/>
    </row>
    <row r="820" spans="2:19" x14ac:dyDescent="0.2">
      <c r="B820" s="245"/>
      <c r="C820" s="245"/>
      <c r="D820" s="245"/>
      <c r="E820" s="245"/>
      <c r="F820" s="245"/>
      <c r="G820" s="579"/>
      <c r="H820" s="245"/>
      <c r="I820" s="245"/>
      <c r="J820" s="245"/>
      <c r="K820" s="245"/>
      <c r="L820" s="245"/>
      <c r="N820" s="579"/>
      <c r="O820" s="579"/>
      <c r="P820" s="579"/>
      <c r="Q820" s="66"/>
      <c r="R820" s="66"/>
      <c r="S820" s="66"/>
    </row>
    <row r="821" spans="2:19" x14ac:dyDescent="0.2">
      <c r="B821" s="245"/>
      <c r="C821" s="245"/>
      <c r="D821" s="245"/>
      <c r="E821" s="245"/>
      <c r="F821" s="245"/>
      <c r="G821" s="579"/>
      <c r="H821" s="245"/>
      <c r="I821" s="245"/>
      <c r="J821" s="245"/>
      <c r="K821" s="245"/>
      <c r="L821" s="245"/>
      <c r="N821" s="579"/>
      <c r="O821" s="579"/>
      <c r="P821" s="579"/>
      <c r="Q821" s="66"/>
      <c r="R821" s="66"/>
      <c r="S821" s="66"/>
    </row>
    <row r="822" spans="2:19" x14ac:dyDescent="0.2">
      <c r="B822" s="245"/>
      <c r="C822" s="245"/>
      <c r="D822" s="245"/>
      <c r="E822" s="245"/>
      <c r="F822" s="245"/>
      <c r="G822" s="579"/>
      <c r="H822" s="245"/>
      <c r="I822" s="245"/>
      <c r="J822" s="245"/>
      <c r="K822" s="245"/>
      <c r="L822" s="245"/>
      <c r="N822" s="579"/>
      <c r="O822" s="579"/>
      <c r="P822" s="579"/>
      <c r="Q822" s="66"/>
      <c r="R822" s="66"/>
      <c r="S822" s="66"/>
    </row>
    <row r="823" spans="2:19" x14ac:dyDescent="0.2">
      <c r="B823" s="245"/>
      <c r="C823" s="245"/>
      <c r="D823" s="245"/>
      <c r="E823" s="245"/>
      <c r="F823" s="245"/>
      <c r="G823" s="579"/>
      <c r="H823" s="245"/>
      <c r="I823" s="245"/>
      <c r="J823" s="245"/>
      <c r="K823" s="245"/>
      <c r="L823" s="245"/>
      <c r="N823" s="579"/>
      <c r="O823" s="579"/>
      <c r="P823" s="579"/>
      <c r="Q823" s="66"/>
      <c r="R823" s="66"/>
      <c r="S823" s="66"/>
    </row>
    <row r="824" spans="2:19" x14ac:dyDescent="0.2">
      <c r="B824" s="245"/>
      <c r="C824" s="245"/>
      <c r="D824" s="245"/>
      <c r="E824" s="245"/>
      <c r="F824" s="245"/>
      <c r="G824" s="579"/>
      <c r="H824" s="245"/>
      <c r="I824" s="245"/>
      <c r="J824" s="245"/>
      <c r="K824" s="245"/>
      <c r="L824" s="245"/>
      <c r="N824" s="579"/>
      <c r="O824" s="579"/>
      <c r="P824" s="579"/>
      <c r="Q824" s="66"/>
      <c r="R824" s="66"/>
      <c r="S824" s="66"/>
    </row>
    <row r="825" spans="2:19" x14ac:dyDescent="0.2">
      <c r="B825" s="245"/>
      <c r="C825" s="245"/>
      <c r="D825" s="245"/>
      <c r="E825" s="245"/>
      <c r="F825" s="245"/>
      <c r="G825" s="579"/>
      <c r="H825" s="245"/>
      <c r="I825" s="245"/>
      <c r="J825" s="245"/>
      <c r="K825" s="245"/>
      <c r="L825" s="245"/>
      <c r="N825" s="579"/>
      <c r="O825" s="579"/>
      <c r="P825" s="579"/>
      <c r="Q825" s="66"/>
      <c r="R825" s="66"/>
      <c r="S825" s="66"/>
    </row>
    <row r="826" spans="2:19" x14ac:dyDescent="0.2">
      <c r="B826" s="245"/>
      <c r="C826" s="245"/>
      <c r="D826" s="245"/>
      <c r="E826" s="245"/>
      <c r="F826" s="245"/>
      <c r="G826" s="579"/>
      <c r="H826" s="245"/>
      <c r="I826" s="245"/>
      <c r="J826" s="245"/>
      <c r="K826" s="245"/>
      <c r="L826" s="245"/>
      <c r="N826" s="579"/>
      <c r="O826" s="579"/>
      <c r="P826" s="579"/>
      <c r="Q826" s="66"/>
      <c r="R826" s="66"/>
      <c r="S826" s="66"/>
    </row>
    <row r="827" spans="2:19" x14ac:dyDescent="0.2">
      <c r="B827" s="245"/>
      <c r="C827" s="245"/>
      <c r="D827" s="245"/>
      <c r="E827" s="245"/>
      <c r="F827" s="245"/>
      <c r="G827" s="579"/>
      <c r="H827" s="245"/>
      <c r="I827" s="245"/>
      <c r="J827" s="245"/>
      <c r="K827" s="245"/>
      <c r="L827" s="245"/>
      <c r="N827" s="579"/>
      <c r="O827" s="579"/>
      <c r="P827" s="579"/>
      <c r="Q827" s="66"/>
      <c r="R827" s="66"/>
      <c r="S827" s="66"/>
    </row>
    <row r="828" spans="2:19" x14ac:dyDescent="0.2">
      <c r="B828" s="245"/>
      <c r="C828" s="245"/>
      <c r="D828" s="245"/>
      <c r="E828" s="245"/>
      <c r="F828" s="245"/>
      <c r="G828" s="579"/>
      <c r="H828" s="245"/>
      <c r="I828" s="245"/>
      <c r="J828" s="245"/>
      <c r="K828" s="245"/>
      <c r="L828" s="245"/>
      <c r="N828" s="579"/>
      <c r="O828" s="579"/>
      <c r="P828" s="579"/>
      <c r="Q828" s="66"/>
      <c r="R828" s="66"/>
      <c r="S828" s="66"/>
    </row>
    <row r="829" spans="2:19" x14ac:dyDescent="0.2">
      <c r="B829" s="245"/>
      <c r="C829" s="245"/>
      <c r="D829" s="245"/>
      <c r="E829" s="245"/>
      <c r="F829" s="245"/>
      <c r="G829" s="579"/>
      <c r="H829" s="245"/>
      <c r="I829" s="245"/>
      <c r="J829" s="245"/>
      <c r="K829" s="245"/>
      <c r="L829" s="245"/>
      <c r="N829" s="579"/>
      <c r="O829" s="579"/>
      <c r="P829" s="579"/>
      <c r="Q829" s="66"/>
      <c r="R829" s="66"/>
      <c r="S829" s="66"/>
    </row>
    <row r="830" spans="2:19" x14ac:dyDescent="0.2">
      <c r="B830" s="245"/>
      <c r="C830" s="245"/>
      <c r="D830" s="245"/>
      <c r="E830" s="245"/>
      <c r="F830" s="245"/>
      <c r="G830" s="579"/>
      <c r="H830" s="245"/>
      <c r="I830" s="245"/>
      <c r="J830" s="245"/>
      <c r="K830" s="245"/>
      <c r="L830" s="245"/>
      <c r="N830" s="579"/>
      <c r="O830" s="579"/>
      <c r="P830" s="579"/>
      <c r="Q830" s="66"/>
      <c r="R830" s="66"/>
      <c r="S830" s="66"/>
    </row>
    <row r="831" spans="2:19" x14ac:dyDescent="0.2">
      <c r="B831" s="245"/>
      <c r="C831" s="245"/>
      <c r="D831" s="245"/>
      <c r="E831" s="245"/>
      <c r="F831" s="245"/>
      <c r="G831" s="579"/>
      <c r="H831" s="245"/>
      <c r="I831" s="245"/>
      <c r="J831" s="245"/>
      <c r="K831" s="245"/>
      <c r="L831" s="245"/>
      <c r="N831" s="579"/>
      <c r="O831" s="579"/>
      <c r="P831" s="579"/>
      <c r="Q831" s="66"/>
      <c r="R831" s="66"/>
      <c r="S831" s="66"/>
    </row>
    <row r="832" spans="2:19" x14ac:dyDescent="0.2">
      <c r="B832" s="245"/>
      <c r="C832" s="245"/>
      <c r="D832" s="245"/>
      <c r="E832" s="245"/>
      <c r="F832" s="245"/>
      <c r="G832" s="579"/>
      <c r="H832" s="245"/>
      <c r="I832" s="245"/>
      <c r="J832" s="245"/>
      <c r="K832" s="245"/>
      <c r="L832" s="245"/>
      <c r="N832" s="579"/>
      <c r="O832" s="579"/>
      <c r="P832" s="579"/>
      <c r="Q832" s="66"/>
      <c r="R832" s="66"/>
      <c r="S832" s="66"/>
    </row>
    <row r="833" spans="2:19" x14ac:dyDescent="0.2">
      <c r="B833" s="245"/>
      <c r="C833" s="245"/>
      <c r="D833" s="245"/>
      <c r="E833" s="245"/>
      <c r="F833" s="245"/>
      <c r="G833" s="579"/>
      <c r="H833" s="245"/>
      <c r="I833" s="245"/>
      <c r="J833" s="245"/>
      <c r="K833" s="245"/>
      <c r="L833" s="245"/>
      <c r="N833" s="579"/>
      <c r="O833" s="579"/>
      <c r="P833" s="579"/>
      <c r="Q833" s="66"/>
      <c r="R833" s="66"/>
      <c r="S833" s="66"/>
    </row>
    <row r="834" spans="2:19" x14ac:dyDescent="0.2">
      <c r="B834" s="245"/>
      <c r="C834" s="245"/>
      <c r="D834" s="245"/>
      <c r="E834" s="245"/>
      <c r="F834" s="245"/>
      <c r="G834" s="579"/>
      <c r="H834" s="245"/>
      <c r="I834" s="245"/>
      <c r="J834" s="245"/>
      <c r="K834" s="245"/>
      <c r="L834" s="245"/>
      <c r="N834" s="579"/>
      <c r="O834" s="579"/>
      <c r="P834" s="579"/>
      <c r="Q834" s="66"/>
      <c r="R834" s="66"/>
      <c r="S834" s="66"/>
    </row>
    <row r="835" spans="2:19" x14ac:dyDescent="0.2">
      <c r="B835" s="245"/>
      <c r="C835" s="245"/>
      <c r="D835" s="245"/>
      <c r="E835" s="245"/>
      <c r="F835" s="245"/>
      <c r="G835" s="579"/>
      <c r="H835" s="245"/>
      <c r="I835" s="245"/>
      <c r="J835" s="245"/>
      <c r="K835" s="245"/>
      <c r="L835" s="245"/>
      <c r="N835" s="579"/>
      <c r="O835" s="579"/>
      <c r="P835" s="579"/>
      <c r="Q835" s="66"/>
      <c r="R835" s="66"/>
      <c r="S835" s="66"/>
    </row>
    <row r="836" spans="2:19" x14ac:dyDescent="0.2">
      <c r="B836" s="245"/>
      <c r="C836" s="245"/>
      <c r="D836" s="245"/>
      <c r="E836" s="245"/>
      <c r="F836" s="245"/>
      <c r="G836" s="579"/>
      <c r="H836" s="245"/>
      <c r="I836" s="245"/>
      <c r="J836" s="245"/>
      <c r="K836" s="245"/>
      <c r="L836" s="245"/>
      <c r="N836" s="579"/>
      <c r="O836" s="579"/>
      <c r="P836" s="579"/>
      <c r="Q836" s="66"/>
      <c r="R836" s="66"/>
      <c r="S836" s="66"/>
    </row>
    <row r="837" spans="2:19" x14ac:dyDescent="0.2">
      <c r="B837" s="245"/>
      <c r="C837" s="245"/>
      <c r="D837" s="245"/>
      <c r="E837" s="245"/>
      <c r="F837" s="245"/>
      <c r="G837" s="579"/>
      <c r="H837" s="245"/>
      <c r="I837" s="245"/>
      <c r="J837" s="245"/>
      <c r="K837" s="245"/>
      <c r="L837" s="245"/>
      <c r="N837" s="579"/>
      <c r="O837" s="579"/>
      <c r="P837" s="579"/>
      <c r="Q837" s="66"/>
      <c r="R837" s="66"/>
      <c r="S837" s="66"/>
    </row>
    <row r="838" spans="2:19" x14ac:dyDescent="0.2">
      <c r="B838" s="245"/>
      <c r="C838" s="245"/>
      <c r="D838" s="245"/>
      <c r="E838" s="245"/>
      <c r="F838" s="245"/>
      <c r="G838" s="579"/>
      <c r="H838" s="245"/>
      <c r="I838" s="245"/>
      <c r="J838" s="245"/>
      <c r="K838" s="245"/>
      <c r="L838" s="245"/>
      <c r="N838" s="579"/>
      <c r="O838" s="579"/>
      <c r="P838" s="579"/>
      <c r="Q838" s="66"/>
      <c r="R838" s="66"/>
      <c r="S838" s="66"/>
    </row>
    <row r="839" spans="2:19" x14ac:dyDescent="0.2">
      <c r="B839" s="245"/>
      <c r="C839" s="245"/>
      <c r="D839" s="245"/>
      <c r="E839" s="245"/>
      <c r="F839" s="245"/>
      <c r="G839" s="579"/>
      <c r="H839" s="245"/>
      <c r="I839" s="245"/>
      <c r="J839" s="245"/>
      <c r="K839" s="245"/>
      <c r="L839" s="245"/>
      <c r="N839" s="579"/>
      <c r="O839" s="579"/>
      <c r="P839" s="579"/>
      <c r="Q839" s="66"/>
      <c r="R839" s="66"/>
      <c r="S839" s="66"/>
    </row>
    <row r="840" spans="2:19" x14ac:dyDescent="0.2">
      <c r="B840" s="245"/>
      <c r="C840" s="245"/>
      <c r="D840" s="245"/>
      <c r="E840" s="245"/>
      <c r="F840" s="245"/>
      <c r="G840" s="579"/>
      <c r="H840" s="245"/>
      <c r="I840" s="245"/>
      <c r="J840" s="245"/>
      <c r="K840" s="245"/>
      <c r="L840" s="245"/>
      <c r="N840" s="579"/>
      <c r="O840" s="579"/>
      <c r="P840" s="579"/>
      <c r="Q840" s="66"/>
      <c r="R840" s="66"/>
      <c r="S840" s="66"/>
    </row>
    <row r="841" spans="2:19" x14ac:dyDescent="0.2">
      <c r="B841" s="245"/>
      <c r="C841" s="245"/>
      <c r="D841" s="245"/>
      <c r="E841" s="245"/>
      <c r="F841" s="245"/>
      <c r="G841" s="579"/>
      <c r="H841" s="245"/>
      <c r="I841" s="245"/>
      <c r="J841" s="245"/>
      <c r="K841" s="245"/>
      <c r="L841" s="245"/>
      <c r="N841" s="579"/>
      <c r="O841" s="579"/>
      <c r="P841" s="579"/>
      <c r="Q841" s="66"/>
      <c r="R841" s="66"/>
      <c r="S841" s="66"/>
    </row>
    <row r="842" spans="2:19" x14ac:dyDescent="0.2">
      <c r="B842" s="245"/>
      <c r="C842" s="245"/>
      <c r="D842" s="245"/>
      <c r="E842" s="245"/>
      <c r="F842" s="245"/>
      <c r="G842" s="579"/>
      <c r="H842" s="245"/>
      <c r="I842" s="245"/>
      <c r="J842" s="245"/>
      <c r="K842" s="245"/>
      <c r="L842" s="245"/>
      <c r="N842" s="579"/>
      <c r="O842" s="579"/>
      <c r="P842" s="579"/>
      <c r="Q842" s="66"/>
      <c r="R842" s="66"/>
      <c r="S842" s="66"/>
    </row>
    <row r="843" spans="2:19" x14ac:dyDescent="0.2">
      <c r="B843" s="245"/>
      <c r="C843" s="245"/>
      <c r="D843" s="245"/>
      <c r="E843" s="245"/>
      <c r="F843" s="245"/>
      <c r="G843" s="579"/>
      <c r="H843" s="245"/>
      <c r="I843" s="245"/>
      <c r="J843" s="245"/>
      <c r="K843" s="245"/>
      <c r="L843" s="245"/>
      <c r="N843" s="579"/>
      <c r="O843" s="579"/>
      <c r="P843" s="579"/>
      <c r="Q843" s="66"/>
      <c r="R843" s="66"/>
      <c r="S843" s="66"/>
    </row>
    <row r="844" spans="2:19" x14ac:dyDescent="0.2">
      <c r="B844" s="245"/>
      <c r="C844" s="245"/>
      <c r="D844" s="245"/>
      <c r="E844" s="245"/>
      <c r="F844" s="245"/>
      <c r="G844" s="579"/>
      <c r="H844" s="245"/>
      <c r="I844" s="245"/>
      <c r="J844" s="245"/>
      <c r="K844" s="245"/>
      <c r="L844" s="245"/>
      <c r="N844" s="579"/>
      <c r="O844" s="579"/>
      <c r="P844" s="579"/>
      <c r="Q844" s="66"/>
      <c r="R844" s="66"/>
      <c r="S844" s="66"/>
    </row>
    <row r="845" spans="2:19" x14ac:dyDescent="0.2">
      <c r="B845" s="245"/>
      <c r="C845" s="245"/>
      <c r="D845" s="245"/>
      <c r="E845" s="245"/>
      <c r="F845" s="245"/>
      <c r="G845" s="579"/>
      <c r="H845" s="245"/>
      <c r="I845" s="245"/>
      <c r="J845" s="245"/>
      <c r="K845" s="245"/>
      <c r="L845" s="245"/>
      <c r="N845" s="579"/>
      <c r="O845" s="579"/>
      <c r="P845" s="579"/>
      <c r="Q845" s="66"/>
      <c r="R845" s="66"/>
      <c r="S845" s="66"/>
    </row>
    <row r="846" spans="2:19" x14ac:dyDescent="0.2">
      <c r="B846" s="245"/>
      <c r="C846" s="245"/>
      <c r="D846" s="245"/>
      <c r="E846" s="245"/>
      <c r="F846" s="245"/>
      <c r="G846" s="579"/>
      <c r="H846" s="245"/>
      <c r="I846" s="245"/>
      <c r="J846" s="245"/>
      <c r="K846" s="245"/>
      <c r="L846" s="245"/>
      <c r="N846" s="579"/>
      <c r="O846" s="579"/>
      <c r="P846" s="579"/>
      <c r="Q846" s="66"/>
      <c r="R846" s="66"/>
      <c r="S846" s="66"/>
    </row>
    <row r="847" spans="2:19" x14ac:dyDescent="0.2">
      <c r="B847" s="245"/>
      <c r="C847" s="245"/>
      <c r="D847" s="245"/>
      <c r="E847" s="245"/>
      <c r="F847" s="245"/>
      <c r="G847" s="579"/>
      <c r="H847" s="245"/>
      <c r="I847" s="245"/>
      <c r="J847" s="245"/>
      <c r="K847" s="245"/>
      <c r="L847" s="245"/>
      <c r="N847" s="579"/>
      <c r="O847" s="579"/>
      <c r="P847" s="579"/>
      <c r="Q847" s="66"/>
      <c r="R847" s="66"/>
      <c r="S847" s="66"/>
    </row>
    <row r="848" spans="2:19" x14ac:dyDescent="0.2">
      <c r="B848" s="245"/>
      <c r="C848" s="245"/>
      <c r="D848" s="245"/>
      <c r="E848" s="245"/>
      <c r="F848" s="245"/>
      <c r="G848" s="579"/>
      <c r="H848" s="245"/>
      <c r="I848" s="245"/>
      <c r="J848" s="245"/>
      <c r="K848" s="245"/>
      <c r="L848" s="245"/>
      <c r="N848" s="579"/>
      <c r="O848" s="579"/>
      <c r="P848" s="579"/>
      <c r="Q848" s="66"/>
      <c r="R848" s="66"/>
      <c r="S848" s="66"/>
    </row>
    <row r="849" spans="2:19" x14ac:dyDescent="0.2">
      <c r="B849" s="245"/>
      <c r="C849" s="245"/>
      <c r="D849" s="245"/>
      <c r="E849" s="245"/>
      <c r="F849" s="245"/>
      <c r="G849" s="579"/>
      <c r="H849" s="245"/>
      <c r="I849" s="245"/>
      <c r="J849" s="245"/>
      <c r="K849" s="245"/>
      <c r="L849" s="245"/>
      <c r="N849" s="579"/>
      <c r="O849" s="579"/>
      <c r="P849" s="579"/>
      <c r="Q849" s="66"/>
      <c r="R849" s="66"/>
      <c r="S849" s="66"/>
    </row>
    <row r="850" spans="2:19" x14ac:dyDescent="0.2">
      <c r="B850" s="245"/>
      <c r="C850" s="245"/>
      <c r="D850" s="245"/>
      <c r="E850" s="245"/>
      <c r="F850" s="245"/>
      <c r="G850" s="579"/>
      <c r="H850" s="245"/>
      <c r="I850" s="245"/>
      <c r="J850" s="245"/>
      <c r="K850" s="245"/>
      <c r="L850" s="245"/>
      <c r="N850" s="579"/>
      <c r="O850" s="579"/>
      <c r="P850" s="579"/>
      <c r="Q850" s="66"/>
      <c r="R850" s="66"/>
      <c r="S850" s="66"/>
    </row>
    <row r="851" spans="2:19" x14ac:dyDescent="0.2">
      <c r="B851" s="245"/>
      <c r="C851" s="245"/>
      <c r="D851" s="245"/>
      <c r="E851" s="245"/>
      <c r="F851" s="245"/>
      <c r="G851" s="579"/>
      <c r="H851" s="245"/>
      <c r="I851" s="245"/>
      <c r="J851" s="245"/>
      <c r="K851" s="245"/>
      <c r="L851" s="245"/>
      <c r="N851" s="579"/>
      <c r="O851" s="579"/>
      <c r="P851" s="579"/>
      <c r="Q851" s="66"/>
      <c r="R851" s="66"/>
      <c r="S851" s="66"/>
    </row>
    <row r="852" spans="2:19" x14ac:dyDescent="0.2">
      <c r="B852" s="245"/>
      <c r="C852" s="245"/>
      <c r="D852" s="245"/>
      <c r="E852" s="245"/>
      <c r="F852" s="245"/>
      <c r="G852" s="579"/>
      <c r="H852" s="245"/>
      <c r="I852" s="245"/>
      <c r="J852" s="245"/>
      <c r="K852" s="245"/>
      <c r="L852" s="245"/>
      <c r="N852" s="579"/>
      <c r="O852" s="579"/>
      <c r="P852" s="579"/>
      <c r="Q852" s="66"/>
      <c r="R852" s="66"/>
      <c r="S852" s="66"/>
    </row>
    <row r="853" spans="2:19" x14ac:dyDescent="0.2">
      <c r="B853" s="245"/>
      <c r="C853" s="245"/>
      <c r="D853" s="245"/>
      <c r="E853" s="245"/>
      <c r="F853" s="245"/>
      <c r="G853" s="579"/>
      <c r="H853" s="245"/>
      <c r="I853" s="245"/>
      <c r="J853" s="245"/>
      <c r="K853" s="245"/>
      <c r="L853" s="245"/>
      <c r="N853" s="579"/>
      <c r="O853" s="579"/>
      <c r="P853" s="579"/>
      <c r="Q853" s="66"/>
      <c r="R853" s="66"/>
      <c r="S853" s="66"/>
    </row>
    <row r="854" spans="2:19" x14ac:dyDescent="0.2">
      <c r="B854" s="245"/>
      <c r="C854" s="245"/>
      <c r="D854" s="245"/>
      <c r="E854" s="245"/>
      <c r="F854" s="245"/>
      <c r="G854" s="579"/>
      <c r="H854" s="245"/>
      <c r="I854" s="245"/>
      <c r="J854" s="245"/>
      <c r="K854" s="245"/>
      <c r="L854" s="245"/>
      <c r="N854" s="579"/>
      <c r="O854" s="579"/>
      <c r="P854" s="579"/>
      <c r="Q854" s="66"/>
      <c r="R854" s="66"/>
      <c r="S854" s="66"/>
    </row>
    <row r="855" spans="2:19" x14ac:dyDescent="0.2">
      <c r="B855" s="245"/>
      <c r="C855" s="245"/>
      <c r="D855" s="245"/>
      <c r="E855" s="245"/>
      <c r="F855" s="245"/>
      <c r="G855" s="579"/>
      <c r="H855" s="245"/>
      <c r="I855" s="245"/>
      <c r="J855" s="245"/>
      <c r="K855" s="245"/>
      <c r="L855" s="245"/>
      <c r="N855" s="579"/>
      <c r="O855" s="579"/>
      <c r="P855" s="579"/>
      <c r="Q855" s="66"/>
      <c r="R855" s="66"/>
      <c r="S855" s="66"/>
    </row>
    <row r="856" spans="2:19" x14ac:dyDescent="0.2">
      <c r="B856" s="245"/>
      <c r="C856" s="245"/>
      <c r="D856" s="245"/>
      <c r="E856" s="245"/>
      <c r="F856" s="245"/>
      <c r="G856" s="579"/>
      <c r="H856" s="245"/>
      <c r="I856" s="245"/>
      <c r="J856" s="245"/>
      <c r="K856" s="245"/>
      <c r="L856" s="245"/>
      <c r="N856" s="579"/>
      <c r="O856" s="579"/>
      <c r="P856" s="579"/>
      <c r="Q856" s="66"/>
      <c r="R856" s="66"/>
      <c r="S856" s="66"/>
    </row>
    <row r="857" spans="2:19" x14ac:dyDescent="0.2">
      <c r="B857" s="245"/>
      <c r="C857" s="245"/>
      <c r="D857" s="245"/>
      <c r="E857" s="245"/>
      <c r="F857" s="245"/>
      <c r="G857" s="579"/>
      <c r="H857" s="245"/>
      <c r="I857" s="245"/>
      <c r="J857" s="245"/>
      <c r="K857" s="245"/>
      <c r="L857" s="245"/>
      <c r="N857" s="579"/>
      <c r="O857" s="579"/>
      <c r="P857" s="579"/>
      <c r="Q857" s="66"/>
      <c r="R857" s="66"/>
      <c r="S857" s="66"/>
    </row>
    <row r="858" spans="2:19" x14ac:dyDescent="0.2">
      <c r="B858" s="245"/>
      <c r="C858" s="245"/>
      <c r="D858" s="245"/>
      <c r="E858" s="245"/>
      <c r="F858" s="245"/>
      <c r="G858" s="579"/>
      <c r="H858" s="245"/>
      <c r="I858" s="245"/>
      <c r="J858" s="245"/>
      <c r="K858" s="245"/>
      <c r="L858" s="245"/>
      <c r="N858" s="579"/>
      <c r="O858" s="579"/>
      <c r="P858" s="579"/>
      <c r="Q858" s="66"/>
      <c r="R858" s="66"/>
      <c r="S858" s="66"/>
    </row>
    <row r="859" spans="2:19" x14ac:dyDescent="0.2">
      <c r="B859" s="245"/>
      <c r="C859" s="245"/>
      <c r="D859" s="245"/>
      <c r="E859" s="245"/>
      <c r="F859" s="245"/>
      <c r="G859" s="579"/>
      <c r="H859" s="245"/>
      <c r="I859" s="245"/>
      <c r="J859" s="245"/>
      <c r="K859" s="245"/>
      <c r="L859" s="245"/>
      <c r="N859" s="579"/>
      <c r="O859" s="579"/>
      <c r="P859" s="579"/>
      <c r="Q859" s="66"/>
      <c r="R859" s="66"/>
      <c r="S859" s="66"/>
    </row>
    <row r="860" spans="2:19" x14ac:dyDescent="0.2">
      <c r="B860" s="245"/>
      <c r="C860" s="245"/>
      <c r="D860" s="245"/>
      <c r="E860" s="245"/>
      <c r="F860" s="245"/>
      <c r="G860" s="579"/>
      <c r="H860" s="245"/>
      <c r="I860" s="245"/>
      <c r="J860" s="245"/>
      <c r="K860" s="245"/>
      <c r="L860" s="245"/>
      <c r="N860" s="579"/>
      <c r="O860" s="579"/>
      <c r="P860" s="579"/>
      <c r="Q860" s="66"/>
      <c r="R860" s="66"/>
      <c r="S860" s="66"/>
    </row>
    <row r="861" spans="2:19" x14ac:dyDescent="0.2">
      <c r="B861" s="245"/>
      <c r="C861" s="245"/>
      <c r="D861" s="245"/>
      <c r="E861" s="245"/>
      <c r="F861" s="245"/>
      <c r="G861" s="579"/>
      <c r="H861" s="245"/>
      <c r="I861" s="245"/>
      <c r="J861" s="245"/>
      <c r="K861" s="245"/>
      <c r="L861" s="245"/>
      <c r="N861" s="579"/>
      <c r="O861" s="579"/>
      <c r="P861" s="579"/>
      <c r="Q861" s="66"/>
      <c r="R861" s="66"/>
      <c r="S861" s="66"/>
    </row>
    <row r="862" spans="2:19" x14ac:dyDescent="0.2">
      <c r="B862" s="245"/>
      <c r="C862" s="245"/>
      <c r="D862" s="245"/>
      <c r="E862" s="245"/>
      <c r="F862" s="245"/>
      <c r="G862" s="579"/>
      <c r="H862" s="245"/>
      <c r="I862" s="245"/>
      <c r="J862" s="245"/>
      <c r="K862" s="245"/>
      <c r="L862" s="245"/>
      <c r="N862" s="579"/>
      <c r="O862" s="579"/>
      <c r="P862" s="579"/>
      <c r="Q862" s="66"/>
      <c r="R862" s="66"/>
      <c r="S862" s="66"/>
    </row>
    <row r="863" spans="2:19" x14ac:dyDescent="0.2">
      <c r="B863" s="245"/>
      <c r="C863" s="245"/>
      <c r="D863" s="245"/>
      <c r="E863" s="245"/>
      <c r="F863" s="245"/>
      <c r="G863" s="579"/>
      <c r="H863" s="245"/>
      <c r="I863" s="245"/>
      <c r="J863" s="245"/>
      <c r="K863" s="245"/>
      <c r="L863" s="245"/>
      <c r="N863" s="579"/>
      <c r="O863" s="579"/>
      <c r="P863" s="579"/>
      <c r="Q863" s="66"/>
      <c r="R863" s="66"/>
      <c r="S863" s="66"/>
    </row>
    <row r="864" spans="2:19" x14ac:dyDescent="0.2">
      <c r="B864" s="245"/>
      <c r="C864" s="245"/>
      <c r="D864" s="245"/>
      <c r="E864" s="245"/>
      <c r="F864" s="245"/>
      <c r="G864" s="579"/>
      <c r="H864" s="245"/>
      <c r="I864" s="245"/>
      <c r="J864" s="245"/>
      <c r="K864" s="245"/>
      <c r="L864" s="245"/>
      <c r="N864" s="579"/>
      <c r="O864" s="579"/>
      <c r="P864" s="579"/>
      <c r="Q864" s="66"/>
      <c r="R864" s="66"/>
      <c r="S864" s="66"/>
    </row>
    <row r="865" spans="2:19" x14ac:dyDescent="0.2">
      <c r="B865" s="245"/>
      <c r="C865" s="245"/>
      <c r="D865" s="245"/>
      <c r="E865" s="245"/>
      <c r="F865" s="245"/>
      <c r="G865" s="579"/>
      <c r="H865" s="245"/>
      <c r="I865" s="245"/>
      <c r="J865" s="245"/>
      <c r="K865" s="245"/>
      <c r="L865" s="245"/>
      <c r="N865" s="579"/>
      <c r="O865" s="579"/>
      <c r="P865" s="579"/>
      <c r="Q865" s="66"/>
      <c r="R865" s="66"/>
      <c r="S865" s="66"/>
    </row>
    <row r="866" spans="2:19" x14ac:dyDescent="0.2">
      <c r="B866" s="245"/>
      <c r="C866" s="245"/>
      <c r="D866" s="245"/>
      <c r="E866" s="245"/>
      <c r="F866" s="245"/>
      <c r="G866" s="579"/>
      <c r="H866" s="245"/>
      <c r="I866" s="245"/>
      <c r="J866" s="245"/>
      <c r="K866" s="245"/>
      <c r="L866" s="245"/>
      <c r="N866" s="579"/>
      <c r="O866" s="579"/>
      <c r="P866" s="579"/>
      <c r="Q866" s="66"/>
      <c r="R866" s="66"/>
      <c r="S866" s="66"/>
    </row>
    <row r="867" spans="2:19" x14ac:dyDescent="0.2">
      <c r="B867" s="245"/>
      <c r="C867" s="245"/>
      <c r="D867" s="245"/>
      <c r="E867" s="245"/>
      <c r="F867" s="245"/>
      <c r="G867" s="579"/>
      <c r="H867" s="245"/>
      <c r="I867" s="245"/>
      <c r="J867" s="245"/>
      <c r="K867" s="245"/>
      <c r="L867" s="245"/>
      <c r="N867" s="579"/>
      <c r="O867" s="579"/>
      <c r="P867" s="579"/>
      <c r="Q867" s="66"/>
      <c r="R867" s="66"/>
      <c r="S867" s="66"/>
    </row>
    <row r="868" spans="2:19" x14ac:dyDescent="0.2">
      <c r="B868" s="245"/>
      <c r="C868" s="245"/>
      <c r="D868" s="245"/>
      <c r="E868" s="245"/>
      <c r="F868" s="245"/>
      <c r="G868" s="579"/>
      <c r="H868" s="245"/>
      <c r="I868" s="245"/>
      <c r="J868" s="245"/>
      <c r="K868" s="245"/>
      <c r="L868" s="245"/>
      <c r="N868" s="579"/>
      <c r="O868" s="579"/>
      <c r="P868" s="579"/>
      <c r="Q868" s="66"/>
      <c r="R868" s="66"/>
      <c r="S868" s="66"/>
    </row>
    <row r="869" spans="2:19" x14ac:dyDescent="0.2">
      <c r="B869" s="245"/>
      <c r="C869" s="245"/>
      <c r="D869" s="245"/>
      <c r="E869" s="245"/>
      <c r="F869" s="245"/>
      <c r="G869" s="579"/>
      <c r="H869" s="245"/>
      <c r="I869" s="245"/>
      <c r="J869" s="245"/>
      <c r="K869" s="245"/>
      <c r="L869" s="245"/>
      <c r="N869" s="579"/>
      <c r="O869" s="579"/>
      <c r="P869" s="579"/>
      <c r="Q869" s="66"/>
      <c r="R869" s="66"/>
      <c r="S869" s="66"/>
    </row>
    <row r="870" spans="2:19" x14ac:dyDescent="0.2">
      <c r="B870" s="245"/>
      <c r="C870" s="245"/>
      <c r="D870" s="245"/>
      <c r="E870" s="245"/>
      <c r="F870" s="245"/>
      <c r="G870" s="579"/>
      <c r="H870" s="245"/>
      <c r="I870" s="245"/>
      <c r="J870" s="245"/>
      <c r="K870" s="245"/>
      <c r="L870" s="245"/>
      <c r="N870" s="579"/>
      <c r="O870" s="579"/>
      <c r="P870" s="579"/>
      <c r="Q870" s="66"/>
      <c r="R870" s="66"/>
      <c r="S870" s="66"/>
    </row>
    <row r="871" spans="2:19" x14ac:dyDescent="0.2">
      <c r="B871" s="245"/>
      <c r="C871" s="245"/>
      <c r="D871" s="245"/>
      <c r="E871" s="245"/>
      <c r="F871" s="245"/>
      <c r="G871" s="579"/>
      <c r="H871" s="245"/>
      <c r="I871" s="245"/>
      <c r="J871" s="245"/>
      <c r="K871" s="245"/>
      <c r="L871" s="245"/>
      <c r="N871" s="579"/>
      <c r="O871" s="579"/>
      <c r="P871" s="579"/>
      <c r="Q871" s="66"/>
      <c r="R871" s="66"/>
      <c r="S871" s="66"/>
    </row>
    <row r="872" spans="2:19" x14ac:dyDescent="0.2">
      <c r="B872" s="245"/>
      <c r="C872" s="245"/>
      <c r="D872" s="245"/>
      <c r="E872" s="245"/>
      <c r="F872" s="245"/>
      <c r="G872" s="579"/>
      <c r="H872" s="245"/>
      <c r="I872" s="245"/>
      <c r="J872" s="245"/>
      <c r="K872" s="245"/>
      <c r="L872" s="245"/>
      <c r="N872" s="579"/>
      <c r="O872" s="579"/>
      <c r="P872" s="579"/>
      <c r="Q872" s="66"/>
      <c r="R872" s="66"/>
      <c r="S872" s="66"/>
    </row>
    <row r="873" spans="2:19" x14ac:dyDescent="0.2">
      <c r="B873" s="245"/>
      <c r="C873" s="245"/>
      <c r="D873" s="245"/>
      <c r="E873" s="245"/>
      <c r="F873" s="245"/>
      <c r="G873" s="579"/>
      <c r="H873" s="245"/>
      <c r="I873" s="245"/>
      <c r="J873" s="245"/>
      <c r="K873" s="245"/>
      <c r="L873" s="245"/>
      <c r="N873" s="579"/>
      <c r="O873" s="579"/>
      <c r="P873" s="579"/>
      <c r="Q873" s="66"/>
      <c r="R873" s="66"/>
      <c r="S873" s="66"/>
    </row>
    <row r="874" spans="2:19" x14ac:dyDescent="0.2">
      <c r="B874" s="245"/>
      <c r="C874" s="245"/>
      <c r="D874" s="245"/>
      <c r="E874" s="245"/>
      <c r="F874" s="245"/>
      <c r="G874" s="579"/>
      <c r="H874" s="245"/>
      <c r="I874" s="245"/>
      <c r="J874" s="245"/>
      <c r="K874" s="245"/>
      <c r="L874" s="245"/>
      <c r="N874" s="579"/>
      <c r="O874" s="579"/>
      <c r="P874" s="579"/>
      <c r="Q874" s="66"/>
      <c r="R874" s="66"/>
      <c r="S874" s="66"/>
    </row>
    <row r="875" spans="2:19" x14ac:dyDescent="0.2">
      <c r="B875" s="245"/>
      <c r="C875" s="245"/>
      <c r="D875" s="245"/>
      <c r="E875" s="245"/>
      <c r="F875" s="245"/>
      <c r="G875" s="579"/>
      <c r="H875" s="245"/>
      <c r="I875" s="245"/>
      <c r="J875" s="245"/>
      <c r="K875" s="245"/>
      <c r="L875" s="245"/>
      <c r="N875" s="579"/>
      <c r="O875" s="579"/>
      <c r="P875" s="579"/>
      <c r="Q875" s="66"/>
      <c r="R875" s="66"/>
      <c r="S875" s="66"/>
    </row>
    <row r="876" spans="2:19" x14ac:dyDescent="0.2">
      <c r="B876" s="245"/>
      <c r="C876" s="245"/>
      <c r="D876" s="245"/>
      <c r="E876" s="245"/>
      <c r="F876" s="245"/>
      <c r="G876" s="579"/>
      <c r="H876" s="245"/>
      <c r="I876" s="245"/>
      <c r="J876" s="245"/>
      <c r="K876" s="245"/>
      <c r="L876" s="245"/>
      <c r="N876" s="579"/>
      <c r="O876" s="579"/>
      <c r="P876" s="579"/>
      <c r="Q876" s="66"/>
      <c r="R876" s="66"/>
      <c r="S876" s="66"/>
    </row>
    <row r="877" spans="2:19" x14ac:dyDescent="0.2">
      <c r="B877" s="245"/>
      <c r="C877" s="245"/>
      <c r="D877" s="245"/>
      <c r="E877" s="245"/>
      <c r="F877" s="245"/>
      <c r="G877" s="579"/>
      <c r="H877" s="245"/>
      <c r="I877" s="245"/>
      <c r="J877" s="245"/>
      <c r="K877" s="245"/>
      <c r="L877" s="245"/>
      <c r="N877" s="579"/>
      <c r="O877" s="579"/>
      <c r="P877" s="579"/>
      <c r="Q877" s="66"/>
      <c r="R877" s="66"/>
      <c r="S877" s="66"/>
    </row>
    <row r="878" spans="2:19" x14ac:dyDescent="0.2">
      <c r="B878" s="245"/>
      <c r="C878" s="245"/>
      <c r="D878" s="245"/>
      <c r="E878" s="245"/>
      <c r="F878" s="245"/>
      <c r="G878" s="579"/>
      <c r="H878" s="245"/>
      <c r="I878" s="245"/>
      <c r="J878" s="245"/>
      <c r="K878" s="245"/>
      <c r="L878" s="245"/>
      <c r="N878" s="579"/>
      <c r="O878" s="579"/>
      <c r="P878" s="579"/>
      <c r="Q878" s="66"/>
      <c r="R878" s="66"/>
      <c r="S878" s="66"/>
    </row>
    <row r="879" spans="2:19" x14ac:dyDescent="0.2">
      <c r="B879" s="245"/>
      <c r="C879" s="245"/>
      <c r="D879" s="245"/>
      <c r="E879" s="245"/>
      <c r="F879" s="245"/>
      <c r="G879" s="579"/>
      <c r="H879" s="245"/>
      <c r="I879" s="245"/>
      <c r="J879" s="245"/>
      <c r="K879" s="245"/>
      <c r="L879" s="245"/>
      <c r="N879" s="579"/>
      <c r="O879" s="579"/>
      <c r="P879" s="579"/>
      <c r="Q879" s="66"/>
      <c r="R879" s="66"/>
      <c r="S879" s="66"/>
    </row>
    <row r="880" spans="2:19" x14ac:dyDescent="0.2">
      <c r="B880" s="245"/>
      <c r="C880" s="245"/>
      <c r="D880" s="245"/>
      <c r="E880" s="245"/>
      <c r="F880" s="245"/>
      <c r="G880" s="579"/>
      <c r="H880" s="245"/>
      <c r="I880" s="245"/>
      <c r="J880" s="245"/>
      <c r="K880" s="245"/>
      <c r="L880" s="245"/>
      <c r="N880" s="579"/>
      <c r="O880" s="579"/>
      <c r="P880" s="579"/>
      <c r="Q880" s="66"/>
      <c r="R880" s="66"/>
      <c r="S880" s="66"/>
    </row>
    <row r="881" spans="2:19" x14ac:dyDescent="0.2">
      <c r="B881" s="245"/>
      <c r="C881" s="245"/>
      <c r="D881" s="245"/>
      <c r="E881" s="245"/>
      <c r="F881" s="245"/>
      <c r="G881" s="579"/>
      <c r="H881" s="245"/>
      <c r="I881" s="245"/>
      <c r="J881" s="245"/>
      <c r="K881" s="245"/>
      <c r="L881" s="245"/>
      <c r="N881" s="579"/>
      <c r="O881" s="579"/>
      <c r="P881" s="579"/>
      <c r="Q881" s="66"/>
      <c r="R881" s="66"/>
      <c r="S881" s="66"/>
    </row>
    <row r="882" spans="2:19" x14ac:dyDescent="0.2">
      <c r="B882" s="245"/>
      <c r="C882" s="245"/>
      <c r="D882" s="245"/>
      <c r="E882" s="245"/>
      <c r="F882" s="245"/>
      <c r="G882" s="579"/>
      <c r="H882" s="245"/>
      <c r="I882" s="245"/>
      <c r="J882" s="245"/>
      <c r="K882" s="245"/>
      <c r="L882" s="245"/>
      <c r="N882" s="579"/>
      <c r="O882" s="579"/>
      <c r="P882" s="579"/>
      <c r="Q882" s="66"/>
      <c r="R882" s="66"/>
      <c r="S882" s="66"/>
    </row>
    <row r="883" spans="2:19" x14ac:dyDescent="0.2">
      <c r="B883" s="245"/>
      <c r="C883" s="245"/>
      <c r="D883" s="245"/>
      <c r="E883" s="245"/>
      <c r="F883" s="245"/>
      <c r="G883" s="579"/>
      <c r="H883" s="245"/>
      <c r="I883" s="245"/>
      <c r="J883" s="245"/>
      <c r="K883" s="245"/>
      <c r="L883" s="245"/>
      <c r="N883" s="579"/>
      <c r="O883" s="579"/>
      <c r="P883" s="579"/>
      <c r="Q883" s="66"/>
      <c r="R883" s="66"/>
      <c r="S883" s="66"/>
    </row>
    <row r="884" spans="2:19" x14ac:dyDescent="0.2">
      <c r="B884" s="245"/>
      <c r="C884" s="245"/>
      <c r="D884" s="245"/>
      <c r="E884" s="245"/>
      <c r="F884" s="245"/>
      <c r="G884" s="579"/>
      <c r="H884" s="245"/>
      <c r="I884" s="245"/>
      <c r="J884" s="245"/>
      <c r="K884" s="245"/>
      <c r="L884" s="245"/>
      <c r="N884" s="579"/>
      <c r="O884" s="579"/>
      <c r="P884" s="579"/>
      <c r="Q884" s="66"/>
      <c r="R884" s="66"/>
      <c r="S884" s="66"/>
    </row>
    <row r="885" spans="2:19" x14ac:dyDescent="0.2">
      <c r="B885" s="245"/>
      <c r="C885" s="245"/>
      <c r="D885" s="245"/>
      <c r="E885" s="245"/>
      <c r="F885" s="245"/>
      <c r="G885" s="579"/>
      <c r="H885" s="245"/>
      <c r="I885" s="245"/>
      <c r="J885" s="245"/>
      <c r="K885" s="245"/>
      <c r="L885" s="245"/>
      <c r="N885" s="579"/>
      <c r="O885" s="579"/>
      <c r="P885" s="579"/>
      <c r="Q885" s="66"/>
      <c r="R885" s="66"/>
      <c r="S885" s="66"/>
    </row>
    <row r="886" spans="2:19" x14ac:dyDescent="0.2">
      <c r="B886" s="245"/>
      <c r="C886" s="245"/>
      <c r="D886" s="245"/>
      <c r="E886" s="245"/>
      <c r="F886" s="245"/>
      <c r="G886" s="579"/>
      <c r="H886" s="245"/>
      <c r="I886" s="245"/>
      <c r="J886" s="245"/>
      <c r="K886" s="245"/>
      <c r="L886" s="245"/>
      <c r="N886" s="579"/>
      <c r="O886" s="579"/>
      <c r="P886" s="579"/>
      <c r="Q886" s="66"/>
      <c r="R886" s="66"/>
      <c r="S886" s="66"/>
    </row>
    <row r="887" spans="2:19" x14ac:dyDescent="0.2">
      <c r="B887" s="245"/>
      <c r="C887" s="245"/>
      <c r="D887" s="245"/>
      <c r="E887" s="245"/>
      <c r="F887" s="245"/>
      <c r="G887" s="579"/>
      <c r="H887" s="245"/>
      <c r="I887" s="245"/>
      <c r="J887" s="245"/>
      <c r="K887" s="245"/>
      <c r="L887" s="245"/>
      <c r="N887" s="579"/>
      <c r="O887" s="579"/>
      <c r="P887" s="579"/>
      <c r="Q887" s="66"/>
      <c r="R887" s="66"/>
      <c r="S887" s="66"/>
    </row>
    <row r="888" spans="2:19" x14ac:dyDescent="0.2">
      <c r="B888" s="245"/>
      <c r="C888" s="245"/>
      <c r="D888" s="245"/>
      <c r="E888" s="245"/>
      <c r="F888" s="245"/>
      <c r="G888" s="579"/>
      <c r="H888" s="245"/>
      <c r="I888" s="245"/>
      <c r="J888" s="245"/>
      <c r="K888" s="245"/>
      <c r="L888" s="245"/>
      <c r="N888" s="579"/>
      <c r="O888" s="579"/>
      <c r="P888" s="579"/>
      <c r="Q888" s="66"/>
      <c r="R888" s="66"/>
      <c r="S888" s="66"/>
    </row>
    <row r="889" spans="2:19" x14ac:dyDescent="0.2">
      <c r="B889" s="245"/>
      <c r="C889" s="245"/>
      <c r="D889" s="245"/>
      <c r="E889" s="245"/>
      <c r="F889" s="245"/>
      <c r="G889" s="579"/>
      <c r="H889" s="245"/>
      <c r="I889" s="245"/>
      <c r="J889" s="245"/>
      <c r="K889" s="245"/>
      <c r="L889" s="245"/>
      <c r="N889" s="579"/>
      <c r="O889" s="579"/>
      <c r="P889" s="579"/>
      <c r="Q889" s="66"/>
      <c r="R889" s="66"/>
      <c r="S889" s="66"/>
    </row>
    <row r="890" spans="2:19" x14ac:dyDescent="0.2">
      <c r="B890" s="245"/>
      <c r="C890" s="245"/>
      <c r="D890" s="245"/>
      <c r="E890" s="245"/>
      <c r="F890" s="245"/>
      <c r="G890" s="579"/>
      <c r="H890" s="245"/>
      <c r="I890" s="245"/>
      <c r="J890" s="245"/>
      <c r="K890" s="245"/>
      <c r="L890" s="245"/>
      <c r="N890" s="579"/>
      <c r="O890" s="579"/>
      <c r="P890" s="579"/>
      <c r="Q890" s="66"/>
      <c r="R890" s="66"/>
      <c r="S890" s="66"/>
    </row>
    <row r="891" spans="2:19" x14ac:dyDescent="0.2">
      <c r="B891" s="245"/>
      <c r="C891" s="245"/>
      <c r="D891" s="245"/>
      <c r="E891" s="245"/>
      <c r="F891" s="245"/>
      <c r="G891" s="579"/>
      <c r="H891" s="245"/>
      <c r="I891" s="245"/>
      <c r="J891" s="245"/>
      <c r="K891" s="245"/>
      <c r="L891" s="245"/>
      <c r="N891" s="579"/>
      <c r="O891" s="579"/>
      <c r="P891" s="579"/>
      <c r="Q891" s="66"/>
      <c r="R891" s="66"/>
      <c r="S891" s="66"/>
    </row>
    <row r="892" spans="2:19" x14ac:dyDescent="0.2">
      <c r="B892" s="245"/>
      <c r="C892" s="245"/>
      <c r="D892" s="245"/>
      <c r="E892" s="245"/>
      <c r="F892" s="245"/>
      <c r="G892" s="579"/>
      <c r="H892" s="245"/>
      <c r="I892" s="245"/>
      <c r="J892" s="245"/>
      <c r="K892" s="245"/>
      <c r="L892" s="245"/>
      <c r="N892" s="579"/>
      <c r="O892" s="579"/>
      <c r="P892" s="579"/>
      <c r="Q892" s="66"/>
      <c r="R892" s="66"/>
      <c r="S892" s="66"/>
    </row>
    <row r="893" spans="2:19" x14ac:dyDescent="0.2">
      <c r="B893" s="245"/>
      <c r="C893" s="245"/>
      <c r="D893" s="245"/>
      <c r="E893" s="245"/>
      <c r="F893" s="245"/>
      <c r="G893" s="579"/>
      <c r="H893" s="245"/>
      <c r="I893" s="245"/>
      <c r="J893" s="245"/>
      <c r="K893" s="245"/>
      <c r="L893" s="245"/>
      <c r="N893" s="579"/>
      <c r="O893" s="579"/>
      <c r="P893" s="579"/>
      <c r="Q893" s="66"/>
      <c r="R893" s="66"/>
      <c r="S893" s="66"/>
    </row>
    <row r="894" spans="2:19" x14ac:dyDescent="0.2">
      <c r="B894" s="245"/>
      <c r="C894" s="245"/>
      <c r="D894" s="245"/>
      <c r="E894" s="245"/>
      <c r="F894" s="245"/>
      <c r="G894" s="579"/>
      <c r="H894" s="245"/>
      <c r="I894" s="245"/>
      <c r="J894" s="245"/>
      <c r="K894" s="245"/>
      <c r="L894" s="245"/>
      <c r="N894" s="579"/>
      <c r="O894" s="579"/>
      <c r="P894" s="579"/>
      <c r="Q894" s="66"/>
      <c r="R894" s="66"/>
      <c r="S894" s="66"/>
    </row>
    <row r="895" spans="2:19" x14ac:dyDescent="0.2">
      <c r="B895" s="245"/>
      <c r="C895" s="245"/>
      <c r="D895" s="245"/>
      <c r="E895" s="245"/>
      <c r="F895" s="245"/>
      <c r="G895" s="579"/>
      <c r="H895" s="245"/>
      <c r="I895" s="245"/>
      <c r="J895" s="245"/>
      <c r="K895" s="245"/>
      <c r="L895" s="245"/>
      <c r="N895" s="579"/>
      <c r="O895" s="579"/>
      <c r="P895" s="579"/>
      <c r="Q895" s="66"/>
      <c r="R895" s="66"/>
      <c r="S895" s="66"/>
    </row>
    <row r="896" spans="2:19" x14ac:dyDescent="0.2">
      <c r="B896" s="245"/>
      <c r="C896" s="245"/>
      <c r="D896" s="245"/>
      <c r="E896" s="245"/>
      <c r="F896" s="245"/>
      <c r="G896" s="579"/>
      <c r="H896" s="245"/>
      <c r="I896" s="245"/>
      <c r="J896" s="245"/>
      <c r="K896" s="245"/>
      <c r="L896" s="245"/>
      <c r="N896" s="579"/>
      <c r="O896" s="579"/>
      <c r="P896" s="579"/>
      <c r="Q896" s="66"/>
      <c r="R896" s="66"/>
      <c r="S896" s="66"/>
    </row>
    <row r="897" spans="2:19" x14ac:dyDescent="0.2">
      <c r="B897" s="245"/>
      <c r="C897" s="245"/>
      <c r="D897" s="245"/>
      <c r="E897" s="245"/>
      <c r="F897" s="245"/>
      <c r="G897" s="579"/>
      <c r="H897" s="245"/>
      <c r="I897" s="245"/>
      <c r="J897" s="245"/>
      <c r="K897" s="245"/>
      <c r="L897" s="245"/>
      <c r="N897" s="579"/>
      <c r="O897" s="579"/>
      <c r="P897" s="579"/>
      <c r="Q897" s="66"/>
      <c r="R897" s="66"/>
      <c r="S897" s="66"/>
    </row>
    <row r="898" spans="2:19" x14ac:dyDescent="0.2">
      <c r="B898" s="245"/>
      <c r="C898" s="245"/>
      <c r="D898" s="245"/>
      <c r="E898" s="245"/>
      <c r="F898" s="245"/>
      <c r="G898" s="579"/>
      <c r="H898" s="245"/>
      <c r="I898" s="245"/>
      <c r="J898" s="245"/>
      <c r="K898" s="245"/>
      <c r="L898" s="245"/>
      <c r="N898" s="579"/>
      <c r="O898" s="579"/>
      <c r="P898" s="579"/>
      <c r="Q898" s="66"/>
      <c r="R898" s="66"/>
      <c r="S898" s="66"/>
    </row>
    <row r="899" spans="2:19" x14ac:dyDescent="0.2">
      <c r="B899" s="245"/>
      <c r="C899" s="245"/>
      <c r="D899" s="245"/>
      <c r="E899" s="245"/>
      <c r="F899" s="245"/>
      <c r="G899" s="579"/>
      <c r="H899" s="245"/>
      <c r="I899" s="245"/>
      <c r="J899" s="245"/>
      <c r="K899" s="245"/>
      <c r="L899" s="245"/>
      <c r="N899" s="579"/>
      <c r="O899" s="579"/>
      <c r="P899" s="579"/>
      <c r="Q899" s="66"/>
      <c r="R899" s="66"/>
      <c r="S899" s="66"/>
    </row>
    <row r="900" spans="2:19" x14ac:dyDescent="0.2">
      <c r="B900" s="245"/>
      <c r="C900" s="245"/>
      <c r="D900" s="245"/>
      <c r="E900" s="245"/>
      <c r="F900" s="245"/>
      <c r="G900" s="579"/>
      <c r="H900" s="245"/>
      <c r="I900" s="245"/>
      <c r="J900" s="245"/>
      <c r="K900" s="245"/>
      <c r="L900" s="245"/>
      <c r="N900" s="579"/>
      <c r="O900" s="579"/>
      <c r="P900" s="579"/>
      <c r="Q900" s="66"/>
      <c r="R900" s="66"/>
      <c r="S900" s="66"/>
    </row>
    <row r="901" spans="2:19" x14ac:dyDescent="0.2">
      <c r="B901" s="245"/>
      <c r="C901" s="245"/>
      <c r="D901" s="245"/>
      <c r="E901" s="245"/>
      <c r="F901" s="245"/>
      <c r="G901" s="579"/>
      <c r="H901" s="245"/>
      <c r="I901" s="245"/>
      <c r="J901" s="245"/>
      <c r="K901" s="245"/>
      <c r="L901" s="245"/>
      <c r="N901" s="579"/>
      <c r="O901" s="579"/>
      <c r="P901" s="579"/>
      <c r="Q901" s="66"/>
      <c r="R901" s="66"/>
      <c r="S901" s="66"/>
    </row>
    <row r="902" spans="2:19" x14ac:dyDescent="0.2">
      <c r="B902" s="245"/>
      <c r="C902" s="245"/>
      <c r="D902" s="245"/>
      <c r="E902" s="245"/>
      <c r="F902" s="245"/>
      <c r="G902" s="579"/>
      <c r="H902" s="245"/>
      <c r="I902" s="245"/>
      <c r="J902" s="245"/>
      <c r="K902" s="245"/>
      <c r="L902" s="245"/>
      <c r="N902" s="579"/>
      <c r="O902" s="579"/>
      <c r="P902" s="579"/>
      <c r="Q902" s="66"/>
      <c r="R902" s="66"/>
      <c r="S902" s="66"/>
    </row>
    <row r="903" spans="2:19" x14ac:dyDescent="0.2">
      <c r="B903" s="245"/>
      <c r="C903" s="245"/>
      <c r="D903" s="245"/>
      <c r="E903" s="245"/>
      <c r="F903" s="245"/>
      <c r="G903" s="579"/>
      <c r="H903" s="245"/>
      <c r="I903" s="245"/>
      <c r="J903" s="245"/>
      <c r="K903" s="245"/>
      <c r="L903" s="245"/>
      <c r="N903" s="579"/>
      <c r="O903" s="579"/>
      <c r="P903" s="579"/>
      <c r="Q903" s="66"/>
      <c r="R903" s="66"/>
      <c r="S903" s="66"/>
    </row>
    <row r="904" spans="2:19" x14ac:dyDescent="0.2">
      <c r="B904" s="245"/>
      <c r="C904" s="245"/>
      <c r="D904" s="245"/>
      <c r="E904" s="245"/>
      <c r="F904" s="245"/>
      <c r="G904" s="579"/>
      <c r="H904" s="245"/>
      <c r="I904" s="245"/>
      <c r="J904" s="245"/>
      <c r="K904" s="245"/>
      <c r="L904" s="245"/>
      <c r="N904" s="579"/>
      <c r="O904" s="579"/>
      <c r="P904" s="579"/>
      <c r="Q904" s="66"/>
      <c r="R904" s="66"/>
      <c r="S904" s="66"/>
    </row>
    <row r="905" spans="2:19" x14ac:dyDescent="0.2">
      <c r="B905" s="245"/>
      <c r="C905" s="245"/>
      <c r="D905" s="245"/>
      <c r="E905" s="245"/>
      <c r="F905" s="245"/>
      <c r="G905" s="579"/>
      <c r="H905" s="245"/>
      <c r="I905" s="245"/>
      <c r="J905" s="245"/>
      <c r="K905" s="245"/>
      <c r="L905" s="245"/>
      <c r="N905" s="579"/>
      <c r="O905" s="579"/>
      <c r="P905" s="579"/>
      <c r="Q905" s="66"/>
      <c r="R905" s="66"/>
      <c r="S905" s="66"/>
    </row>
    <row r="906" spans="2:19" x14ac:dyDescent="0.2">
      <c r="B906" s="245"/>
      <c r="C906" s="245"/>
      <c r="D906" s="245"/>
      <c r="E906" s="245"/>
      <c r="F906" s="245"/>
      <c r="G906" s="579"/>
      <c r="H906" s="245"/>
      <c r="I906" s="245"/>
      <c r="J906" s="245"/>
      <c r="K906" s="245"/>
      <c r="L906" s="245"/>
      <c r="N906" s="579"/>
      <c r="O906" s="579"/>
      <c r="P906" s="579"/>
      <c r="Q906" s="66"/>
      <c r="R906" s="66"/>
      <c r="S906" s="66"/>
    </row>
    <row r="907" spans="2:19" x14ac:dyDescent="0.2">
      <c r="B907" s="245"/>
      <c r="C907" s="245"/>
      <c r="D907" s="245"/>
      <c r="E907" s="245"/>
      <c r="F907" s="245"/>
      <c r="G907" s="579"/>
      <c r="H907" s="245"/>
      <c r="I907" s="245"/>
      <c r="J907" s="245"/>
      <c r="K907" s="245"/>
      <c r="L907" s="245"/>
      <c r="N907" s="579"/>
      <c r="O907" s="579"/>
      <c r="P907" s="579"/>
      <c r="Q907" s="66"/>
      <c r="R907" s="66"/>
      <c r="S907" s="66"/>
    </row>
    <row r="908" spans="2:19" x14ac:dyDescent="0.2">
      <c r="B908" s="245"/>
      <c r="C908" s="245"/>
      <c r="D908" s="245"/>
      <c r="E908" s="245"/>
      <c r="F908" s="245"/>
      <c r="G908" s="579"/>
      <c r="H908" s="245"/>
      <c r="I908" s="245"/>
      <c r="J908" s="245"/>
      <c r="K908" s="245"/>
      <c r="L908" s="245"/>
      <c r="N908" s="579"/>
      <c r="O908" s="579"/>
      <c r="P908" s="579"/>
      <c r="Q908" s="66"/>
      <c r="R908" s="66"/>
      <c r="S908" s="66"/>
    </row>
    <row r="909" spans="2:19" x14ac:dyDescent="0.2">
      <c r="B909" s="245"/>
      <c r="C909" s="245"/>
      <c r="D909" s="245"/>
      <c r="E909" s="245"/>
      <c r="F909" s="245"/>
      <c r="G909" s="579"/>
      <c r="H909" s="245"/>
      <c r="I909" s="245"/>
      <c r="J909" s="245"/>
      <c r="K909" s="245"/>
      <c r="L909" s="245"/>
      <c r="N909" s="579"/>
      <c r="O909" s="579"/>
      <c r="P909" s="579"/>
      <c r="Q909" s="66"/>
      <c r="R909" s="66"/>
      <c r="S909" s="66"/>
    </row>
    <row r="910" spans="2:19" x14ac:dyDescent="0.2">
      <c r="B910" s="245"/>
      <c r="C910" s="245"/>
      <c r="D910" s="245"/>
      <c r="E910" s="245"/>
      <c r="F910" s="245"/>
      <c r="G910" s="579"/>
      <c r="H910" s="245"/>
      <c r="I910" s="245"/>
      <c r="J910" s="245"/>
      <c r="K910" s="245"/>
      <c r="L910" s="245"/>
      <c r="N910" s="579"/>
      <c r="O910" s="579"/>
      <c r="P910" s="579"/>
      <c r="Q910" s="66"/>
      <c r="R910" s="66"/>
      <c r="S910" s="66"/>
    </row>
    <row r="911" spans="2:19" x14ac:dyDescent="0.2">
      <c r="B911" s="245"/>
      <c r="C911" s="245"/>
      <c r="D911" s="245"/>
      <c r="E911" s="245"/>
      <c r="F911" s="245"/>
      <c r="G911" s="579"/>
      <c r="H911" s="245"/>
      <c r="I911" s="245"/>
      <c r="J911" s="245"/>
      <c r="K911" s="245"/>
      <c r="L911" s="245"/>
      <c r="N911" s="579"/>
      <c r="O911" s="579"/>
      <c r="P911" s="579"/>
      <c r="Q911" s="66"/>
      <c r="R911" s="66"/>
      <c r="S911" s="66"/>
    </row>
    <row r="912" spans="2:19" x14ac:dyDescent="0.2">
      <c r="B912" s="245"/>
      <c r="C912" s="245"/>
      <c r="D912" s="245"/>
      <c r="E912" s="245"/>
      <c r="F912" s="245"/>
      <c r="G912" s="579"/>
      <c r="H912" s="245"/>
      <c r="I912" s="245"/>
      <c r="J912" s="245"/>
      <c r="K912" s="245"/>
      <c r="L912" s="245"/>
      <c r="N912" s="579"/>
      <c r="O912" s="579"/>
      <c r="P912" s="579"/>
      <c r="Q912" s="66"/>
      <c r="R912" s="66"/>
      <c r="S912" s="66"/>
    </row>
    <row r="913" spans="2:19" x14ac:dyDescent="0.2">
      <c r="B913" s="245"/>
      <c r="C913" s="245"/>
      <c r="D913" s="245"/>
      <c r="E913" s="245"/>
      <c r="F913" s="245"/>
      <c r="G913" s="579"/>
      <c r="H913" s="245"/>
      <c r="I913" s="245"/>
      <c r="J913" s="245"/>
      <c r="K913" s="245"/>
      <c r="L913" s="245"/>
      <c r="N913" s="579"/>
      <c r="O913" s="579"/>
      <c r="P913" s="579"/>
      <c r="Q913" s="66"/>
      <c r="R913" s="66"/>
      <c r="S913" s="66"/>
    </row>
    <row r="914" spans="2:19" x14ac:dyDescent="0.2">
      <c r="B914" s="245"/>
      <c r="C914" s="245"/>
      <c r="D914" s="245"/>
      <c r="E914" s="245"/>
      <c r="F914" s="245"/>
      <c r="G914" s="579"/>
      <c r="H914" s="245"/>
      <c r="I914" s="245"/>
      <c r="J914" s="245"/>
      <c r="K914" s="245"/>
      <c r="L914" s="245"/>
      <c r="N914" s="579"/>
      <c r="O914" s="579"/>
      <c r="P914" s="579"/>
      <c r="Q914" s="66"/>
      <c r="R914" s="66"/>
      <c r="S914" s="66"/>
    </row>
    <row r="915" spans="2:19" x14ac:dyDescent="0.2">
      <c r="B915" s="245"/>
      <c r="C915" s="245"/>
      <c r="D915" s="245"/>
      <c r="E915" s="245"/>
      <c r="F915" s="245"/>
      <c r="G915" s="579"/>
      <c r="H915" s="245"/>
      <c r="I915" s="245"/>
      <c r="J915" s="245"/>
      <c r="K915" s="245"/>
      <c r="L915" s="245"/>
      <c r="N915" s="579"/>
      <c r="O915" s="579"/>
      <c r="P915" s="579"/>
      <c r="Q915" s="66"/>
      <c r="R915" s="66"/>
      <c r="S915" s="66"/>
    </row>
    <row r="916" spans="2:19" x14ac:dyDescent="0.2">
      <c r="B916" s="245"/>
      <c r="C916" s="245"/>
      <c r="D916" s="245"/>
      <c r="E916" s="245"/>
      <c r="F916" s="245"/>
      <c r="G916" s="579"/>
      <c r="H916" s="245"/>
      <c r="I916" s="245"/>
      <c r="J916" s="245"/>
      <c r="K916" s="245"/>
      <c r="L916" s="245"/>
      <c r="N916" s="579"/>
      <c r="O916" s="579"/>
      <c r="P916" s="579"/>
      <c r="Q916" s="66"/>
      <c r="R916" s="66"/>
      <c r="S916" s="66"/>
    </row>
    <row r="917" spans="2:19" x14ac:dyDescent="0.2">
      <c r="B917" s="245"/>
      <c r="C917" s="245"/>
      <c r="D917" s="245"/>
      <c r="E917" s="245"/>
      <c r="F917" s="245"/>
      <c r="G917" s="579"/>
      <c r="H917" s="245"/>
      <c r="I917" s="245"/>
      <c r="J917" s="245"/>
      <c r="K917" s="245"/>
      <c r="L917" s="245"/>
      <c r="N917" s="579"/>
      <c r="O917" s="579"/>
      <c r="P917" s="579"/>
      <c r="Q917" s="66"/>
      <c r="R917" s="66"/>
      <c r="S917" s="66"/>
    </row>
    <row r="918" spans="2:19" x14ac:dyDescent="0.2">
      <c r="B918" s="245"/>
      <c r="C918" s="245"/>
      <c r="D918" s="245"/>
      <c r="E918" s="245"/>
      <c r="F918" s="245"/>
      <c r="G918" s="579"/>
      <c r="H918" s="245"/>
      <c r="I918" s="245"/>
      <c r="J918" s="245"/>
      <c r="K918" s="245"/>
      <c r="L918" s="245"/>
      <c r="N918" s="579"/>
      <c r="O918" s="579"/>
      <c r="P918" s="579"/>
      <c r="Q918" s="66"/>
      <c r="R918" s="66"/>
      <c r="S918" s="66"/>
    </row>
    <row r="919" spans="2:19" x14ac:dyDescent="0.2">
      <c r="B919" s="245"/>
      <c r="C919" s="245"/>
      <c r="D919" s="245"/>
      <c r="E919" s="245"/>
      <c r="F919" s="245"/>
      <c r="G919" s="579"/>
      <c r="H919" s="245"/>
      <c r="I919" s="245"/>
      <c r="J919" s="245"/>
      <c r="K919" s="245"/>
      <c r="L919" s="245"/>
      <c r="N919" s="579"/>
      <c r="O919" s="579"/>
      <c r="P919" s="579"/>
      <c r="Q919" s="66"/>
      <c r="R919" s="66"/>
      <c r="S919" s="66"/>
    </row>
    <row r="920" spans="2:19" x14ac:dyDescent="0.2">
      <c r="B920" s="245"/>
      <c r="C920" s="245"/>
      <c r="D920" s="245"/>
      <c r="E920" s="245"/>
      <c r="F920" s="245"/>
      <c r="G920" s="579"/>
      <c r="H920" s="245"/>
      <c r="I920" s="245"/>
      <c r="J920" s="245"/>
      <c r="K920" s="245"/>
      <c r="L920" s="245"/>
      <c r="N920" s="579"/>
      <c r="O920" s="579"/>
      <c r="P920" s="579"/>
      <c r="Q920" s="66"/>
      <c r="R920" s="66"/>
      <c r="S920" s="66"/>
    </row>
    <row r="921" spans="2:19" x14ac:dyDescent="0.2">
      <c r="B921" s="245"/>
      <c r="C921" s="245"/>
      <c r="D921" s="245"/>
      <c r="E921" s="245"/>
      <c r="F921" s="245"/>
      <c r="G921" s="579"/>
      <c r="H921" s="245"/>
      <c r="I921" s="245"/>
      <c r="J921" s="245"/>
      <c r="K921" s="245"/>
      <c r="L921" s="245"/>
      <c r="N921" s="579"/>
      <c r="O921" s="579"/>
      <c r="P921" s="579"/>
      <c r="Q921" s="66"/>
      <c r="R921" s="66"/>
      <c r="S921" s="66"/>
    </row>
    <row r="922" spans="2:19" x14ac:dyDescent="0.2">
      <c r="B922" s="245"/>
      <c r="C922" s="245"/>
      <c r="D922" s="245"/>
      <c r="E922" s="245"/>
      <c r="F922" s="245"/>
      <c r="G922" s="579"/>
      <c r="H922" s="245"/>
      <c r="I922" s="245"/>
      <c r="J922" s="245"/>
      <c r="K922" s="245"/>
      <c r="L922" s="245"/>
      <c r="N922" s="579"/>
      <c r="O922" s="579"/>
      <c r="P922" s="579"/>
      <c r="Q922" s="66"/>
      <c r="R922" s="66"/>
      <c r="S922" s="66"/>
    </row>
    <row r="923" spans="2:19" x14ac:dyDescent="0.2">
      <c r="B923" s="245"/>
      <c r="C923" s="245"/>
      <c r="D923" s="245"/>
      <c r="E923" s="245"/>
      <c r="F923" s="245"/>
      <c r="G923" s="579"/>
      <c r="H923" s="245"/>
      <c r="I923" s="245"/>
      <c r="J923" s="245"/>
      <c r="K923" s="245"/>
      <c r="L923" s="245"/>
      <c r="N923" s="579"/>
      <c r="O923" s="579"/>
      <c r="P923" s="579"/>
      <c r="Q923" s="66"/>
      <c r="R923" s="66"/>
      <c r="S923" s="66"/>
    </row>
    <row r="924" spans="2:19" x14ac:dyDescent="0.2">
      <c r="B924" s="245"/>
      <c r="C924" s="245"/>
      <c r="D924" s="245"/>
      <c r="E924" s="245"/>
      <c r="F924" s="245"/>
      <c r="G924" s="579"/>
      <c r="H924" s="245"/>
      <c r="I924" s="245"/>
      <c r="J924" s="245"/>
      <c r="K924" s="245"/>
      <c r="L924" s="245"/>
      <c r="N924" s="579"/>
      <c r="O924" s="579"/>
      <c r="P924" s="579"/>
      <c r="Q924" s="66"/>
      <c r="R924" s="66"/>
      <c r="S924" s="66"/>
    </row>
    <row r="925" spans="2:19" x14ac:dyDescent="0.2">
      <c r="B925" s="245"/>
      <c r="C925" s="245"/>
      <c r="D925" s="245"/>
      <c r="E925" s="245"/>
      <c r="F925" s="245"/>
      <c r="G925" s="579"/>
      <c r="H925" s="245"/>
      <c r="I925" s="245"/>
      <c r="J925" s="245"/>
      <c r="K925" s="245"/>
      <c r="L925" s="245"/>
      <c r="N925" s="579"/>
      <c r="O925" s="579"/>
      <c r="P925" s="579"/>
      <c r="Q925" s="66"/>
      <c r="R925" s="66"/>
      <c r="S925" s="66"/>
    </row>
    <row r="926" spans="2:19" x14ac:dyDescent="0.2">
      <c r="B926" s="245"/>
      <c r="C926" s="245"/>
      <c r="D926" s="245"/>
      <c r="E926" s="245"/>
      <c r="F926" s="245"/>
      <c r="G926" s="579"/>
      <c r="H926" s="245"/>
      <c r="I926" s="245"/>
      <c r="J926" s="245"/>
      <c r="K926" s="245"/>
      <c r="L926" s="245"/>
      <c r="N926" s="579"/>
      <c r="O926" s="579"/>
      <c r="P926" s="579"/>
      <c r="Q926" s="66"/>
      <c r="R926" s="66"/>
      <c r="S926" s="66"/>
    </row>
    <row r="927" spans="2:19" x14ac:dyDescent="0.2">
      <c r="B927" s="245"/>
      <c r="C927" s="245"/>
      <c r="D927" s="245"/>
      <c r="E927" s="245"/>
      <c r="F927" s="245"/>
      <c r="G927" s="579"/>
      <c r="H927" s="245"/>
      <c r="I927" s="245"/>
      <c r="J927" s="245"/>
      <c r="K927" s="245"/>
      <c r="L927" s="245"/>
      <c r="N927" s="579"/>
      <c r="O927" s="579"/>
      <c r="P927" s="579"/>
      <c r="Q927" s="66"/>
      <c r="R927" s="66"/>
      <c r="S927" s="66"/>
    </row>
    <row r="928" spans="2:19" x14ac:dyDescent="0.2">
      <c r="B928" s="245"/>
      <c r="C928" s="245"/>
      <c r="D928" s="245"/>
      <c r="E928" s="245"/>
      <c r="F928" s="245"/>
      <c r="G928" s="579"/>
      <c r="H928" s="245"/>
      <c r="I928" s="245"/>
      <c r="J928" s="245"/>
      <c r="K928" s="245"/>
      <c r="L928" s="245"/>
      <c r="N928" s="579"/>
      <c r="O928" s="579"/>
      <c r="P928" s="579"/>
      <c r="Q928" s="66"/>
      <c r="R928" s="66"/>
      <c r="S928" s="66"/>
    </row>
    <row r="929" spans="2:19" x14ac:dyDescent="0.2">
      <c r="B929" s="245"/>
      <c r="C929" s="245"/>
      <c r="D929" s="245"/>
      <c r="E929" s="245"/>
      <c r="F929" s="245"/>
      <c r="G929" s="579"/>
      <c r="H929" s="245"/>
      <c r="I929" s="245"/>
      <c r="J929" s="245"/>
      <c r="K929" s="245"/>
      <c r="L929" s="245"/>
      <c r="N929" s="579"/>
      <c r="O929" s="579"/>
      <c r="P929" s="579"/>
      <c r="Q929" s="66"/>
      <c r="R929" s="66"/>
      <c r="S929" s="66"/>
    </row>
    <row r="930" spans="2:19" x14ac:dyDescent="0.2">
      <c r="B930" s="245"/>
      <c r="C930" s="245"/>
      <c r="D930" s="245"/>
      <c r="E930" s="245"/>
      <c r="F930" s="245"/>
      <c r="G930" s="579"/>
      <c r="H930" s="245"/>
      <c r="I930" s="245"/>
      <c r="J930" s="245"/>
      <c r="K930" s="245"/>
      <c r="L930" s="245"/>
      <c r="N930" s="579"/>
      <c r="O930" s="579"/>
      <c r="P930" s="579"/>
      <c r="Q930" s="66"/>
      <c r="R930" s="66"/>
      <c r="S930" s="66"/>
    </row>
    <row r="931" spans="2:19" x14ac:dyDescent="0.2">
      <c r="B931" s="245"/>
      <c r="C931" s="245"/>
      <c r="D931" s="245"/>
      <c r="E931" s="245"/>
      <c r="F931" s="245"/>
      <c r="G931" s="579"/>
      <c r="H931" s="245"/>
      <c r="I931" s="245"/>
      <c r="J931" s="245"/>
      <c r="K931" s="245"/>
      <c r="L931" s="245"/>
      <c r="N931" s="579"/>
      <c r="O931" s="579"/>
      <c r="P931" s="579"/>
      <c r="Q931" s="66"/>
      <c r="R931" s="66"/>
      <c r="S931" s="66"/>
    </row>
    <row r="932" spans="2:19" x14ac:dyDescent="0.2">
      <c r="B932" s="245"/>
      <c r="C932" s="245"/>
      <c r="D932" s="245"/>
      <c r="E932" s="245"/>
      <c r="F932" s="245"/>
      <c r="G932" s="579"/>
      <c r="H932" s="245"/>
      <c r="I932" s="245"/>
      <c r="J932" s="245"/>
      <c r="K932" s="245"/>
      <c r="L932" s="245"/>
      <c r="N932" s="579"/>
      <c r="O932" s="579"/>
      <c r="P932" s="579"/>
      <c r="Q932" s="66"/>
      <c r="R932" s="66"/>
      <c r="S932" s="66"/>
    </row>
    <row r="933" spans="2:19" x14ac:dyDescent="0.2">
      <c r="B933" s="245"/>
      <c r="C933" s="245"/>
      <c r="D933" s="245"/>
      <c r="E933" s="245"/>
      <c r="F933" s="245"/>
      <c r="G933" s="579"/>
      <c r="H933" s="245"/>
      <c r="I933" s="245"/>
      <c r="J933" s="245"/>
      <c r="K933" s="245"/>
      <c r="L933" s="245"/>
      <c r="N933" s="579"/>
      <c r="O933" s="579"/>
      <c r="P933" s="579"/>
      <c r="Q933" s="66"/>
      <c r="R933" s="66"/>
      <c r="S933" s="66"/>
    </row>
    <row r="934" spans="2:19" x14ac:dyDescent="0.2">
      <c r="B934" s="245"/>
      <c r="C934" s="245"/>
      <c r="D934" s="245"/>
      <c r="E934" s="245"/>
      <c r="F934" s="245"/>
      <c r="G934" s="579"/>
      <c r="H934" s="245"/>
      <c r="I934" s="245"/>
      <c r="J934" s="245"/>
      <c r="K934" s="245"/>
      <c r="L934" s="245"/>
      <c r="N934" s="579"/>
      <c r="O934" s="579"/>
      <c r="P934" s="579"/>
      <c r="Q934" s="66"/>
      <c r="R934" s="66"/>
      <c r="S934" s="66"/>
    </row>
    <row r="935" spans="2:19" x14ac:dyDescent="0.2">
      <c r="B935" s="245"/>
      <c r="C935" s="245"/>
      <c r="D935" s="245"/>
      <c r="E935" s="245"/>
      <c r="F935" s="245"/>
      <c r="G935" s="579"/>
      <c r="H935" s="245"/>
      <c r="I935" s="245"/>
      <c r="J935" s="245"/>
      <c r="K935" s="245"/>
      <c r="L935" s="245"/>
      <c r="N935" s="579"/>
      <c r="O935" s="579"/>
      <c r="P935" s="579"/>
      <c r="Q935" s="66"/>
      <c r="R935" s="66"/>
      <c r="S935" s="66"/>
    </row>
    <row r="936" spans="2:19" x14ac:dyDescent="0.2">
      <c r="B936" s="245"/>
      <c r="C936" s="245"/>
      <c r="D936" s="245"/>
      <c r="E936" s="245"/>
      <c r="F936" s="245"/>
      <c r="G936" s="579"/>
      <c r="H936" s="245"/>
      <c r="I936" s="245"/>
      <c r="J936" s="245"/>
      <c r="K936" s="245"/>
      <c r="L936" s="245"/>
      <c r="N936" s="579"/>
      <c r="O936" s="579"/>
      <c r="P936" s="579"/>
      <c r="Q936" s="66"/>
      <c r="R936" s="66"/>
      <c r="S936" s="66"/>
    </row>
    <row r="937" spans="2:19" x14ac:dyDescent="0.2">
      <c r="B937" s="245"/>
      <c r="C937" s="245"/>
      <c r="D937" s="245"/>
      <c r="E937" s="245"/>
      <c r="F937" s="245"/>
      <c r="G937" s="579"/>
      <c r="H937" s="245"/>
      <c r="I937" s="245"/>
      <c r="J937" s="245"/>
      <c r="K937" s="245"/>
      <c r="L937" s="245"/>
      <c r="N937" s="579"/>
      <c r="O937" s="579"/>
      <c r="P937" s="579"/>
      <c r="Q937" s="66"/>
      <c r="R937" s="66"/>
      <c r="S937" s="66"/>
    </row>
    <row r="938" spans="2:19" x14ac:dyDescent="0.2">
      <c r="B938" s="245"/>
      <c r="C938" s="245"/>
      <c r="D938" s="245"/>
      <c r="E938" s="245"/>
      <c r="F938" s="245"/>
      <c r="G938" s="579"/>
      <c r="H938" s="245"/>
      <c r="I938" s="245"/>
      <c r="J938" s="245"/>
      <c r="K938" s="245"/>
      <c r="L938" s="245"/>
      <c r="N938" s="579"/>
      <c r="O938" s="579"/>
      <c r="P938" s="579"/>
      <c r="Q938" s="66"/>
      <c r="R938" s="66"/>
      <c r="S938" s="66"/>
    </row>
    <row r="939" spans="2:19" x14ac:dyDescent="0.2">
      <c r="B939" s="245"/>
      <c r="C939" s="245"/>
      <c r="D939" s="245"/>
      <c r="E939" s="245"/>
      <c r="F939" s="245"/>
      <c r="G939" s="579"/>
      <c r="H939" s="245"/>
      <c r="I939" s="245"/>
      <c r="J939" s="245"/>
      <c r="K939" s="245"/>
      <c r="L939" s="245"/>
      <c r="N939" s="579"/>
      <c r="O939" s="579"/>
      <c r="P939" s="579"/>
      <c r="Q939" s="66"/>
      <c r="R939" s="66"/>
      <c r="S939" s="66"/>
    </row>
    <row r="940" spans="2:19" x14ac:dyDescent="0.2">
      <c r="B940" s="245"/>
      <c r="C940" s="245"/>
      <c r="D940" s="245"/>
      <c r="E940" s="245"/>
      <c r="F940" s="245"/>
      <c r="G940" s="579"/>
      <c r="H940" s="245"/>
      <c r="I940" s="245"/>
      <c r="J940" s="245"/>
      <c r="K940" s="245"/>
      <c r="L940" s="245"/>
      <c r="N940" s="579"/>
      <c r="O940" s="579"/>
      <c r="P940" s="579"/>
      <c r="Q940" s="66"/>
      <c r="R940" s="66"/>
      <c r="S940" s="66"/>
    </row>
    <row r="941" spans="2:19" x14ac:dyDescent="0.2">
      <c r="B941" s="245"/>
      <c r="C941" s="245"/>
      <c r="D941" s="245"/>
      <c r="E941" s="245"/>
      <c r="F941" s="245"/>
      <c r="G941" s="579"/>
      <c r="H941" s="245"/>
      <c r="I941" s="245"/>
      <c r="J941" s="245"/>
      <c r="K941" s="245"/>
      <c r="L941" s="245"/>
      <c r="N941" s="579"/>
      <c r="O941" s="579"/>
      <c r="P941" s="579"/>
      <c r="Q941" s="66"/>
      <c r="R941" s="66"/>
      <c r="S941" s="66"/>
    </row>
    <row r="942" spans="2:19" x14ac:dyDescent="0.2">
      <c r="B942" s="245"/>
      <c r="C942" s="245"/>
      <c r="D942" s="245"/>
      <c r="E942" s="245"/>
      <c r="F942" s="245"/>
      <c r="G942" s="579"/>
      <c r="H942" s="245"/>
      <c r="I942" s="245"/>
      <c r="J942" s="245"/>
      <c r="K942" s="245"/>
      <c r="L942" s="245"/>
      <c r="N942" s="579"/>
      <c r="O942" s="579"/>
      <c r="P942" s="579"/>
      <c r="Q942" s="66"/>
      <c r="R942" s="66"/>
      <c r="S942" s="66"/>
    </row>
    <row r="943" spans="2:19" x14ac:dyDescent="0.2">
      <c r="B943" s="245"/>
      <c r="C943" s="245"/>
      <c r="D943" s="245"/>
      <c r="E943" s="245"/>
      <c r="F943" s="245"/>
      <c r="G943" s="579"/>
      <c r="H943" s="245"/>
      <c r="I943" s="245"/>
      <c r="J943" s="245"/>
      <c r="K943" s="245"/>
      <c r="L943" s="245"/>
      <c r="N943" s="579"/>
      <c r="O943" s="579"/>
      <c r="P943" s="579"/>
      <c r="Q943" s="66"/>
      <c r="R943" s="66"/>
      <c r="S943" s="66"/>
    </row>
    <row r="944" spans="2:19" x14ac:dyDescent="0.2">
      <c r="B944" s="245"/>
      <c r="C944" s="245"/>
      <c r="D944" s="245"/>
      <c r="E944" s="245"/>
      <c r="F944" s="245"/>
      <c r="G944" s="579"/>
      <c r="H944" s="245"/>
      <c r="I944" s="245"/>
      <c r="J944" s="245"/>
      <c r="K944" s="245"/>
      <c r="L944" s="245"/>
      <c r="N944" s="579"/>
      <c r="O944" s="579"/>
      <c r="P944" s="579"/>
      <c r="Q944" s="66"/>
      <c r="R944" s="66"/>
      <c r="S944" s="66"/>
    </row>
    <row r="945" spans="2:19" x14ac:dyDescent="0.2">
      <c r="B945" s="245"/>
      <c r="C945" s="245"/>
      <c r="D945" s="245"/>
      <c r="E945" s="245"/>
      <c r="F945" s="245"/>
      <c r="G945" s="579"/>
      <c r="H945" s="245"/>
      <c r="I945" s="245"/>
      <c r="J945" s="245"/>
      <c r="K945" s="245"/>
      <c r="L945" s="245"/>
      <c r="N945" s="579"/>
      <c r="O945" s="579"/>
      <c r="P945" s="579"/>
      <c r="Q945" s="66"/>
      <c r="R945" s="66"/>
      <c r="S945" s="66"/>
    </row>
    <row r="946" spans="2:19" x14ac:dyDescent="0.2">
      <c r="B946" s="245"/>
      <c r="C946" s="245"/>
      <c r="D946" s="245"/>
      <c r="E946" s="245"/>
      <c r="F946" s="245"/>
      <c r="G946" s="579"/>
      <c r="H946" s="245"/>
      <c r="I946" s="245"/>
      <c r="J946" s="245"/>
      <c r="K946" s="245"/>
      <c r="L946" s="245"/>
      <c r="N946" s="579"/>
      <c r="O946" s="579"/>
      <c r="P946" s="579"/>
      <c r="Q946" s="66"/>
      <c r="R946" s="66"/>
      <c r="S946" s="66"/>
    </row>
    <row r="947" spans="2:19" x14ac:dyDescent="0.2">
      <c r="B947" s="245"/>
      <c r="C947" s="245"/>
      <c r="D947" s="245"/>
      <c r="E947" s="245"/>
      <c r="F947" s="245"/>
      <c r="G947" s="579"/>
      <c r="H947" s="245"/>
      <c r="I947" s="245"/>
      <c r="J947" s="245"/>
      <c r="K947" s="245"/>
      <c r="L947" s="245"/>
      <c r="N947" s="579"/>
      <c r="O947" s="579"/>
      <c r="P947" s="579"/>
      <c r="Q947" s="66"/>
      <c r="R947" s="66"/>
      <c r="S947" s="66"/>
    </row>
    <row r="948" spans="2:19" x14ac:dyDescent="0.2">
      <c r="B948" s="245"/>
      <c r="C948" s="245"/>
      <c r="D948" s="245"/>
      <c r="E948" s="245"/>
      <c r="F948" s="245"/>
      <c r="G948" s="579"/>
      <c r="H948" s="245"/>
      <c r="I948" s="245"/>
      <c r="J948" s="245"/>
      <c r="K948" s="245"/>
      <c r="L948" s="245"/>
      <c r="N948" s="579"/>
      <c r="O948" s="579"/>
      <c r="P948" s="579"/>
      <c r="Q948" s="66"/>
      <c r="R948" s="66"/>
      <c r="S948" s="66"/>
    </row>
    <row r="949" spans="2:19" x14ac:dyDescent="0.2">
      <c r="B949" s="245"/>
      <c r="C949" s="245"/>
      <c r="D949" s="245"/>
      <c r="E949" s="245"/>
      <c r="F949" s="245"/>
      <c r="G949" s="579"/>
      <c r="H949" s="245"/>
      <c r="I949" s="245"/>
      <c r="J949" s="245"/>
      <c r="K949" s="245"/>
      <c r="L949" s="245"/>
      <c r="N949" s="579"/>
      <c r="O949" s="579"/>
      <c r="P949" s="579"/>
      <c r="Q949" s="66"/>
      <c r="R949" s="66"/>
      <c r="S949" s="66"/>
    </row>
    <row r="950" spans="2:19" x14ac:dyDescent="0.2">
      <c r="B950" s="245"/>
      <c r="C950" s="245"/>
      <c r="D950" s="245"/>
      <c r="E950" s="245"/>
      <c r="F950" s="245"/>
      <c r="G950" s="579"/>
      <c r="H950" s="245"/>
      <c r="I950" s="245"/>
      <c r="J950" s="245"/>
      <c r="K950" s="245"/>
      <c r="L950" s="245"/>
      <c r="N950" s="579"/>
      <c r="O950" s="579"/>
      <c r="P950" s="579"/>
      <c r="Q950" s="66"/>
      <c r="R950" s="66"/>
      <c r="S950" s="66"/>
    </row>
    <row r="951" spans="2:19" x14ac:dyDescent="0.2">
      <c r="B951" s="245"/>
      <c r="C951" s="245"/>
      <c r="D951" s="245"/>
      <c r="E951" s="245"/>
      <c r="F951" s="245"/>
      <c r="G951" s="579"/>
      <c r="H951" s="245"/>
      <c r="I951" s="245"/>
      <c r="J951" s="245"/>
      <c r="K951" s="245"/>
      <c r="L951" s="245"/>
      <c r="N951" s="579"/>
      <c r="O951" s="579"/>
      <c r="P951" s="579"/>
      <c r="Q951" s="66"/>
      <c r="R951" s="66"/>
      <c r="S951" s="66"/>
    </row>
    <row r="952" spans="2:19" x14ac:dyDescent="0.2">
      <c r="B952" s="245"/>
      <c r="C952" s="245"/>
      <c r="D952" s="245"/>
      <c r="E952" s="245"/>
      <c r="F952" s="245"/>
      <c r="G952" s="579"/>
      <c r="H952" s="245"/>
      <c r="I952" s="245"/>
      <c r="J952" s="245"/>
      <c r="K952" s="245"/>
      <c r="L952" s="245"/>
      <c r="N952" s="579"/>
      <c r="O952" s="579"/>
      <c r="P952" s="579"/>
      <c r="Q952" s="66"/>
      <c r="R952" s="66"/>
      <c r="S952" s="66"/>
    </row>
    <row r="953" spans="2:19" x14ac:dyDescent="0.2">
      <c r="B953" s="245"/>
      <c r="C953" s="245"/>
      <c r="D953" s="245"/>
      <c r="E953" s="245"/>
      <c r="F953" s="245"/>
      <c r="G953" s="579"/>
      <c r="H953" s="245"/>
      <c r="I953" s="245"/>
      <c r="J953" s="245"/>
      <c r="K953" s="245"/>
      <c r="L953" s="245"/>
      <c r="N953" s="579"/>
      <c r="O953" s="579"/>
      <c r="P953" s="579"/>
      <c r="Q953" s="66"/>
      <c r="R953" s="66"/>
      <c r="S953" s="66"/>
    </row>
    <row r="954" spans="2:19" x14ac:dyDescent="0.2">
      <c r="B954" s="245"/>
      <c r="C954" s="245"/>
      <c r="D954" s="245"/>
      <c r="E954" s="245"/>
      <c r="F954" s="245"/>
      <c r="G954" s="579"/>
      <c r="H954" s="245"/>
      <c r="I954" s="245"/>
      <c r="J954" s="245"/>
      <c r="K954" s="245"/>
      <c r="L954" s="245"/>
      <c r="N954" s="579"/>
      <c r="O954" s="579"/>
      <c r="P954" s="579"/>
      <c r="Q954" s="66"/>
      <c r="R954" s="66"/>
      <c r="S954" s="66"/>
    </row>
    <row r="955" spans="2:19" x14ac:dyDescent="0.2">
      <c r="B955" s="245"/>
      <c r="C955" s="245"/>
      <c r="D955" s="245"/>
      <c r="E955" s="245"/>
      <c r="F955" s="245"/>
      <c r="G955" s="579"/>
      <c r="H955" s="245"/>
      <c r="I955" s="245"/>
      <c r="J955" s="245"/>
      <c r="K955" s="245"/>
      <c r="L955" s="245"/>
      <c r="N955" s="579"/>
      <c r="O955" s="579"/>
      <c r="P955" s="579"/>
      <c r="Q955" s="66"/>
      <c r="R955" s="66"/>
      <c r="S955" s="66"/>
    </row>
    <row r="956" spans="2:19" x14ac:dyDescent="0.2">
      <c r="B956" s="245"/>
      <c r="C956" s="245"/>
      <c r="D956" s="245"/>
      <c r="E956" s="245"/>
      <c r="F956" s="245"/>
      <c r="G956" s="579"/>
      <c r="H956" s="245"/>
      <c r="I956" s="245"/>
      <c r="J956" s="245"/>
      <c r="K956" s="245"/>
      <c r="L956" s="245"/>
      <c r="N956" s="579"/>
      <c r="O956" s="579"/>
      <c r="P956" s="579"/>
      <c r="Q956" s="66"/>
      <c r="R956" s="66"/>
      <c r="S956" s="66"/>
    </row>
    <row r="957" spans="2:19" x14ac:dyDescent="0.2">
      <c r="B957" s="245"/>
      <c r="C957" s="245"/>
      <c r="D957" s="245"/>
      <c r="E957" s="245"/>
      <c r="F957" s="245"/>
      <c r="G957" s="579"/>
      <c r="H957" s="245"/>
      <c r="I957" s="245"/>
      <c r="J957" s="245"/>
      <c r="K957" s="245"/>
      <c r="L957" s="245"/>
      <c r="N957" s="579"/>
      <c r="O957" s="579"/>
      <c r="P957" s="579"/>
      <c r="Q957" s="66"/>
      <c r="R957" s="66"/>
      <c r="S957" s="66"/>
    </row>
    <row r="958" spans="2:19" x14ac:dyDescent="0.2">
      <c r="B958" s="245"/>
      <c r="C958" s="245"/>
      <c r="D958" s="245"/>
      <c r="E958" s="245"/>
      <c r="F958" s="245"/>
      <c r="G958" s="579"/>
      <c r="H958" s="245"/>
      <c r="I958" s="245"/>
      <c r="J958" s="245"/>
      <c r="K958" s="245"/>
      <c r="L958" s="245"/>
      <c r="N958" s="579"/>
      <c r="O958" s="579"/>
      <c r="P958" s="579"/>
      <c r="Q958" s="66"/>
      <c r="R958" s="66"/>
      <c r="S958" s="66"/>
    </row>
    <row r="959" spans="2:19" x14ac:dyDescent="0.2">
      <c r="B959" s="245"/>
      <c r="C959" s="245"/>
      <c r="D959" s="245"/>
      <c r="E959" s="245"/>
      <c r="F959" s="245"/>
      <c r="G959" s="579"/>
      <c r="H959" s="245"/>
      <c r="I959" s="245"/>
      <c r="J959" s="245"/>
      <c r="K959" s="245"/>
      <c r="L959" s="245"/>
      <c r="N959" s="579"/>
      <c r="O959" s="579"/>
      <c r="P959" s="579"/>
      <c r="Q959" s="66"/>
      <c r="R959" s="66"/>
      <c r="S959" s="66"/>
    </row>
    <row r="960" spans="2:19" x14ac:dyDescent="0.2">
      <c r="B960" s="245"/>
      <c r="C960" s="245"/>
      <c r="D960" s="245"/>
      <c r="E960" s="245"/>
      <c r="F960" s="245"/>
      <c r="G960" s="579"/>
      <c r="H960" s="245"/>
      <c r="I960" s="245"/>
      <c r="J960" s="245"/>
      <c r="K960" s="245"/>
      <c r="L960" s="245"/>
      <c r="N960" s="579"/>
      <c r="O960" s="579"/>
      <c r="P960" s="579"/>
      <c r="Q960" s="66"/>
      <c r="R960" s="66"/>
      <c r="S960" s="66"/>
    </row>
    <row r="961" spans="2:19" x14ac:dyDescent="0.2">
      <c r="B961" s="245"/>
      <c r="C961" s="245"/>
      <c r="D961" s="245"/>
      <c r="E961" s="245"/>
      <c r="F961" s="245"/>
      <c r="G961" s="579"/>
      <c r="H961" s="245"/>
      <c r="I961" s="245"/>
      <c r="J961" s="245"/>
      <c r="K961" s="245"/>
      <c r="L961" s="245"/>
      <c r="N961" s="579"/>
      <c r="O961" s="579"/>
      <c r="P961" s="579"/>
      <c r="Q961" s="66"/>
      <c r="R961" s="66"/>
      <c r="S961" s="66"/>
    </row>
    <row r="962" spans="2:19" x14ac:dyDescent="0.2">
      <c r="B962" s="245"/>
      <c r="C962" s="245"/>
      <c r="D962" s="245"/>
      <c r="E962" s="245"/>
      <c r="F962" s="245"/>
      <c r="G962" s="579"/>
      <c r="H962" s="245"/>
      <c r="I962" s="245"/>
      <c r="J962" s="245"/>
      <c r="K962" s="245"/>
      <c r="L962" s="245"/>
      <c r="N962" s="579"/>
      <c r="O962" s="579"/>
      <c r="P962" s="579"/>
      <c r="Q962" s="66"/>
      <c r="R962" s="66"/>
      <c r="S962" s="66"/>
    </row>
    <row r="963" spans="2:19" x14ac:dyDescent="0.2">
      <c r="B963" s="245"/>
      <c r="C963" s="245"/>
      <c r="D963" s="245"/>
      <c r="E963" s="245"/>
      <c r="F963" s="245"/>
      <c r="G963" s="579"/>
      <c r="H963" s="245"/>
      <c r="I963" s="245"/>
      <c r="J963" s="245"/>
      <c r="K963" s="245"/>
      <c r="L963" s="245"/>
      <c r="N963" s="579"/>
      <c r="O963" s="579"/>
      <c r="P963" s="579"/>
      <c r="Q963" s="66"/>
      <c r="R963" s="66"/>
      <c r="S963" s="66"/>
    </row>
    <row r="964" spans="2:19" x14ac:dyDescent="0.2">
      <c r="B964" s="245"/>
      <c r="C964" s="245"/>
      <c r="D964" s="245"/>
      <c r="E964" s="245"/>
      <c r="F964" s="245"/>
      <c r="G964" s="579"/>
      <c r="H964" s="245"/>
      <c r="I964" s="245"/>
      <c r="J964" s="245"/>
      <c r="K964" s="245"/>
      <c r="L964" s="245"/>
      <c r="N964" s="579"/>
      <c r="O964" s="579"/>
      <c r="P964" s="579"/>
      <c r="Q964" s="66"/>
      <c r="R964" s="66"/>
      <c r="S964" s="66"/>
    </row>
    <row r="965" spans="2:19" x14ac:dyDescent="0.2">
      <c r="B965" s="245"/>
      <c r="C965" s="245"/>
      <c r="D965" s="245"/>
      <c r="E965" s="245"/>
      <c r="F965" s="245"/>
      <c r="G965" s="579"/>
      <c r="H965" s="245"/>
      <c r="I965" s="245"/>
      <c r="J965" s="245"/>
      <c r="K965" s="245"/>
      <c r="L965" s="245"/>
      <c r="N965" s="579"/>
      <c r="O965" s="579"/>
      <c r="P965" s="579"/>
      <c r="Q965" s="66"/>
      <c r="R965" s="66"/>
      <c r="S965" s="66"/>
    </row>
    <row r="966" spans="2:19" x14ac:dyDescent="0.2">
      <c r="B966" s="245"/>
      <c r="C966" s="245"/>
      <c r="D966" s="245"/>
      <c r="E966" s="245"/>
      <c r="F966" s="245"/>
      <c r="G966" s="579"/>
      <c r="H966" s="245"/>
      <c r="I966" s="245"/>
      <c r="J966" s="245"/>
      <c r="K966" s="245"/>
      <c r="L966" s="245"/>
      <c r="N966" s="579"/>
      <c r="O966" s="579"/>
      <c r="P966" s="579"/>
      <c r="Q966" s="66"/>
      <c r="R966" s="66"/>
      <c r="S966" s="66"/>
    </row>
    <row r="967" spans="2:19" x14ac:dyDescent="0.2">
      <c r="B967" s="245"/>
      <c r="C967" s="245"/>
      <c r="D967" s="245"/>
      <c r="E967" s="245"/>
      <c r="F967" s="245"/>
      <c r="G967" s="579"/>
      <c r="H967" s="245"/>
      <c r="I967" s="245"/>
      <c r="J967" s="245"/>
      <c r="K967" s="245"/>
      <c r="L967" s="245"/>
      <c r="N967" s="579"/>
      <c r="O967" s="579"/>
      <c r="P967" s="579"/>
      <c r="Q967" s="66"/>
      <c r="R967" s="66"/>
      <c r="S967" s="66"/>
    </row>
    <row r="968" spans="2:19" x14ac:dyDescent="0.2">
      <c r="B968" s="245"/>
      <c r="C968" s="245"/>
      <c r="D968" s="245"/>
      <c r="E968" s="245"/>
      <c r="F968" s="245"/>
      <c r="G968" s="579"/>
      <c r="H968" s="245"/>
      <c r="I968" s="245"/>
      <c r="J968" s="245"/>
      <c r="K968" s="245"/>
      <c r="L968" s="245"/>
      <c r="N968" s="579"/>
      <c r="O968" s="579"/>
      <c r="P968" s="579"/>
      <c r="Q968" s="66"/>
      <c r="R968" s="66"/>
      <c r="S968" s="66"/>
    </row>
    <row r="969" spans="2:19" x14ac:dyDescent="0.2">
      <c r="B969" s="245"/>
      <c r="C969" s="245"/>
      <c r="D969" s="245"/>
      <c r="E969" s="245"/>
      <c r="F969" s="245"/>
      <c r="G969" s="579"/>
      <c r="H969" s="245"/>
      <c r="I969" s="245"/>
      <c r="J969" s="245"/>
      <c r="K969" s="245"/>
      <c r="L969" s="245"/>
      <c r="N969" s="579"/>
      <c r="O969" s="579"/>
      <c r="P969" s="579"/>
      <c r="Q969" s="66"/>
      <c r="R969" s="66"/>
      <c r="S969" s="66"/>
    </row>
    <row r="970" spans="2:19" x14ac:dyDescent="0.2">
      <c r="B970" s="245"/>
      <c r="C970" s="245"/>
      <c r="D970" s="245"/>
      <c r="E970" s="245"/>
      <c r="F970" s="245"/>
      <c r="G970" s="579"/>
      <c r="H970" s="245"/>
      <c r="I970" s="245"/>
      <c r="J970" s="245"/>
      <c r="K970" s="245"/>
      <c r="L970" s="245"/>
      <c r="N970" s="579"/>
      <c r="O970" s="579"/>
      <c r="P970" s="579"/>
      <c r="Q970" s="66"/>
      <c r="R970" s="66"/>
      <c r="S970" s="66"/>
    </row>
    <row r="971" spans="2:19" x14ac:dyDescent="0.2">
      <c r="B971" s="245"/>
      <c r="C971" s="245"/>
      <c r="D971" s="245"/>
      <c r="E971" s="245"/>
      <c r="F971" s="245"/>
      <c r="G971" s="579"/>
      <c r="H971" s="245"/>
      <c r="I971" s="245"/>
      <c r="J971" s="245"/>
      <c r="K971" s="245"/>
      <c r="L971" s="245"/>
      <c r="N971" s="579"/>
      <c r="O971" s="579"/>
      <c r="P971" s="579"/>
      <c r="Q971" s="66"/>
      <c r="R971" s="66"/>
      <c r="S971" s="66"/>
    </row>
    <row r="972" spans="2:19" x14ac:dyDescent="0.2">
      <c r="B972" s="245"/>
      <c r="C972" s="245"/>
      <c r="D972" s="245"/>
      <c r="E972" s="245"/>
      <c r="F972" s="245"/>
      <c r="G972" s="579"/>
      <c r="H972" s="245"/>
      <c r="I972" s="245"/>
      <c r="J972" s="245"/>
      <c r="K972" s="245"/>
      <c r="L972" s="245"/>
      <c r="N972" s="579"/>
      <c r="O972" s="579"/>
      <c r="P972" s="579"/>
      <c r="Q972" s="66"/>
      <c r="R972" s="66"/>
      <c r="S972" s="66"/>
    </row>
    <row r="973" spans="2:19" x14ac:dyDescent="0.2">
      <c r="B973" s="245"/>
      <c r="C973" s="245"/>
      <c r="D973" s="245"/>
      <c r="E973" s="245"/>
      <c r="F973" s="245"/>
      <c r="G973" s="579"/>
      <c r="H973" s="245"/>
      <c r="I973" s="245"/>
      <c r="J973" s="245"/>
      <c r="K973" s="245"/>
      <c r="L973" s="245"/>
      <c r="N973" s="579"/>
      <c r="O973" s="579"/>
      <c r="P973" s="579"/>
      <c r="Q973" s="66"/>
      <c r="R973" s="66"/>
      <c r="S973" s="66"/>
    </row>
    <row r="974" spans="2:19" x14ac:dyDescent="0.2">
      <c r="B974" s="245"/>
      <c r="C974" s="245"/>
      <c r="D974" s="245"/>
      <c r="E974" s="245"/>
      <c r="F974" s="245"/>
      <c r="G974" s="579"/>
      <c r="H974" s="245"/>
      <c r="I974" s="245"/>
      <c r="J974" s="245"/>
      <c r="K974" s="245"/>
      <c r="L974" s="245"/>
      <c r="N974" s="579"/>
      <c r="O974" s="579"/>
      <c r="P974" s="579"/>
      <c r="Q974" s="66"/>
      <c r="R974" s="66"/>
      <c r="S974" s="66"/>
    </row>
    <row r="975" spans="2:19" x14ac:dyDescent="0.2">
      <c r="B975" s="245"/>
      <c r="C975" s="245"/>
      <c r="D975" s="245"/>
      <c r="E975" s="245"/>
      <c r="F975" s="245"/>
      <c r="G975" s="579"/>
      <c r="H975" s="245"/>
      <c r="I975" s="245"/>
      <c r="J975" s="245"/>
      <c r="K975" s="245"/>
      <c r="L975" s="245"/>
      <c r="N975" s="579"/>
      <c r="O975" s="579"/>
      <c r="P975" s="579"/>
      <c r="Q975" s="66"/>
      <c r="R975" s="66"/>
      <c r="S975" s="66"/>
    </row>
    <row r="976" spans="2:19" x14ac:dyDescent="0.2">
      <c r="B976" s="245"/>
      <c r="C976" s="245"/>
      <c r="D976" s="245"/>
      <c r="E976" s="245"/>
      <c r="F976" s="245"/>
      <c r="G976" s="579"/>
      <c r="H976" s="245"/>
      <c r="I976" s="245"/>
      <c r="J976" s="245"/>
      <c r="K976" s="245"/>
      <c r="L976" s="245"/>
      <c r="N976" s="579"/>
      <c r="O976" s="579"/>
      <c r="P976" s="579"/>
      <c r="Q976" s="66"/>
      <c r="R976" s="66"/>
      <c r="S976" s="66"/>
    </row>
    <row r="977" spans="2:19" x14ac:dyDescent="0.2">
      <c r="B977" s="245"/>
      <c r="C977" s="245"/>
      <c r="D977" s="245"/>
      <c r="E977" s="245"/>
      <c r="F977" s="245"/>
      <c r="G977" s="579"/>
      <c r="H977" s="245"/>
      <c r="I977" s="245"/>
      <c r="J977" s="245"/>
      <c r="K977" s="245"/>
      <c r="L977" s="245"/>
      <c r="N977" s="579"/>
      <c r="O977" s="579"/>
      <c r="P977" s="579"/>
      <c r="Q977" s="66"/>
      <c r="R977" s="66"/>
      <c r="S977" s="66"/>
    </row>
    <row r="978" spans="2:19" x14ac:dyDescent="0.2">
      <c r="B978" s="245"/>
      <c r="C978" s="245"/>
      <c r="D978" s="245"/>
      <c r="E978" s="245"/>
      <c r="F978" s="245"/>
      <c r="G978" s="579"/>
      <c r="H978" s="245"/>
      <c r="I978" s="245"/>
      <c r="J978" s="245"/>
      <c r="K978" s="245"/>
      <c r="L978" s="245"/>
      <c r="N978" s="579"/>
      <c r="O978" s="579"/>
      <c r="P978" s="579"/>
      <c r="Q978" s="66"/>
      <c r="R978" s="66"/>
      <c r="S978" s="66"/>
    </row>
    <row r="979" spans="2:19" x14ac:dyDescent="0.2">
      <c r="B979" s="245"/>
      <c r="C979" s="245"/>
      <c r="D979" s="245"/>
      <c r="E979" s="245"/>
      <c r="F979" s="245"/>
      <c r="G979" s="579"/>
      <c r="H979" s="245"/>
      <c r="I979" s="245"/>
      <c r="J979" s="245"/>
      <c r="K979" s="245"/>
      <c r="L979" s="245"/>
      <c r="N979" s="579"/>
      <c r="O979" s="579"/>
      <c r="P979" s="579"/>
      <c r="Q979" s="66"/>
      <c r="R979" s="66"/>
      <c r="S979" s="66"/>
    </row>
    <row r="980" spans="2:19" x14ac:dyDescent="0.2">
      <c r="B980" s="245"/>
      <c r="C980" s="245"/>
      <c r="D980" s="245"/>
      <c r="E980" s="245"/>
      <c r="F980" s="245"/>
      <c r="G980" s="579"/>
      <c r="H980" s="245"/>
      <c r="I980" s="245"/>
      <c r="J980" s="245"/>
      <c r="K980" s="245"/>
      <c r="L980" s="245"/>
      <c r="N980" s="579"/>
      <c r="O980" s="579"/>
      <c r="P980" s="579"/>
      <c r="Q980" s="66"/>
      <c r="R980" s="66"/>
      <c r="S980" s="66"/>
    </row>
    <row r="981" spans="2:19" x14ac:dyDescent="0.2">
      <c r="B981" s="245"/>
      <c r="C981" s="245"/>
      <c r="D981" s="245"/>
      <c r="E981" s="245"/>
      <c r="F981" s="245"/>
      <c r="G981" s="579"/>
      <c r="H981" s="245"/>
      <c r="I981" s="245"/>
      <c r="J981" s="245"/>
      <c r="K981" s="245"/>
      <c r="L981" s="245"/>
      <c r="N981" s="579"/>
      <c r="O981" s="579"/>
      <c r="P981" s="579"/>
      <c r="Q981" s="66"/>
      <c r="R981" s="66"/>
      <c r="S981" s="66"/>
    </row>
    <row r="982" spans="2:19" x14ac:dyDescent="0.2">
      <c r="B982" s="245"/>
      <c r="C982" s="245"/>
      <c r="D982" s="245"/>
      <c r="E982" s="245"/>
      <c r="F982" s="245"/>
      <c r="G982" s="579"/>
      <c r="H982" s="245"/>
      <c r="I982" s="245"/>
      <c r="J982" s="245"/>
      <c r="K982" s="245"/>
      <c r="L982" s="245"/>
      <c r="N982" s="579"/>
      <c r="O982" s="579"/>
      <c r="P982" s="579"/>
      <c r="Q982" s="66"/>
      <c r="R982" s="66"/>
      <c r="S982" s="66"/>
    </row>
    <row r="983" spans="2:19" x14ac:dyDescent="0.2">
      <c r="B983" s="245"/>
      <c r="C983" s="245"/>
      <c r="D983" s="245"/>
      <c r="E983" s="245"/>
      <c r="F983" s="245"/>
      <c r="G983" s="579"/>
      <c r="H983" s="245"/>
      <c r="I983" s="245"/>
      <c r="J983" s="245"/>
      <c r="K983" s="245"/>
      <c r="L983" s="245"/>
      <c r="N983" s="579"/>
      <c r="O983" s="579"/>
      <c r="P983" s="579"/>
      <c r="Q983" s="66"/>
      <c r="R983" s="66"/>
      <c r="S983" s="66"/>
    </row>
    <row r="984" spans="2:19" x14ac:dyDescent="0.2">
      <c r="B984" s="245"/>
      <c r="C984" s="245"/>
      <c r="D984" s="245"/>
      <c r="E984" s="245"/>
      <c r="F984" s="245"/>
      <c r="G984" s="579"/>
      <c r="H984" s="245"/>
      <c r="I984" s="245"/>
      <c r="J984" s="245"/>
      <c r="K984" s="245"/>
      <c r="L984" s="245"/>
      <c r="N984" s="579"/>
      <c r="O984" s="579"/>
      <c r="P984" s="579"/>
      <c r="Q984" s="66"/>
      <c r="R984" s="66"/>
      <c r="S984" s="66"/>
    </row>
    <row r="985" spans="2:19" x14ac:dyDescent="0.2">
      <c r="B985" s="245"/>
      <c r="C985" s="245"/>
      <c r="D985" s="245"/>
      <c r="E985" s="245"/>
      <c r="F985" s="245"/>
      <c r="G985" s="579"/>
      <c r="H985" s="245"/>
      <c r="I985" s="245"/>
      <c r="J985" s="245"/>
      <c r="K985" s="245"/>
      <c r="L985" s="245"/>
      <c r="N985" s="579"/>
      <c r="O985" s="579"/>
      <c r="P985" s="579"/>
      <c r="Q985" s="66"/>
      <c r="R985" s="66"/>
      <c r="S985" s="66"/>
    </row>
    <row r="986" spans="2:19" x14ac:dyDescent="0.2">
      <c r="B986" s="245"/>
      <c r="C986" s="245"/>
      <c r="D986" s="245"/>
      <c r="E986" s="245"/>
      <c r="F986" s="245"/>
      <c r="G986" s="579"/>
      <c r="H986" s="245"/>
      <c r="I986" s="245"/>
      <c r="J986" s="245"/>
      <c r="K986" s="245"/>
      <c r="L986" s="245"/>
      <c r="N986" s="579"/>
      <c r="O986" s="579"/>
      <c r="P986" s="579"/>
      <c r="Q986" s="66"/>
      <c r="R986" s="66"/>
      <c r="S986" s="66"/>
    </row>
    <row r="987" spans="2:19" x14ac:dyDescent="0.2">
      <c r="B987" s="245"/>
      <c r="C987" s="245"/>
      <c r="D987" s="245"/>
      <c r="E987" s="245"/>
      <c r="F987" s="245"/>
      <c r="G987" s="579"/>
      <c r="H987" s="245"/>
      <c r="I987" s="245"/>
      <c r="J987" s="245"/>
      <c r="K987" s="245"/>
      <c r="L987" s="245"/>
      <c r="N987" s="579"/>
      <c r="O987" s="579"/>
      <c r="P987" s="579"/>
      <c r="Q987" s="66"/>
      <c r="R987" s="66"/>
      <c r="S987" s="66"/>
    </row>
    <row r="988" spans="2:19" x14ac:dyDescent="0.2">
      <c r="B988" s="245"/>
      <c r="C988" s="245"/>
      <c r="D988" s="245"/>
      <c r="E988" s="245"/>
      <c r="F988" s="245"/>
      <c r="G988" s="579"/>
      <c r="H988" s="245"/>
      <c r="I988" s="245"/>
      <c r="J988" s="245"/>
      <c r="K988" s="245"/>
      <c r="L988" s="245"/>
      <c r="N988" s="579"/>
      <c r="O988" s="579"/>
      <c r="P988" s="579"/>
      <c r="Q988" s="66"/>
      <c r="R988" s="66"/>
      <c r="S988" s="66"/>
    </row>
    <row r="989" spans="2:19" x14ac:dyDescent="0.2">
      <c r="B989" s="245"/>
      <c r="C989" s="245"/>
      <c r="D989" s="245"/>
      <c r="E989" s="245"/>
      <c r="F989" s="245"/>
      <c r="G989" s="579"/>
      <c r="H989" s="245"/>
      <c r="I989" s="245"/>
      <c r="J989" s="245"/>
      <c r="K989" s="245"/>
      <c r="L989" s="245"/>
      <c r="N989" s="579"/>
      <c r="O989" s="579"/>
      <c r="P989" s="579"/>
      <c r="Q989" s="66"/>
      <c r="R989" s="66"/>
      <c r="S989" s="66"/>
    </row>
    <row r="990" spans="2:19" x14ac:dyDescent="0.2">
      <c r="B990" s="245"/>
      <c r="C990" s="245"/>
      <c r="D990" s="245"/>
      <c r="E990" s="245"/>
      <c r="F990" s="245"/>
      <c r="G990" s="579"/>
      <c r="H990" s="245"/>
      <c r="I990" s="245"/>
      <c r="J990" s="245"/>
      <c r="K990" s="245"/>
      <c r="L990" s="245"/>
      <c r="N990" s="579"/>
      <c r="O990" s="579"/>
      <c r="P990" s="579"/>
      <c r="Q990" s="66"/>
      <c r="R990" s="66"/>
      <c r="S990" s="66"/>
    </row>
    <row r="991" spans="2:19" x14ac:dyDescent="0.2">
      <c r="B991" s="245"/>
      <c r="C991" s="245"/>
      <c r="D991" s="245"/>
      <c r="E991" s="245"/>
      <c r="F991" s="245"/>
      <c r="G991" s="579"/>
      <c r="H991" s="245"/>
      <c r="I991" s="245"/>
      <c r="J991" s="245"/>
      <c r="K991" s="245"/>
      <c r="L991" s="245"/>
      <c r="N991" s="579"/>
      <c r="O991" s="579"/>
      <c r="P991" s="579"/>
      <c r="Q991" s="66"/>
      <c r="R991" s="66"/>
      <c r="S991" s="66"/>
    </row>
    <row r="992" spans="2:19" x14ac:dyDescent="0.2">
      <c r="B992" s="245"/>
      <c r="C992" s="245"/>
      <c r="D992" s="245"/>
      <c r="E992" s="245"/>
      <c r="F992" s="245"/>
      <c r="G992" s="579"/>
      <c r="H992" s="245"/>
      <c r="I992" s="245"/>
      <c r="J992" s="245"/>
      <c r="K992" s="245"/>
      <c r="L992" s="245"/>
      <c r="N992" s="579"/>
      <c r="O992" s="579"/>
      <c r="P992" s="579"/>
      <c r="Q992" s="66"/>
      <c r="R992" s="66"/>
      <c r="S992" s="66"/>
    </row>
    <row r="993" spans="2:19" x14ac:dyDescent="0.2">
      <c r="B993" s="245"/>
      <c r="C993" s="245"/>
      <c r="D993" s="245"/>
      <c r="E993" s="245"/>
      <c r="F993" s="245"/>
      <c r="G993" s="579"/>
      <c r="H993" s="245"/>
      <c r="I993" s="245"/>
      <c r="J993" s="245"/>
      <c r="K993" s="245"/>
      <c r="L993" s="245"/>
      <c r="N993" s="579"/>
      <c r="O993" s="579"/>
      <c r="P993" s="579"/>
      <c r="Q993" s="66"/>
      <c r="R993" s="66"/>
      <c r="S993" s="66"/>
    </row>
    <row r="994" spans="2:19" x14ac:dyDescent="0.2">
      <c r="B994" s="245"/>
      <c r="C994" s="245"/>
      <c r="D994" s="245"/>
      <c r="E994" s="245"/>
      <c r="F994" s="245"/>
      <c r="G994" s="579"/>
      <c r="H994" s="245"/>
      <c r="I994" s="245"/>
      <c r="J994" s="245"/>
      <c r="K994" s="245"/>
      <c r="L994" s="245"/>
      <c r="N994" s="579"/>
      <c r="O994" s="579"/>
      <c r="P994" s="579"/>
      <c r="Q994" s="66"/>
      <c r="R994" s="66"/>
      <c r="S994" s="66"/>
    </row>
    <row r="995" spans="2:19" x14ac:dyDescent="0.2">
      <c r="B995" s="245"/>
      <c r="C995" s="245"/>
      <c r="D995" s="245"/>
      <c r="E995" s="245"/>
      <c r="F995" s="245"/>
      <c r="G995" s="579"/>
      <c r="H995" s="245"/>
      <c r="I995" s="245"/>
      <c r="J995" s="245"/>
      <c r="K995" s="245"/>
      <c r="L995" s="245"/>
      <c r="N995" s="579"/>
      <c r="O995" s="579"/>
      <c r="P995" s="579"/>
      <c r="Q995" s="66"/>
      <c r="R995" s="66"/>
      <c r="S995" s="66"/>
    </row>
    <row r="996" spans="2:19" x14ac:dyDescent="0.2">
      <c r="B996" s="245"/>
      <c r="C996" s="245"/>
      <c r="D996" s="245"/>
      <c r="E996" s="245"/>
      <c r="F996" s="245"/>
      <c r="G996" s="579"/>
      <c r="H996" s="245"/>
      <c r="I996" s="245"/>
      <c r="J996" s="245"/>
      <c r="K996" s="245"/>
      <c r="L996" s="245"/>
      <c r="N996" s="579"/>
      <c r="O996" s="579"/>
      <c r="P996" s="579"/>
      <c r="Q996" s="66"/>
      <c r="R996" s="66"/>
      <c r="S996" s="66"/>
    </row>
    <row r="997" spans="2:19" x14ac:dyDescent="0.2">
      <c r="B997" s="245"/>
      <c r="C997" s="245"/>
      <c r="D997" s="245"/>
      <c r="E997" s="245"/>
      <c r="F997" s="245"/>
      <c r="G997" s="579"/>
      <c r="H997" s="245"/>
      <c r="I997" s="245"/>
      <c r="J997" s="245"/>
      <c r="K997" s="245"/>
      <c r="L997" s="245"/>
      <c r="N997" s="579"/>
      <c r="O997" s="579"/>
      <c r="P997" s="579"/>
      <c r="Q997" s="66"/>
      <c r="R997" s="66"/>
      <c r="S997" s="66"/>
    </row>
    <row r="998" spans="2:19" x14ac:dyDescent="0.2">
      <c r="B998" s="245"/>
      <c r="C998" s="245"/>
      <c r="D998" s="245"/>
      <c r="E998" s="245"/>
      <c r="F998" s="245"/>
      <c r="G998" s="579"/>
      <c r="H998" s="245"/>
      <c r="I998" s="245"/>
      <c r="J998" s="245"/>
      <c r="K998" s="245"/>
      <c r="L998" s="245"/>
      <c r="N998" s="579"/>
      <c r="O998" s="579"/>
      <c r="P998" s="579"/>
      <c r="Q998" s="66"/>
      <c r="R998" s="66"/>
      <c r="S998" s="66"/>
    </row>
    <row r="999" spans="2:19" x14ac:dyDescent="0.2">
      <c r="B999" s="245"/>
      <c r="C999" s="245"/>
      <c r="D999" s="245"/>
      <c r="E999" s="245"/>
      <c r="F999" s="245"/>
      <c r="G999" s="579"/>
      <c r="H999" s="245"/>
      <c r="I999" s="245"/>
      <c r="J999" s="245"/>
      <c r="K999" s="245"/>
      <c r="L999" s="245"/>
      <c r="N999" s="579"/>
      <c r="O999" s="579"/>
      <c r="P999" s="579"/>
      <c r="Q999" s="66"/>
      <c r="R999" s="66"/>
      <c r="S999" s="66"/>
    </row>
    <row r="1000" spans="2:19" x14ac:dyDescent="0.2">
      <c r="B1000" s="245"/>
      <c r="C1000" s="245"/>
      <c r="D1000" s="245"/>
      <c r="E1000" s="245"/>
      <c r="F1000" s="245"/>
      <c r="G1000" s="579"/>
      <c r="H1000" s="245"/>
      <c r="I1000" s="245"/>
      <c r="J1000" s="245"/>
      <c r="K1000" s="245"/>
      <c r="L1000" s="245"/>
      <c r="N1000" s="579"/>
      <c r="O1000" s="579"/>
      <c r="P1000" s="579"/>
      <c r="Q1000" s="66"/>
      <c r="R1000" s="66"/>
      <c r="S1000" s="66"/>
    </row>
    <row r="1001" spans="2:19" x14ac:dyDescent="0.2">
      <c r="B1001" s="245"/>
      <c r="C1001" s="245"/>
      <c r="D1001" s="245"/>
      <c r="E1001" s="245"/>
      <c r="F1001" s="245"/>
      <c r="G1001" s="579"/>
      <c r="H1001" s="245"/>
      <c r="I1001" s="245"/>
      <c r="J1001" s="245"/>
      <c r="K1001" s="245"/>
      <c r="L1001" s="245"/>
      <c r="N1001" s="579"/>
      <c r="O1001" s="579"/>
      <c r="P1001" s="579"/>
      <c r="Q1001" s="66"/>
      <c r="R1001" s="66"/>
      <c r="S1001" s="66"/>
    </row>
    <row r="1002" spans="2:19" x14ac:dyDescent="0.2">
      <c r="B1002" s="245"/>
      <c r="C1002" s="245"/>
      <c r="D1002" s="245"/>
      <c r="E1002" s="245"/>
      <c r="F1002" s="245"/>
      <c r="G1002" s="579"/>
      <c r="H1002" s="245"/>
      <c r="I1002" s="245"/>
      <c r="J1002" s="245"/>
      <c r="K1002" s="245"/>
      <c r="L1002" s="245"/>
      <c r="N1002" s="579"/>
      <c r="O1002" s="579"/>
      <c r="P1002" s="579"/>
      <c r="Q1002" s="66"/>
      <c r="R1002" s="66"/>
      <c r="S1002" s="66"/>
    </row>
    <row r="1003" spans="2:19" x14ac:dyDescent="0.2">
      <c r="B1003" s="245"/>
      <c r="C1003" s="245"/>
      <c r="D1003" s="245"/>
      <c r="E1003" s="245"/>
      <c r="F1003" s="245"/>
      <c r="G1003" s="579"/>
      <c r="H1003" s="245"/>
      <c r="I1003" s="245"/>
      <c r="J1003" s="245"/>
      <c r="K1003" s="245"/>
      <c r="L1003" s="245"/>
      <c r="N1003" s="579"/>
      <c r="O1003" s="579"/>
      <c r="P1003" s="579"/>
      <c r="Q1003" s="66"/>
      <c r="R1003" s="66"/>
      <c r="S1003" s="66"/>
    </row>
    <row r="1004" spans="2:19" x14ac:dyDescent="0.2">
      <c r="B1004" s="245"/>
      <c r="C1004" s="245"/>
      <c r="D1004" s="245"/>
      <c r="E1004" s="245"/>
      <c r="F1004" s="245"/>
      <c r="G1004" s="579"/>
      <c r="H1004" s="245"/>
      <c r="I1004" s="245"/>
      <c r="J1004" s="245"/>
      <c r="K1004" s="245"/>
      <c r="L1004" s="245"/>
      <c r="N1004" s="579"/>
      <c r="O1004" s="579"/>
      <c r="P1004" s="579"/>
      <c r="Q1004" s="66"/>
      <c r="R1004" s="66"/>
      <c r="S1004" s="66"/>
    </row>
    <row r="1005" spans="2:19" x14ac:dyDescent="0.2">
      <c r="B1005" s="245"/>
      <c r="C1005" s="245"/>
      <c r="D1005" s="245"/>
      <c r="E1005" s="245"/>
      <c r="F1005" s="245"/>
      <c r="G1005" s="579"/>
      <c r="H1005" s="245"/>
      <c r="I1005" s="245"/>
      <c r="J1005" s="245"/>
      <c r="K1005" s="245"/>
      <c r="L1005" s="245"/>
      <c r="N1005" s="579"/>
      <c r="O1005" s="579"/>
      <c r="P1005" s="579"/>
      <c r="Q1005" s="66"/>
      <c r="R1005" s="66"/>
      <c r="S1005" s="66"/>
    </row>
    <row r="1006" spans="2:19" x14ac:dyDescent="0.2">
      <c r="B1006" s="245"/>
      <c r="C1006" s="245"/>
      <c r="D1006" s="245"/>
      <c r="E1006" s="245"/>
      <c r="F1006" s="245"/>
      <c r="G1006" s="579"/>
      <c r="H1006" s="245"/>
      <c r="I1006" s="245"/>
      <c r="J1006" s="245"/>
      <c r="K1006" s="245"/>
      <c r="L1006" s="245"/>
      <c r="N1006" s="579"/>
      <c r="O1006" s="579"/>
      <c r="P1006" s="579"/>
      <c r="Q1006" s="66"/>
      <c r="R1006" s="66"/>
      <c r="S1006" s="66"/>
    </row>
    <row r="1007" spans="2:19" x14ac:dyDescent="0.2">
      <c r="B1007" s="245"/>
      <c r="C1007" s="245"/>
      <c r="D1007" s="245"/>
      <c r="E1007" s="245"/>
      <c r="F1007" s="245"/>
      <c r="G1007" s="579"/>
      <c r="H1007" s="245"/>
      <c r="I1007" s="245"/>
      <c r="J1007" s="245"/>
      <c r="K1007" s="245"/>
      <c r="L1007" s="245"/>
      <c r="N1007" s="579"/>
      <c r="O1007" s="579"/>
      <c r="P1007" s="579"/>
      <c r="Q1007" s="66"/>
      <c r="R1007" s="66"/>
      <c r="S1007" s="66"/>
    </row>
    <row r="1008" spans="2:19" x14ac:dyDescent="0.2">
      <c r="B1008" s="245"/>
      <c r="C1008" s="245"/>
      <c r="D1008" s="245"/>
      <c r="E1008" s="245"/>
      <c r="F1008" s="245"/>
      <c r="G1008" s="579"/>
      <c r="H1008" s="245"/>
      <c r="I1008" s="245"/>
      <c r="J1008" s="245"/>
      <c r="K1008" s="245"/>
      <c r="L1008" s="245"/>
      <c r="N1008" s="579"/>
      <c r="O1008" s="579"/>
      <c r="P1008" s="579"/>
      <c r="Q1008" s="66"/>
      <c r="R1008" s="66"/>
      <c r="S1008" s="66"/>
    </row>
    <row r="1009" spans="2:19" x14ac:dyDescent="0.2">
      <c r="B1009" s="245"/>
      <c r="C1009" s="245"/>
      <c r="D1009" s="245"/>
      <c r="E1009" s="245"/>
      <c r="F1009" s="245"/>
      <c r="G1009" s="579"/>
      <c r="H1009" s="245"/>
      <c r="I1009" s="245"/>
      <c r="J1009" s="245"/>
      <c r="K1009" s="245"/>
      <c r="L1009" s="245"/>
      <c r="N1009" s="579"/>
      <c r="O1009" s="579"/>
      <c r="P1009" s="579"/>
      <c r="Q1009" s="66"/>
      <c r="R1009" s="66"/>
      <c r="S1009" s="66"/>
    </row>
    <row r="1010" spans="2:19" x14ac:dyDescent="0.2">
      <c r="B1010" s="245"/>
      <c r="C1010" s="245"/>
      <c r="D1010" s="245"/>
      <c r="E1010" s="245"/>
      <c r="F1010" s="245"/>
      <c r="G1010" s="579"/>
      <c r="H1010" s="245"/>
      <c r="I1010" s="245"/>
      <c r="J1010" s="245"/>
      <c r="K1010" s="245"/>
      <c r="L1010" s="245"/>
      <c r="N1010" s="579"/>
      <c r="O1010" s="579"/>
      <c r="P1010" s="579"/>
      <c r="Q1010" s="66"/>
      <c r="R1010" s="66"/>
      <c r="S1010" s="66"/>
    </row>
    <row r="1011" spans="2:19" x14ac:dyDescent="0.2">
      <c r="B1011" s="245"/>
      <c r="C1011" s="245"/>
      <c r="D1011" s="245"/>
      <c r="E1011" s="245"/>
      <c r="F1011" s="245"/>
      <c r="G1011" s="579"/>
      <c r="H1011" s="245"/>
      <c r="I1011" s="245"/>
      <c r="J1011" s="245"/>
      <c r="K1011" s="245"/>
      <c r="L1011" s="245"/>
      <c r="N1011" s="579"/>
      <c r="O1011" s="579"/>
      <c r="P1011" s="579"/>
      <c r="Q1011" s="66"/>
      <c r="R1011" s="66"/>
      <c r="S1011" s="66"/>
    </row>
    <row r="1012" spans="2:19" x14ac:dyDescent="0.2">
      <c r="B1012" s="245"/>
      <c r="C1012" s="245"/>
      <c r="D1012" s="245"/>
      <c r="E1012" s="245"/>
      <c r="F1012" s="245"/>
      <c r="G1012" s="579"/>
      <c r="H1012" s="245"/>
      <c r="I1012" s="245"/>
      <c r="J1012" s="245"/>
      <c r="K1012" s="245"/>
      <c r="L1012" s="245"/>
      <c r="N1012" s="579"/>
      <c r="O1012" s="579"/>
      <c r="P1012" s="579"/>
      <c r="Q1012" s="66"/>
      <c r="R1012" s="66"/>
      <c r="S1012" s="66"/>
    </row>
    <row r="1013" spans="2:19" x14ac:dyDescent="0.2">
      <c r="B1013" s="245"/>
      <c r="C1013" s="245"/>
      <c r="D1013" s="245"/>
      <c r="E1013" s="245"/>
      <c r="F1013" s="245"/>
      <c r="G1013" s="579"/>
      <c r="H1013" s="245"/>
      <c r="I1013" s="245"/>
      <c r="J1013" s="245"/>
      <c r="K1013" s="245"/>
      <c r="L1013" s="245"/>
      <c r="N1013" s="579"/>
      <c r="O1013" s="579"/>
      <c r="P1013" s="579"/>
      <c r="Q1013" s="66"/>
      <c r="R1013" s="66"/>
      <c r="S1013" s="66"/>
    </row>
    <row r="1014" spans="2:19" x14ac:dyDescent="0.2">
      <c r="B1014" s="245"/>
      <c r="C1014" s="245"/>
      <c r="D1014" s="245"/>
      <c r="E1014" s="245"/>
      <c r="F1014" s="245"/>
      <c r="G1014" s="579"/>
      <c r="H1014" s="245"/>
      <c r="I1014" s="245"/>
      <c r="J1014" s="245"/>
      <c r="K1014" s="245"/>
      <c r="L1014" s="245"/>
      <c r="N1014" s="579"/>
      <c r="O1014" s="579"/>
      <c r="P1014" s="579"/>
      <c r="Q1014" s="66"/>
      <c r="R1014" s="66"/>
      <c r="S1014" s="66"/>
    </row>
    <row r="1015" spans="2:19" x14ac:dyDescent="0.2">
      <c r="B1015" s="245"/>
      <c r="C1015" s="245"/>
      <c r="D1015" s="245"/>
      <c r="E1015" s="245"/>
      <c r="F1015" s="245"/>
      <c r="G1015" s="579"/>
      <c r="H1015" s="245"/>
      <c r="I1015" s="245"/>
      <c r="J1015" s="245"/>
      <c r="K1015" s="245"/>
      <c r="L1015" s="245"/>
      <c r="N1015" s="579"/>
      <c r="O1015" s="579"/>
      <c r="P1015" s="579"/>
      <c r="Q1015" s="66"/>
      <c r="R1015" s="66"/>
      <c r="S1015" s="66"/>
    </row>
    <row r="1016" spans="2:19" x14ac:dyDescent="0.2">
      <c r="B1016" s="245"/>
      <c r="C1016" s="245"/>
      <c r="D1016" s="245"/>
      <c r="E1016" s="245"/>
      <c r="F1016" s="245"/>
      <c r="G1016" s="579"/>
      <c r="H1016" s="245"/>
      <c r="I1016" s="245"/>
      <c r="J1016" s="245"/>
      <c r="K1016" s="245"/>
      <c r="L1016" s="245"/>
      <c r="N1016" s="579"/>
      <c r="O1016" s="579"/>
      <c r="P1016" s="579"/>
      <c r="Q1016" s="66"/>
      <c r="R1016" s="66"/>
      <c r="S1016" s="66"/>
    </row>
    <row r="1017" spans="2:19" x14ac:dyDescent="0.2">
      <c r="B1017" s="245"/>
      <c r="C1017" s="245"/>
      <c r="D1017" s="245"/>
      <c r="E1017" s="245"/>
      <c r="F1017" s="245"/>
      <c r="G1017" s="579"/>
      <c r="H1017" s="245"/>
      <c r="I1017" s="245"/>
      <c r="J1017" s="245"/>
      <c r="K1017" s="245"/>
      <c r="L1017" s="245"/>
      <c r="N1017" s="579"/>
      <c r="O1017" s="579"/>
      <c r="P1017" s="579"/>
      <c r="Q1017" s="66"/>
      <c r="R1017" s="66"/>
      <c r="S1017" s="66"/>
    </row>
    <row r="1018" spans="2:19" x14ac:dyDescent="0.2">
      <c r="B1018" s="245"/>
      <c r="C1018" s="245"/>
      <c r="D1018" s="245"/>
      <c r="E1018" s="245"/>
      <c r="F1018" s="245"/>
      <c r="G1018" s="579"/>
      <c r="H1018" s="245"/>
      <c r="I1018" s="245"/>
      <c r="J1018" s="245"/>
      <c r="K1018" s="245"/>
      <c r="L1018" s="245"/>
      <c r="N1018" s="579"/>
      <c r="O1018" s="579"/>
      <c r="P1018" s="579"/>
      <c r="Q1018" s="66"/>
      <c r="R1018" s="66"/>
      <c r="S1018" s="66"/>
    </row>
    <row r="1019" spans="2:19" x14ac:dyDescent="0.2">
      <c r="B1019" s="245"/>
      <c r="C1019" s="245"/>
      <c r="D1019" s="245"/>
      <c r="E1019" s="245"/>
      <c r="F1019" s="245"/>
      <c r="G1019" s="579"/>
      <c r="H1019" s="245"/>
      <c r="I1019" s="245"/>
      <c r="J1019" s="245"/>
      <c r="K1019" s="245"/>
      <c r="L1019" s="245"/>
      <c r="N1019" s="579"/>
      <c r="O1019" s="579"/>
      <c r="P1019" s="579"/>
      <c r="Q1019" s="66"/>
      <c r="R1019" s="66"/>
      <c r="S1019" s="66"/>
    </row>
    <row r="1020" spans="2:19" x14ac:dyDescent="0.2">
      <c r="B1020" s="245"/>
      <c r="C1020" s="245"/>
      <c r="D1020" s="245"/>
      <c r="E1020" s="245"/>
      <c r="F1020" s="245"/>
      <c r="G1020" s="579"/>
      <c r="H1020" s="245"/>
      <c r="I1020" s="245"/>
      <c r="J1020" s="245"/>
      <c r="K1020" s="245"/>
      <c r="L1020" s="245"/>
      <c r="N1020" s="579"/>
      <c r="O1020" s="579"/>
      <c r="P1020" s="579"/>
      <c r="Q1020" s="66"/>
      <c r="R1020" s="66"/>
      <c r="S1020" s="66"/>
    </row>
    <row r="1021" spans="2:19" x14ac:dyDescent="0.2">
      <c r="B1021" s="245"/>
      <c r="C1021" s="245"/>
      <c r="D1021" s="245"/>
      <c r="E1021" s="245"/>
      <c r="F1021" s="245"/>
      <c r="G1021" s="579"/>
      <c r="H1021" s="245"/>
      <c r="I1021" s="245"/>
      <c r="J1021" s="245"/>
      <c r="K1021" s="245"/>
      <c r="L1021" s="245"/>
      <c r="N1021" s="579"/>
      <c r="O1021" s="579"/>
      <c r="P1021" s="579"/>
      <c r="Q1021" s="66"/>
      <c r="R1021" s="66"/>
      <c r="S1021" s="66"/>
    </row>
    <row r="1022" spans="2:19" x14ac:dyDescent="0.2">
      <c r="B1022" s="245"/>
      <c r="C1022" s="245"/>
      <c r="D1022" s="245"/>
      <c r="E1022" s="245"/>
      <c r="F1022" s="245"/>
      <c r="G1022" s="579"/>
      <c r="H1022" s="245"/>
      <c r="I1022" s="245"/>
      <c r="J1022" s="245"/>
      <c r="K1022" s="245"/>
      <c r="L1022" s="245"/>
      <c r="N1022" s="579"/>
      <c r="O1022" s="579"/>
      <c r="P1022" s="579"/>
      <c r="Q1022" s="66"/>
      <c r="R1022" s="66"/>
      <c r="S1022" s="66"/>
    </row>
    <row r="1023" spans="2:19" x14ac:dyDescent="0.2">
      <c r="B1023" s="245"/>
      <c r="C1023" s="245"/>
      <c r="D1023" s="245"/>
      <c r="E1023" s="245"/>
      <c r="F1023" s="245"/>
      <c r="G1023" s="579"/>
      <c r="H1023" s="245"/>
      <c r="I1023" s="245"/>
      <c r="J1023" s="245"/>
      <c r="K1023" s="245"/>
      <c r="L1023" s="245"/>
      <c r="N1023" s="579"/>
      <c r="O1023" s="579"/>
      <c r="P1023" s="579"/>
      <c r="Q1023" s="66"/>
      <c r="R1023" s="66"/>
      <c r="S1023" s="66"/>
    </row>
    <row r="1024" spans="2:19" x14ac:dyDescent="0.2">
      <c r="B1024" s="245"/>
      <c r="C1024" s="245"/>
      <c r="D1024" s="245"/>
      <c r="E1024" s="245"/>
      <c r="F1024" s="245"/>
      <c r="G1024" s="579"/>
      <c r="H1024" s="245"/>
      <c r="I1024" s="245"/>
      <c r="J1024" s="245"/>
      <c r="K1024" s="245"/>
      <c r="L1024" s="245"/>
      <c r="N1024" s="579"/>
      <c r="O1024" s="579"/>
      <c r="P1024" s="579"/>
      <c r="Q1024" s="66"/>
      <c r="R1024" s="66"/>
      <c r="S1024" s="66"/>
    </row>
    <row r="1025" spans="2:19" x14ac:dyDescent="0.2">
      <c r="B1025" s="245"/>
      <c r="C1025" s="245"/>
      <c r="D1025" s="245"/>
      <c r="E1025" s="245"/>
      <c r="F1025" s="245"/>
      <c r="G1025" s="579"/>
      <c r="H1025" s="245"/>
      <c r="I1025" s="245"/>
      <c r="J1025" s="245"/>
      <c r="K1025" s="245"/>
      <c r="L1025" s="245"/>
      <c r="N1025" s="579"/>
      <c r="O1025" s="579"/>
      <c r="P1025" s="579"/>
      <c r="Q1025" s="66"/>
      <c r="R1025" s="66"/>
      <c r="S1025" s="66"/>
    </row>
    <row r="1026" spans="2:19" x14ac:dyDescent="0.2">
      <c r="B1026" s="245"/>
      <c r="C1026" s="245"/>
      <c r="D1026" s="245"/>
      <c r="E1026" s="245"/>
      <c r="F1026" s="245"/>
      <c r="G1026" s="579"/>
      <c r="H1026" s="245"/>
      <c r="I1026" s="245"/>
      <c r="J1026" s="245"/>
      <c r="K1026" s="245"/>
      <c r="L1026" s="245"/>
      <c r="N1026" s="579"/>
      <c r="O1026" s="579"/>
      <c r="P1026" s="579"/>
      <c r="Q1026" s="66"/>
      <c r="R1026" s="66"/>
      <c r="S1026" s="66"/>
    </row>
    <row r="1027" spans="2:19" x14ac:dyDescent="0.2">
      <c r="B1027" s="245"/>
      <c r="C1027" s="245"/>
      <c r="D1027" s="245"/>
      <c r="E1027" s="245"/>
      <c r="F1027" s="245"/>
      <c r="G1027" s="579"/>
      <c r="H1027" s="245"/>
      <c r="I1027" s="245"/>
      <c r="J1027" s="245"/>
      <c r="K1027" s="245"/>
      <c r="L1027" s="245"/>
      <c r="N1027" s="579"/>
      <c r="O1027" s="579"/>
      <c r="P1027" s="579"/>
      <c r="Q1027" s="66"/>
      <c r="R1027" s="66"/>
      <c r="S1027" s="66"/>
    </row>
    <row r="1028" spans="2:19" x14ac:dyDescent="0.2">
      <c r="B1028" s="245"/>
      <c r="C1028" s="245"/>
      <c r="D1028" s="245"/>
      <c r="E1028" s="245"/>
      <c r="F1028" s="245"/>
      <c r="G1028" s="579"/>
      <c r="H1028" s="245"/>
      <c r="I1028" s="245"/>
      <c r="J1028" s="245"/>
      <c r="K1028" s="245"/>
      <c r="L1028" s="245"/>
      <c r="N1028" s="579"/>
      <c r="O1028" s="579"/>
      <c r="P1028" s="579"/>
      <c r="Q1028" s="66"/>
      <c r="R1028" s="66"/>
      <c r="S1028" s="66"/>
    </row>
    <row r="1029" spans="2:19" x14ac:dyDescent="0.2">
      <c r="B1029" s="245"/>
      <c r="C1029" s="245"/>
      <c r="D1029" s="245"/>
      <c r="E1029" s="245"/>
      <c r="F1029" s="245"/>
      <c r="G1029" s="579"/>
      <c r="H1029" s="245"/>
      <c r="I1029" s="245"/>
      <c r="J1029" s="245"/>
      <c r="K1029" s="245"/>
      <c r="L1029" s="245"/>
      <c r="N1029" s="579"/>
      <c r="O1029" s="579"/>
      <c r="P1029" s="579"/>
      <c r="Q1029" s="66"/>
      <c r="R1029" s="66"/>
      <c r="S1029" s="66"/>
    </row>
    <row r="1030" spans="2:19" x14ac:dyDescent="0.2">
      <c r="B1030" s="245"/>
      <c r="C1030" s="245"/>
      <c r="D1030" s="245"/>
      <c r="E1030" s="245"/>
      <c r="F1030" s="245"/>
      <c r="G1030" s="579"/>
      <c r="H1030" s="245"/>
      <c r="I1030" s="245"/>
      <c r="J1030" s="245"/>
      <c r="K1030" s="245"/>
      <c r="L1030" s="245"/>
      <c r="N1030" s="579"/>
      <c r="O1030" s="579"/>
      <c r="P1030" s="579"/>
      <c r="Q1030" s="66"/>
      <c r="R1030" s="66"/>
      <c r="S1030" s="66"/>
    </row>
    <row r="1031" spans="2:19" x14ac:dyDescent="0.2">
      <c r="B1031" s="245"/>
      <c r="C1031" s="245"/>
      <c r="D1031" s="245"/>
      <c r="E1031" s="245"/>
      <c r="F1031" s="245"/>
      <c r="G1031" s="579"/>
      <c r="H1031" s="245"/>
      <c r="I1031" s="245"/>
      <c r="J1031" s="245"/>
      <c r="K1031" s="245"/>
      <c r="L1031" s="245"/>
      <c r="N1031" s="579"/>
      <c r="O1031" s="579"/>
      <c r="P1031" s="579"/>
      <c r="Q1031" s="66"/>
      <c r="R1031" s="66"/>
      <c r="S1031" s="66"/>
    </row>
    <row r="1032" spans="2:19" x14ac:dyDescent="0.2">
      <c r="B1032" s="245"/>
      <c r="C1032" s="245"/>
      <c r="D1032" s="245"/>
      <c r="E1032" s="245"/>
      <c r="F1032" s="245"/>
      <c r="G1032" s="579"/>
      <c r="H1032" s="245"/>
      <c r="I1032" s="245"/>
      <c r="J1032" s="245"/>
      <c r="K1032" s="245"/>
      <c r="L1032" s="245"/>
      <c r="N1032" s="579"/>
      <c r="O1032" s="579"/>
      <c r="P1032" s="579"/>
      <c r="Q1032" s="66"/>
      <c r="R1032" s="66"/>
      <c r="S1032" s="66"/>
    </row>
    <row r="1033" spans="2:19" x14ac:dyDescent="0.2">
      <c r="B1033" s="245"/>
      <c r="C1033" s="245"/>
      <c r="D1033" s="245"/>
      <c r="E1033" s="245"/>
      <c r="F1033" s="245"/>
      <c r="G1033" s="579"/>
      <c r="H1033" s="245"/>
      <c r="I1033" s="245"/>
      <c r="J1033" s="245"/>
      <c r="K1033" s="245"/>
      <c r="L1033" s="245"/>
      <c r="N1033" s="579"/>
      <c r="O1033" s="579"/>
      <c r="P1033" s="579"/>
      <c r="Q1033" s="66"/>
      <c r="R1033" s="66"/>
      <c r="S1033" s="66"/>
    </row>
    <row r="1034" spans="2:19" x14ac:dyDescent="0.2">
      <c r="B1034" s="245"/>
      <c r="C1034" s="245"/>
      <c r="D1034" s="245"/>
      <c r="E1034" s="245"/>
      <c r="F1034" s="245"/>
      <c r="G1034" s="579"/>
      <c r="H1034" s="245"/>
      <c r="I1034" s="245"/>
      <c r="J1034" s="245"/>
      <c r="K1034" s="245"/>
      <c r="L1034" s="245"/>
      <c r="N1034" s="579"/>
      <c r="O1034" s="579"/>
      <c r="P1034" s="579"/>
      <c r="Q1034" s="66"/>
      <c r="R1034" s="66"/>
      <c r="S1034" s="66"/>
    </row>
    <row r="1035" spans="2:19" x14ac:dyDescent="0.2">
      <c r="B1035" s="245"/>
      <c r="C1035" s="245"/>
      <c r="D1035" s="245"/>
      <c r="E1035" s="245"/>
      <c r="F1035" s="245"/>
      <c r="G1035" s="579"/>
      <c r="H1035" s="245"/>
      <c r="I1035" s="245"/>
      <c r="J1035" s="245"/>
      <c r="K1035" s="245"/>
      <c r="L1035" s="245"/>
      <c r="N1035" s="579"/>
      <c r="O1035" s="579"/>
      <c r="P1035" s="579"/>
      <c r="Q1035" s="66"/>
      <c r="R1035" s="66"/>
      <c r="S1035" s="66"/>
    </row>
    <row r="1036" spans="2:19" x14ac:dyDescent="0.2">
      <c r="B1036" s="245"/>
      <c r="C1036" s="245"/>
      <c r="D1036" s="245"/>
      <c r="E1036" s="245"/>
      <c r="F1036" s="245"/>
      <c r="G1036" s="579"/>
      <c r="H1036" s="245"/>
      <c r="I1036" s="245"/>
      <c r="J1036" s="245"/>
      <c r="K1036" s="245"/>
      <c r="L1036" s="245"/>
      <c r="N1036" s="579"/>
      <c r="O1036" s="579"/>
      <c r="P1036" s="579"/>
      <c r="Q1036" s="66"/>
      <c r="R1036" s="66"/>
      <c r="S1036" s="66"/>
    </row>
    <row r="1037" spans="2:19" x14ac:dyDescent="0.2">
      <c r="B1037" s="245"/>
      <c r="C1037" s="245"/>
      <c r="D1037" s="245"/>
      <c r="E1037" s="245"/>
      <c r="F1037" s="245"/>
      <c r="G1037" s="579"/>
      <c r="H1037" s="245"/>
      <c r="I1037" s="245"/>
      <c r="J1037" s="245"/>
      <c r="K1037" s="245"/>
      <c r="L1037" s="245"/>
      <c r="N1037" s="579"/>
      <c r="O1037" s="579"/>
      <c r="P1037" s="579"/>
      <c r="Q1037" s="66"/>
      <c r="R1037" s="66"/>
      <c r="S1037" s="66"/>
    </row>
    <row r="1038" spans="2:19" x14ac:dyDescent="0.2">
      <c r="B1038" s="245"/>
      <c r="C1038" s="245"/>
      <c r="D1038" s="245"/>
      <c r="E1038" s="245"/>
      <c r="F1038" s="245"/>
      <c r="G1038" s="579"/>
      <c r="H1038" s="245"/>
      <c r="I1038" s="245"/>
      <c r="J1038" s="245"/>
      <c r="K1038" s="245"/>
      <c r="L1038" s="245"/>
      <c r="N1038" s="579"/>
      <c r="O1038" s="579"/>
      <c r="P1038" s="579"/>
      <c r="Q1038" s="66"/>
      <c r="R1038" s="66"/>
      <c r="S1038" s="66"/>
    </row>
    <row r="1039" spans="2:19" x14ac:dyDescent="0.2">
      <c r="B1039" s="245"/>
      <c r="C1039" s="245"/>
      <c r="D1039" s="245"/>
      <c r="E1039" s="245"/>
      <c r="F1039" s="245"/>
      <c r="G1039" s="579"/>
      <c r="H1039" s="245"/>
      <c r="I1039" s="245"/>
      <c r="J1039" s="245"/>
      <c r="K1039" s="245"/>
      <c r="L1039" s="245"/>
      <c r="N1039" s="579"/>
      <c r="O1039" s="579"/>
      <c r="P1039" s="579"/>
      <c r="Q1039" s="66"/>
      <c r="R1039" s="66"/>
      <c r="S1039" s="66"/>
    </row>
    <row r="1040" spans="2:19" x14ac:dyDescent="0.2">
      <c r="B1040" s="245"/>
      <c r="C1040" s="245"/>
      <c r="D1040" s="245"/>
      <c r="E1040" s="245"/>
      <c r="F1040" s="245"/>
      <c r="G1040" s="579"/>
      <c r="H1040" s="245"/>
      <c r="I1040" s="245"/>
      <c r="J1040" s="245"/>
      <c r="K1040" s="245"/>
      <c r="L1040" s="245"/>
      <c r="N1040" s="579"/>
      <c r="O1040" s="579"/>
      <c r="P1040" s="579"/>
      <c r="Q1040" s="66"/>
      <c r="R1040" s="66"/>
      <c r="S1040" s="66"/>
    </row>
    <row r="1041" spans="2:19" x14ac:dyDescent="0.2">
      <c r="B1041" s="245"/>
      <c r="C1041" s="245"/>
      <c r="D1041" s="245"/>
      <c r="E1041" s="245"/>
      <c r="F1041" s="245"/>
      <c r="G1041" s="579"/>
      <c r="H1041" s="245"/>
      <c r="I1041" s="245"/>
      <c r="J1041" s="245"/>
      <c r="K1041" s="245"/>
      <c r="L1041" s="245"/>
      <c r="N1041" s="579"/>
      <c r="O1041" s="579"/>
      <c r="P1041" s="579"/>
      <c r="Q1041" s="66"/>
      <c r="R1041" s="66"/>
      <c r="S1041" s="66"/>
    </row>
    <row r="1042" spans="2:19" x14ac:dyDescent="0.2">
      <c r="B1042" s="245"/>
      <c r="C1042" s="245"/>
      <c r="D1042" s="245"/>
      <c r="E1042" s="245"/>
      <c r="F1042" s="245"/>
      <c r="G1042" s="579"/>
      <c r="H1042" s="245"/>
      <c r="I1042" s="245"/>
      <c r="J1042" s="245"/>
      <c r="K1042" s="245"/>
      <c r="L1042" s="245"/>
      <c r="N1042" s="579"/>
      <c r="O1042" s="579"/>
      <c r="P1042" s="579"/>
      <c r="Q1042" s="66"/>
      <c r="R1042" s="66"/>
      <c r="S1042" s="66"/>
    </row>
    <row r="1043" spans="2:19" x14ac:dyDescent="0.2">
      <c r="B1043" s="245"/>
      <c r="C1043" s="245"/>
      <c r="D1043" s="245"/>
      <c r="E1043" s="245"/>
      <c r="F1043" s="245"/>
      <c r="G1043" s="579"/>
      <c r="H1043" s="245"/>
      <c r="I1043" s="245"/>
      <c r="J1043" s="245"/>
      <c r="K1043" s="245"/>
      <c r="L1043" s="245"/>
      <c r="N1043" s="579"/>
      <c r="O1043" s="579"/>
      <c r="P1043" s="579"/>
      <c r="Q1043" s="66"/>
      <c r="R1043" s="66"/>
      <c r="S1043" s="66"/>
    </row>
    <row r="1044" spans="2:19" x14ac:dyDescent="0.2">
      <c r="B1044" s="245"/>
      <c r="C1044" s="245"/>
      <c r="D1044" s="245"/>
      <c r="E1044" s="245"/>
      <c r="F1044" s="245"/>
      <c r="G1044" s="579"/>
      <c r="H1044" s="245"/>
      <c r="I1044" s="245"/>
      <c r="J1044" s="245"/>
      <c r="K1044" s="245"/>
      <c r="L1044" s="245"/>
      <c r="N1044" s="579"/>
      <c r="O1044" s="579"/>
      <c r="P1044" s="579"/>
      <c r="Q1044" s="66"/>
      <c r="R1044" s="66"/>
      <c r="S1044" s="66"/>
    </row>
    <row r="1045" spans="2:19" x14ac:dyDescent="0.2">
      <c r="B1045" s="245"/>
      <c r="C1045" s="245"/>
      <c r="D1045" s="245"/>
      <c r="E1045" s="245"/>
      <c r="F1045" s="245"/>
      <c r="G1045" s="579"/>
      <c r="H1045" s="245"/>
      <c r="I1045" s="245"/>
      <c r="J1045" s="245"/>
      <c r="K1045" s="245"/>
      <c r="L1045" s="245"/>
      <c r="N1045" s="579"/>
      <c r="O1045" s="579"/>
      <c r="P1045" s="579"/>
      <c r="Q1045" s="66"/>
      <c r="R1045" s="66"/>
      <c r="S1045" s="66"/>
    </row>
    <row r="1046" spans="2:19" x14ac:dyDescent="0.2">
      <c r="B1046" s="245"/>
      <c r="C1046" s="245"/>
      <c r="D1046" s="245"/>
      <c r="E1046" s="245"/>
      <c r="F1046" s="245"/>
      <c r="G1046" s="579"/>
      <c r="H1046" s="245"/>
      <c r="I1046" s="245"/>
      <c r="J1046" s="245"/>
      <c r="K1046" s="245"/>
      <c r="L1046" s="245"/>
      <c r="N1046" s="579"/>
      <c r="O1046" s="579"/>
      <c r="P1046" s="579"/>
      <c r="Q1046" s="66"/>
      <c r="R1046" s="66"/>
      <c r="S1046" s="66"/>
    </row>
    <row r="1047" spans="2:19" x14ac:dyDescent="0.2">
      <c r="B1047" s="245"/>
      <c r="C1047" s="245"/>
      <c r="D1047" s="245"/>
      <c r="E1047" s="245"/>
      <c r="F1047" s="245"/>
      <c r="G1047" s="579"/>
      <c r="H1047" s="245"/>
      <c r="I1047" s="245"/>
      <c r="J1047" s="245"/>
      <c r="K1047" s="245"/>
      <c r="L1047" s="245"/>
      <c r="N1047" s="579"/>
      <c r="O1047" s="579"/>
      <c r="P1047" s="579"/>
      <c r="Q1047" s="66"/>
      <c r="R1047" s="66"/>
      <c r="S1047" s="66"/>
    </row>
    <row r="1048" spans="2:19" x14ac:dyDescent="0.2">
      <c r="B1048" s="245"/>
      <c r="C1048" s="245"/>
      <c r="D1048" s="245"/>
      <c r="E1048" s="245"/>
      <c r="F1048" s="245"/>
      <c r="G1048" s="579"/>
      <c r="H1048" s="245"/>
      <c r="I1048" s="245"/>
      <c r="J1048" s="245"/>
      <c r="K1048" s="245"/>
      <c r="L1048" s="245"/>
      <c r="N1048" s="579"/>
      <c r="O1048" s="579"/>
      <c r="P1048" s="579"/>
      <c r="Q1048" s="66"/>
      <c r="R1048" s="66"/>
      <c r="S1048" s="66"/>
    </row>
    <row r="1049" spans="2:19" x14ac:dyDescent="0.2">
      <c r="B1049" s="245"/>
      <c r="C1049" s="245"/>
      <c r="D1049" s="245"/>
      <c r="E1049" s="245"/>
      <c r="F1049" s="245"/>
      <c r="G1049" s="579"/>
      <c r="H1049" s="245"/>
      <c r="I1049" s="245"/>
      <c r="J1049" s="245"/>
      <c r="K1049" s="245"/>
      <c r="L1049" s="245"/>
      <c r="N1049" s="579"/>
      <c r="O1049" s="579"/>
      <c r="P1049" s="579"/>
      <c r="Q1049" s="66"/>
      <c r="R1049" s="66"/>
      <c r="S1049" s="66"/>
    </row>
    <row r="1050" spans="2:19" x14ac:dyDescent="0.2">
      <c r="B1050" s="245"/>
      <c r="C1050" s="245"/>
      <c r="D1050" s="245"/>
      <c r="E1050" s="245"/>
      <c r="F1050" s="245"/>
      <c r="G1050" s="579"/>
      <c r="H1050" s="245"/>
      <c r="I1050" s="245"/>
      <c r="J1050" s="245"/>
      <c r="K1050" s="245"/>
      <c r="L1050" s="245"/>
      <c r="N1050" s="579"/>
      <c r="O1050" s="579"/>
      <c r="P1050" s="579"/>
      <c r="Q1050" s="66"/>
      <c r="R1050" s="66"/>
      <c r="S1050" s="66"/>
    </row>
    <row r="1051" spans="2:19" x14ac:dyDescent="0.2">
      <c r="B1051" s="245"/>
      <c r="C1051" s="245"/>
      <c r="D1051" s="245"/>
      <c r="E1051" s="245"/>
      <c r="F1051" s="245"/>
      <c r="G1051" s="579"/>
      <c r="H1051" s="245"/>
      <c r="I1051" s="245"/>
      <c r="J1051" s="245"/>
      <c r="K1051" s="245"/>
      <c r="L1051" s="245"/>
      <c r="N1051" s="579"/>
      <c r="O1051" s="579"/>
      <c r="P1051" s="579"/>
      <c r="Q1051" s="66"/>
      <c r="R1051" s="66"/>
      <c r="S1051" s="66"/>
    </row>
    <row r="1052" spans="2:19" x14ac:dyDescent="0.2">
      <c r="B1052" s="245"/>
      <c r="C1052" s="245"/>
      <c r="D1052" s="245"/>
      <c r="E1052" s="245"/>
      <c r="F1052" s="245"/>
      <c r="G1052" s="579"/>
      <c r="H1052" s="245"/>
      <c r="I1052" s="245"/>
      <c r="J1052" s="245"/>
      <c r="K1052" s="245"/>
      <c r="L1052" s="245"/>
      <c r="N1052" s="579"/>
      <c r="O1052" s="579"/>
      <c r="P1052" s="579"/>
      <c r="Q1052" s="66"/>
      <c r="R1052" s="66"/>
      <c r="S1052" s="66"/>
    </row>
    <row r="1053" spans="2:19" x14ac:dyDescent="0.2">
      <c r="B1053" s="245"/>
      <c r="C1053" s="245"/>
      <c r="D1053" s="245"/>
      <c r="E1053" s="245"/>
      <c r="F1053" s="245"/>
      <c r="G1053" s="579"/>
      <c r="H1053" s="245"/>
      <c r="I1053" s="245"/>
      <c r="J1053" s="245"/>
      <c r="K1053" s="245"/>
      <c r="L1053" s="245"/>
      <c r="N1053" s="579"/>
      <c r="O1053" s="579"/>
      <c r="P1053" s="579"/>
      <c r="Q1053" s="66"/>
      <c r="R1053" s="66"/>
      <c r="S1053" s="66"/>
    </row>
    <row r="1054" spans="2:19" x14ac:dyDescent="0.2">
      <c r="B1054" s="245"/>
      <c r="C1054" s="245"/>
      <c r="D1054" s="245"/>
      <c r="E1054" s="245"/>
      <c r="F1054" s="245"/>
      <c r="G1054" s="579"/>
      <c r="H1054" s="245"/>
      <c r="I1054" s="245"/>
      <c r="J1054" s="245"/>
      <c r="K1054" s="245"/>
      <c r="L1054" s="245"/>
      <c r="N1054" s="579"/>
      <c r="O1054" s="579"/>
      <c r="P1054" s="579"/>
      <c r="Q1054" s="66"/>
      <c r="R1054" s="66"/>
      <c r="S1054" s="66"/>
    </row>
    <row r="1055" spans="2:19" x14ac:dyDescent="0.2">
      <c r="B1055" s="245"/>
      <c r="C1055" s="245"/>
      <c r="D1055" s="245"/>
      <c r="E1055" s="245"/>
      <c r="F1055" s="245"/>
      <c r="G1055" s="579"/>
      <c r="H1055" s="245"/>
      <c r="I1055" s="245"/>
      <c r="J1055" s="245"/>
      <c r="K1055" s="245"/>
      <c r="L1055" s="245"/>
      <c r="N1055" s="579"/>
      <c r="O1055" s="579"/>
      <c r="P1055" s="579"/>
      <c r="Q1055" s="66"/>
      <c r="R1055" s="66"/>
      <c r="S1055" s="66"/>
    </row>
    <row r="1056" spans="2:19" x14ac:dyDescent="0.2">
      <c r="B1056" s="245"/>
      <c r="C1056" s="245"/>
      <c r="D1056" s="245"/>
      <c r="E1056" s="245"/>
      <c r="F1056" s="245"/>
      <c r="G1056" s="579"/>
      <c r="H1056" s="245"/>
      <c r="I1056" s="245"/>
      <c r="J1056" s="245"/>
      <c r="K1056" s="245"/>
      <c r="L1056" s="245"/>
      <c r="N1056" s="579"/>
      <c r="O1056" s="579"/>
      <c r="P1056" s="579"/>
      <c r="Q1056" s="66"/>
      <c r="R1056" s="66"/>
      <c r="S1056" s="66"/>
    </row>
    <row r="1057" spans="2:19" x14ac:dyDescent="0.2">
      <c r="B1057" s="245"/>
      <c r="C1057" s="245"/>
      <c r="D1057" s="245"/>
      <c r="E1057" s="245"/>
      <c r="F1057" s="245"/>
      <c r="G1057" s="579"/>
      <c r="H1057" s="245"/>
      <c r="I1057" s="245"/>
      <c r="J1057" s="245"/>
      <c r="K1057" s="245"/>
      <c r="L1057" s="245"/>
      <c r="N1057" s="579"/>
      <c r="O1057" s="579"/>
      <c r="P1057" s="579"/>
      <c r="Q1057" s="66"/>
      <c r="R1057" s="66"/>
      <c r="S1057" s="66"/>
    </row>
    <row r="1058" spans="2:19" x14ac:dyDescent="0.2">
      <c r="B1058" s="245"/>
      <c r="C1058" s="245"/>
      <c r="D1058" s="245"/>
      <c r="E1058" s="245"/>
      <c r="F1058" s="245"/>
      <c r="G1058" s="579"/>
      <c r="H1058" s="245"/>
      <c r="I1058" s="245"/>
      <c r="J1058" s="245"/>
      <c r="K1058" s="245"/>
      <c r="L1058" s="245"/>
      <c r="N1058" s="579"/>
      <c r="O1058" s="579"/>
      <c r="P1058" s="579"/>
      <c r="Q1058" s="66"/>
      <c r="R1058" s="66"/>
      <c r="S1058" s="66"/>
    </row>
    <row r="1059" spans="2:19" x14ac:dyDescent="0.2">
      <c r="B1059" s="245"/>
      <c r="C1059" s="245"/>
      <c r="D1059" s="245"/>
      <c r="E1059" s="245"/>
      <c r="F1059" s="245"/>
      <c r="G1059" s="579"/>
      <c r="H1059" s="245"/>
      <c r="I1059" s="245"/>
      <c r="J1059" s="245"/>
      <c r="K1059" s="245"/>
      <c r="L1059" s="245"/>
      <c r="N1059" s="579"/>
      <c r="O1059" s="579"/>
      <c r="P1059" s="579"/>
      <c r="Q1059" s="66"/>
      <c r="R1059" s="66"/>
      <c r="S1059" s="66"/>
    </row>
    <row r="1060" spans="2:19" x14ac:dyDescent="0.2">
      <c r="B1060" s="245"/>
      <c r="C1060" s="245"/>
      <c r="D1060" s="245"/>
      <c r="E1060" s="245"/>
      <c r="F1060" s="245"/>
      <c r="G1060" s="579"/>
      <c r="H1060" s="245"/>
      <c r="I1060" s="245"/>
      <c r="J1060" s="245"/>
      <c r="K1060" s="245"/>
      <c r="L1060" s="245"/>
      <c r="N1060" s="579"/>
      <c r="O1060" s="579"/>
      <c r="P1060" s="579"/>
      <c r="Q1060" s="66"/>
      <c r="R1060" s="66"/>
      <c r="S1060" s="66"/>
    </row>
    <row r="1061" spans="2:19" x14ac:dyDescent="0.2">
      <c r="B1061" s="245"/>
      <c r="C1061" s="245"/>
      <c r="D1061" s="245"/>
      <c r="E1061" s="245"/>
      <c r="F1061" s="245"/>
      <c r="G1061" s="579"/>
      <c r="H1061" s="245"/>
      <c r="I1061" s="245"/>
      <c r="J1061" s="245"/>
      <c r="K1061" s="245"/>
      <c r="L1061" s="245"/>
      <c r="N1061" s="579"/>
      <c r="O1061" s="579"/>
      <c r="P1061" s="579"/>
      <c r="Q1061" s="66"/>
      <c r="R1061" s="66"/>
      <c r="S1061" s="66"/>
    </row>
    <row r="1062" spans="2:19" x14ac:dyDescent="0.2">
      <c r="B1062" s="245"/>
      <c r="C1062" s="245"/>
      <c r="D1062" s="245"/>
      <c r="E1062" s="245"/>
      <c r="F1062" s="245"/>
      <c r="G1062" s="579"/>
      <c r="H1062" s="245"/>
      <c r="I1062" s="245"/>
      <c r="J1062" s="245"/>
      <c r="K1062" s="245"/>
      <c r="L1062" s="245"/>
      <c r="N1062" s="579"/>
      <c r="O1062" s="579"/>
      <c r="P1062" s="579"/>
      <c r="Q1062" s="66"/>
      <c r="R1062" s="66"/>
      <c r="S1062" s="66"/>
    </row>
    <row r="1063" spans="2:19" x14ac:dyDescent="0.2">
      <c r="B1063" s="245"/>
      <c r="C1063" s="245"/>
      <c r="D1063" s="245"/>
      <c r="E1063" s="245"/>
      <c r="F1063" s="245"/>
      <c r="G1063" s="579"/>
      <c r="H1063" s="245"/>
      <c r="I1063" s="245"/>
      <c r="J1063" s="245"/>
      <c r="K1063" s="245"/>
      <c r="L1063" s="245"/>
      <c r="N1063" s="579"/>
      <c r="O1063" s="579"/>
      <c r="P1063" s="579"/>
      <c r="Q1063" s="66"/>
      <c r="R1063" s="66"/>
      <c r="S1063" s="66"/>
    </row>
    <row r="1064" spans="2:19" x14ac:dyDescent="0.2">
      <c r="B1064" s="245"/>
      <c r="C1064" s="245"/>
      <c r="D1064" s="245"/>
      <c r="E1064" s="245"/>
      <c r="F1064" s="245"/>
      <c r="G1064" s="579"/>
      <c r="H1064" s="245"/>
      <c r="I1064" s="245"/>
      <c r="J1064" s="245"/>
      <c r="K1064" s="245"/>
      <c r="L1064" s="245"/>
      <c r="N1064" s="579"/>
      <c r="O1064" s="579"/>
      <c r="P1064" s="579"/>
      <c r="Q1064" s="66"/>
      <c r="R1064" s="66"/>
      <c r="S1064" s="66"/>
    </row>
    <row r="1065" spans="2:19" x14ac:dyDescent="0.2">
      <c r="B1065" s="245"/>
      <c r="C1065" s="245"/>
      <c r="D1065" s="245"/>
      <c r="E1065" s="245"/>
      <c r="F1065" s="245"/>
      <c r="G1065" s="579"/>
      <c r="H1065" s="245"/>
      <c r="I1065" s="245"/>
      <c r="J1065" s="245"/>
      <c r="K1065" s="245"/>
      <c r="L1065" s="245"/>
      <c r="N1065" s="579"/>
      <c r="O1065" s="579"/>
      <c r="P1065" s="579"/>
      <c r="Q1065" s="66"/>
      <c r="R1065" s="66"/>
      <c r="S1065" s="66"/>
    </row>
    <row r="1066" spans="2:19" x14ac:dyDescent="0.2">
      <c r="B1066" s="245"/>
      <c r="C1066" s="245"/>
      <c r="D1066" s="245"/>
      <c r="E1066" s="245"/>
      <c r="F1066" s="245"/>
      <c r="G1066" s="579"/>
      <c r="H1066" s="245"/>
      <c r="I1066" s="245"/>
      <c r="J1066" s="245"/>
      <c r="K1066" s="245"/>
      <c r="L1066" s="245"/>
      <c r="N1066" s="579"/>
      <c r="O1066" s="579"/>
      <c r="P1066" s="579"/>
      <c r="Q1066" s="66"/>
      <c r="R1066" s="66"/>
      <c r="S1066" s="66"/>
    </row>
    <row r="1067" spans="2:19" x14ac:dyDescent="0.2">
      <c r="B1067" s="245"/>
      <c r="C1067" s="245"/>
      <c r="D1067" s="245"/>
      <c r="E1067" s="245"/>
      <c r="F1067" s="245"/>
      <c r="G1067" s="579"/>
      <c r="H1067" s="245"/>
      <c r="I1067" s="245"/>
      <c r="J1067" s="245"/>
      <c r="K1067" s="245"/>
      <c r="L1067" s="245"/>
      <c r="N1067" s="579"/>
      <c r="O1067" s="579"/>
      <c r="P1067" s="579"/>
      <c r="Q1067" s="66"/>
      <c r="R1067" s="66"/>
      <c r="S1067" s="66"/>
    </row>
    <row r="1068" spans="2:19" x14ac:dyDescent="0.2">
      <c r="B1068" s="245"/>
      <c r="C1068" s="245"/>
      <c r="D1068" s="245"/>
      <c r="E1068" s="245"/>
      <c r="F1068" s="245"/>
      <c r="G1068" s="579"/>
      <c r="H1068" s="245"/>
      <c r="I1068" s="245"/>
      <c r="J1068" s="245"/>
      <c r="K1068" s="245"/>
      <c r="L1068" s="245"/>
      <c r="N1068" s="579"/>
      <c r="O1068" s="579"/>
      <c r="P1068" s="579"/>
      <c r="Q1068" s="66"/>
      <c r="R1068" s="66"/>
      <c r="S1068" s="66"/>
    </row>
    <row r="1069" spans="2:19" x14ac:dyDescent="0.2">
      <c r="B1069" s="245"/>
      <c r="C1069" s="245"/>
      <c r="D1069" s="245"/>
      <c r="E1069" s="245"/>
      <c r="F1069" s="245"/>
      <c r="G1069" s="579"/>
      <c r="H1069" s="245"/>
      <c r="I1069" s="245"/>
      <c r="J1069" s="245"/>
      <c r="K1069" s="245"/>
      <c r="L1069" s="245"/>
      <c r="N1069" s="579"/>
      <c r="O1069" s="579"/>
      <c r="P1069" s="579"/>
      <c r="Q1069" s="66"/>
      <c r="R1069" s="66"/>
      <c r="S1069" s="66"/>
    </row>
    <row r="1070" spans="2:19" x14ac:dyDescent="0.2">
      <c r="B1070" s="245"/>
      <c r="C1070" s="245"/>
      <c r="D1070" s="245"/>
      <c r="E1070" s="245"/>
      <c r="F1070" s="245"/>
      <c r="G1070" s="579"/>
      <c r="H1070" s="245"/>
      <c r="I1070" s="245"/>
      <c r="J1070" s="245"/>
      <c r="K1070" s="245"/>
      <c r="L1070" s="245"/>
      <c r="N1070" s="579"/>
      <c r="O1070" s="579"/>
      <c r="P1070" s="579"/>
      <c r="Q1070" s="66"/>
      <c r="R1070" s="66"/>
      <c r="S1070" s="66"/>
    </row>
    <row r="1071" spans="2:19" x14ac:dyDescent="0.2">
      <c r="B1071" s="245"/>
      <c r="C1071" s="245"/>
      <c r="D1071" s="245"/>
      <c r="E1071" s="245"/>
      <c r="F1071" s="245"/>
      <c r="G1071" s="579"/>
      <c r="H1071" s="245"/>
      <c r="I1071" s="245"/>
      <c r="J1071" s="245"/>
      <c r="K1071" s="245"/>
      <c r="L1071" s="245"/>
      <c r="N1071" s="579"/>
      <c r="O1071" s="579"/>
      <c r="P1071" s="579"/>
      <c r="Q1071" s="66"/>
      <c r="R1071" s="66"/>
      <c r="S1071" s="66"/>
    </row>
    <row r="1072" spans="2:19" x14ac:dyDescent="0.2">
      <c r="B1072" s="245"/>
      <c r="C1072" s="245"/>
      <c r="D1072" s="245"/>
      <c r="E1072" s="245"/>
      <c r="F1072" s="245"/>
      <c r="G1072" s="579"/>
      <c r="H1072" s="245"/>
      <c r="I1072" s="245"/>
      <c r="J1072" s="245"/>
      <c r="K1072" s="245"/>
      <c r="L1072" s="245"/>
      <c r="N1072" s="579"/>
      <c r="O1072" s="579"/>
      <c r="P1072" s="579"/>
      <c r="Q1072" s="66"/>
      <c r="R1072" s="66"/>
      <c r="S1072" s="66"/>
    </row>
    <row r="1073" spans="2:19" x14ac:dyDescent="0.2">
      <c r="B1073" s="245"/>
      <c r="C1073" s="245"/>
      <c r="D1073" s="245"/>
      <c r="E1073" s="245"/>
      <c r="F1073" s="245"/>
      <c r="G1073" s="579"/>
      <c r="H1073" s="245"/>
      <c r="I1073" s="245"/>
      <c r="J1073" s="245"/>
      <c r="K1073" s="245"/>
      <c r="L1073" s="245"/>
      <c r="N1073" s="579"/>
      <c r="O1073" s="579"/>
      <c r="P1073" s="579"/>
      <c r="Q1073" s="66"/>
      <c r="R1073" s="66"/>
      <c r="S1073" s="66"/>
    </row>
    <row r="1074" spans="2:19" x14ac:dyDescent="0.2">
      <c r="B1074" s="245"/>
      <c r="C1074" s="245"/>
      <c r="D1074" s="245"/>
      <c r="E1074" s="245"/>
      <c r="F1074" s="245"/>
      <c r="G1074" s="579"/>
      <c r="H1074" s="245"/>
      <c r="I1074" s="245"/>
      <c r="J1074" s="245"/>
      <c r="K1074" s="245"/>
      <c r="L1074" s="245"/>
      <c r="N1074" s="579"/>
      <c r="O1074" s="579"/>
      <c r="P1074" s="579"/>
      <c r="Q1074" s="66"/>
      <c r="R1074" s="66"/>
      <c r="S1074" s="66"/>
    </row>
    <row r="1075" spans="2:19" x14ac:dyDescent="0.2">
      <c r="B1075" s="245"/>
      <c r="C1075" s="245"/>
      <c r="D1075" s="245"/>
      <c r="E1075" s="245"/>
      <c r="F1075" s="245"/>
      <c r="G1075" s="579"/>
      <c r="H1075" s="245"/>
      <c r="I1075" s="245"/>
      <c r="J1075" s="245"/>
      <c r="K1075" s="245"/>
      <c r="L1075" s="245"/>
      <c r="N1075" s="579"/>
      <c r="O1075" s="579"/>
      <c r="P1075" s="579"/>
      <c r="Q1075" s="66"/>
      <c r="R1075" s="66"/>
      <c r="S1075" s="66"/>
    </row>
    <row r="1076" spans="2:19" x14ac:dyDescent="0.2">
      <c r="B1076" s="245"/>
      <c r="C1076" s="245"/>
      <c r="D1076" s="245"/>
      <c r="E1076" s="245"/>
      <c r="F1076" s="245"/>
      <c r="G1076" s="579"/>
      <c r="H1076" s="245"/>
      <c r="I1076" s="245"/>
      <c r="J1076" s="245"/>
      <c r="K1076" s="245"/>
      <c r="L1076" s="245"/>
      <c r="N1076" s="579"/>
      <c r="O1076" s="579"/>
      <c r="P1076" s="579"/>
      <c r="Q1076" s="66"/>
      <c r="R1076" s="66"/>
      <c r="S1076" s="66"/>
    </row>
    <row r="1077" spans="2:19" x14ac:dyDescent="0.2">
      <c r="B1077" s="245"/>
      <c r="C1077" s="245"/>
      <c r="D1077" s="245"/>
      <c r="E1077" s="245"/>
      <c r="F1077" s="245"/>
      <c r="G1077" s="579"/>
      <c r="H1077" s="245"/>
      <c r="I1077" s="245"/>
      <c r="J1077" s="245"/>
      <c r="K1077" s="245"/>
      <c r="L1077" s="245"/>
      <c r="N1077" s="579"/>
      <c r="O1077" s="579"/>
      <c r="P1077" s="579"/>
      <c r="Q1077" s="66"/>
      <c r="R1077" s="66"/>
      <c r="S1077" s="66"/>
    </row>
    <row r="1078" spans="2:19" x14ac:dyDescent="0.2">
      <c r="B1078" s="245"/>
      <c r="C1078" s="245"/>
      <c r="D1078" s="245"/>
      <c r="E1078" s="245"/>
      <c r="F1078" s="245"/>
      <c r="G1078" s="579"/>
      <c r="H1078" s="245"/>
      <c r="I1078" s="245"/>
      <c r="J1078" s="245"/>
      <c r="K1078" s="245"/>
      <c r="L1078" s="245"/>
      <c r="N1078" s="579"/>
      <c r="O1078" s="579"/>
      <c r="P1078" s="579"/>
      <c r="Q1078" s="66"/>
      <c r="R1078" s="66"/>
      <c r="S1078" s="66"/>
    </row>
    <row r="1079" spans="2:19" x14ac:dyDescent="0.2">
      <c r="B1079" s="245"/>
      <c r="C1079" s="245"/>
      <c r="D1079" s="245"/>
      <c r="E1079" s="245"/>
      <c r="F1079" s="245"/>
      <c r="G1079" s="579"/>
      <c r="H1079" s="245"/>
      <c r="I1079" s="245"/>
      <c r="J1079" s="245"/>
      <c r="K1079" s="245"/>
      <c r="L1079" s="245"/>
      <c r="N1079" s="579"/>
      <c r="O1079" s="579"/>
      <c r="P1079" s="579"/>
      <c r="Q1079" s="66"/>
      <c r="R1079" s="66"/>
      <c r="S1079" s="66"/>
    </row>
    <row r="1080" spans="2:19" x14ac:dyDescent="0.2">
      <c r="B1080" s="245"/>
      <c r="C1080" s="245"/>
      <c r="D1080" s="245"/>
      <c r="E1080" s="245"/>
      <c r="F1080" s="245"/>
      <c r="G1080" s="579"/>
      <c r="H1080" s="245"/>
      <c r="I1080" s="245"/>
      <c r="J1080" s="245"/>
      <c r="K1080" s="245"/>
      <c r="L1080" s="245"/>
      <c r="N1080" s="579"/>
      <c r="O1080" s="579"/>
      <c r="P1080" s="579"/>
      <c r="Q1080" s="66"/>
      <c r="R1080" s="66"/>
      <c r="S1080" s="66"/>
    </row>
    <row r="1081" spans="2:19" x14ac:dyDescent="0.2">
      <c r="B1081" s="245"/>
      <c r="C1081" s="245"/>
      <c r="D1081" s="245"/>
      <c r="E1081" s="245"/>
      <c r="F1081" s="245"/>
      <c r="G1081" s="579"/>
      <c r="H1081" s="245"/>
      <c r="I1081" s="245"/>
      <c r="J1081" s="245"/>
      <c r="K1081" s="245"/>
      <c r="L1081" s="245"/>
      <c r="N1081" s="579"/>
      <c r="O1081" s="579"/>
      <c r="P1081" s="579"/>
      <c r="Q1081" s="66"/>
      <c r="R1081" s="66"/>
      <c r="S1081" s="66"/>
    </row>
    <row r="1082" spans="2:19" x14ac:dyDescent="0.2">
      <c r="B1082" s="245"/>
      <c r="C1082" s="245"/>
      <c r="D1082" s="245"/>
      <c r="E1082" s="245"/>
      <c r="F1082" s="245"/>
      <c r="G1082" s="579"/>
      <c r="H1082" s="245"/>
      <c r="I1082" s="245"/>
      <c r="J1082" s="245"/>
      <c r="K1082" s="245"/>
      <c r="L1082" s="245"/>
      <c r="N1082" s="579"/>
      <c r="O1082" s="579"/>
      <c r="P1082" s="579"/>
      <c r="Q1082" s="66"/>
      <c r="R1082" s="66"/>
      <c r="S1082" s="66"/>
    </row>
    <row r="1083" spans="2:19" x14ac:dyDescent="0.2">
      <c r="B1083" s="245"/>
      <c r="C1083" s="245"/>
      <c r="D1083" s="245"/>
      <c r="E1083" s="245"/>
      <c r="F1083" s="245"/>
      <c r="G1083" s="579"/>
      <c r="H1083" s="245"/>
      <c r="I1083" s="245"/>
      <c r="J1083" s="245"/>
      <c r="K1083" s="245"/>
      <c r="L1083" s="245"/>
      <c r="N1083" s="579"/>
      <c r="O1083" s="579"/>
      <c r="P1083" s="579"/>
      <c r="Q1083" s="66"/>
      <c r="R1083" s="66"/>
      <c r="S1083" s="66"/>
    </row>
    <row r="1084" spans="2:19" x14ac:dyDescent="0.2">
      <c r="B1084" s="245"/>
      <c r="C1084" s="245"/>
      <c r="D1084" s="245"/>
      <c r="E1084" s="245"/>
      <c r="F1084" s="245"/>
      <c r="G1084" s="579"/>
      <c r="H1084" s="245"/>
      <c r="I1084" s="245"/>
      <c r="J1084" s="245"/>
      <c r="K1084" s="245"/>
      <c r="L1084" s="245"/>
      <c r="N1084" s="579"/>
      <c r="O1084" s="579"/>
      <c r="P1084" s="579"/>
      <c r="Q1084" s="66"/>
      <c r="R1084" s="66"/>
      <c r="S1084" s="66"/>
    </row>
    <row r="1085" spans="2:19" x14ac:dyDescent="0.2">
      <c r="B1085" s="245"/>
      <c r="C1085" s="245"/>
      <c r="D1085" s="245"/>
      <c r="E1085" s="245"/>
      <c r="F1085" s="245"/>
      <c r="G1085" s="579"/>
      <c r="H1085" s="245"/>
      <c r="I1085" s="245"/>
      <c r="J1085" s="245"/>
      <c r="K1085" s="245"/>
      <c r="L1085" s="245"/>
      <c r="N1085" s="579"/>
      <c r="O1085" s="579"/>
      <c r="P1085" s="579"/>
      <c r="Q1085" s="66"/>
      <c r="R1085" s="66"/>
      <c r="S1085" s="66"/>
    </row>
    <row r="1086" spans="2:19" x14ac:dyDescent="0.2">
      <c r="B1086" s="245"/>
      <c r="C1086" s="245"/>
      <c r="D1086" s="245"/>
      <c r="E1086" s="245"/>
      <c r="F1086" s="245"/>
      <c r="G1086" s="579"/>
      <c r="H1086" s="245"/>
      <c r="I1086" s="245"/>
      <c r="J1086" s="245"/>
      <c r="K1086" s="245"/>
      <c r="L1086" s="245"/>
      <c r="N1086" s="579"/>
      <c r="O1086" s="579"/>
      <c r="P1086" s="579"/>
      <c r="Q1086" s="66"/>
      <c r="R1086" s="66"/>
      <c r="S1086" s="66"/>
    </row>
    <row r="1087" spans="2:19" x14ac:dyDescent="0.2">
      <c r="B1087" s="245"/>
      <c r="C1087" s="245"/>
      <c r="D1087" s="245"/>
      <c r="E1087" s="245"/>
      <c r="F1087" s="245"/>
      <c r="G1087" s="579"/>
      <c r="H1087" s="245"/>
      <c r="I1087" s="245"/>
      <c r="J1087" s="245"/>
      <c r="K1087" s="245"/>
      <c r="L1087" s="245"/>
      <c r="N1087" s="579"/>
      <c r="O1087" s="579"/>
      <c r="P1087" s="579"/>
      <c r="Q1087" s="66"/>
      <c r="R1087" s="66"/>
      <c r="S1087" s="66"/>
    </row>
    <row r="1088" spans="2:19" x14ac:dyDescent="0.2">
      <c r="B1088" s="245"/>
      <c r="C1088" s="245"/>
      <c r="D1088" s="245"/>
      <c r="E1088" s="245"/>
      <c r="F1088" s="245"/>
      <c r="G1088" s="579"/>
      <c r="H1088" s="245"/>
      <c r="I1088" s="245"/>
      <c r="J1088" s="245"/>
      <c r="K1088" s="245"/>
      <c r="L1088" s="245"/>
      <c r="N1088" s="579"/>
      <c r="O1088" s="579"/>
      <c r="P1088" s="579"/>
      <c r="Q1088" s="66"/>
      <c r="R1088" s="66"/>
      <c r="S1088" s="66"/>
    </row>
    <row r="1089" spans="2:19" x14ac:dyDescent="0.2">
      <c r="B1089" s="245"/>
      <c r="C1089" s="245"/>
      <c r="D1089" s="245"/>
      <c r="E1089" s="245"/>
      <c r="F1089" s="245"/>
      <c r="G1089" s="579"/>
      <c r="H1089" s="245"/>
      <c r="I1089" s="245"/>
      <c r="J1089" s="245"/>
      <c r="K1089" s="245"/>
      <c r="L1089" s="245"/>
      <c r="N1089" s="579"/>
      <c r="O1089" s="579"/>
      <c r="P1089" s="579"/>
      <c r="Q1089" s="66"/>
      <c r="R1089" s="66"/>
      <c r="S1089" s="66"/>
    </row>
    <row r="1090" spans="2:19" x14ac:dyDescent="0.2">
      <c r="B1090" s="245"/>
      <c r="C1090" s="245"/>
      <c r="D1090" s="245"/>
      <c r="E1090" s="245"/>
      <c r="F1090" s="245"/>
      <c r="G1090" s="579"/>
      <c r="H1090" s="245"/>
      <c r="I1090" s="245"/>
      <c r="J1090" s="245"/>
      <c r="K1090" s="245"/>
      <c r="L1090" s="245"/>
      <c r="N1090" s="579"/>
      <c r="O1090" s="579"/>
      <c r="P1090" s="579"/>
      <c r="Q1090" s="66"/>
      <c r="R1090" s="66"/>
      <c r="S1090" s="66"/>
    </row>
    <row r="1091" spans="2:19" x14ac:dyDescent="0.2">
      <c r="B1091" s="245"/>
      <c r="C1091" s="245"/>
      <c r="D1091" s="245"/>
      <c r="E1091" s="245"/>
      <c r="F1091" s="245"/>
      <c r="G1091" s="579"/>
      <c r="H1091" s="245"/>
      <c r="I1091" s="245"/>
      <c r="J1091" s="245"/>
      <c r="K1091" s="245"/>
      <c r="L1091" s="245"/>
      <c r="N1091" s="579"/>
      <c r="O1091" s="579"/>
      <c r="P1091" s="579"/>
      <c r="Q1091" s="66"/>
      <c r="R1091" s="66"/>
      <c r="S1091" s="66"/>
    </row>
    <row r="1092" spans="2:19" x14ac:dyDescent="0.2">
      <c r="B1092" s="245"/>
      <c r="C1092" s="245"/>
      <c r="D1092" s="245"/>
      <c r="E1092" s="245"/>
      <c r="F1092" s="245"/>
      <c r="G1092" s="579"/>
      <c r="H1092" s="245"/>
      <c r="I1092" s="245"/>
      <c r="J1092" s="245"/>
      <c r="K1092" s="245"/>
      <c r="L1092" s="245"/>
      <c r="N1092" s="579"/>
      <c r="O1092" s="579"/>
      <c r="P1092" s="579"/>
      <c r="Q1092" s="66"/>
      <c r="R1092" s="66"/>
      <c r="S1092" s="66"/>
    </row>
    <row r="1093" spans="2:19" x14ac:dyDescent="0.2">
      <c r="B1093" s="245"/>
      <c r="C1093" s="245"/>
      <c r="D1093" s="245"/>
      <c r="E1093" s="245"/>
      <c r="F1093" s="245"/>
      <c r="G1093" s="579"/>
      <c r="H1093" s="245"/>
      <c r="I1093" s="245"/>
      <c r="J1093" s="245"/>
      <c r="K1093" s="245"/>
      <c r="L1093" s="245"/>
      <c r="N1093" s="579"/>
      <c r="O1093" s="579"/>
      <c r="P1093" s="579"/>
      <c r="Q1093" s="66"/>
      <c r="R1093" s="66"/>
      <c r="S1093" s="66"/>
    </row>
    <row r="1094" spans="2:19" x14ac:dyDescent="0.2">
      <c r="B1094" s="245"/>
      <c r="C1094" s="245"/>
      <c r="D1094" s="245"/>
      <c r="E1094" s="245"/>
      <c r="F1094" s="245"/>
      <c r="G1094" s="579"/>
      <c r="H1094" s="245"/>
      <c r="I1094" s="245"/>
      <c r="J1094" s="245"/>
      <c r="K1094" s="245"/>
      <c r="L1094" s="245"/>
      <c r="N1094" s="579"/>
      <c r="O1094" s="579"/>
      <c r="P1094" s="579"/>
      <c r="Q1094" s="66"/>
      <c r="R1094" s="66"/>
      <c r="S1094" s="66"/>
    </row>
    <row r="1095" spans="2:19" x14ac:dyDescent="0.2">
      <c r="B1095" s="245"/>
      <c r="C1095" s="245"/>
      <c r="D1095" s="245"/>
      <c r="E1095" s="245"/>
      <c r="F1095" s="245"/>
      <c r="G1095" s="579"/>
      <c r="H1095" s="245"/>
      <c r="I1095" s="245"/>
      <c r="J1095" s="245"/>
      <c r="K1095" s="245"/>
      <c r="L1095" s="245"/>
      <c r="N1095" s="579"/>
      <c r="O1095" s="579"/>
      <c r="P1095" s="579"/>
      <c r="Q1095" s="66"/>
      <c r="R1095" s="66"/>
      <c r="S1095" s="66"/>
    </row>
    <row r="1096" spans="2:19" x14ac:dyDescent="0.2">
      <c r="B1096" s="245"/>
      <c r="C1096" s="245"/>
      <c r="D1096" s="245"/>
      <c r="E1096" s="245"/>
      <c r="F1096" s="245"/>
      <c r="G1096" s="579"/>
      <c r="H1096" s="245"/>
      <c r="I1096" s="245"/>
      <c r="J1096" s="245"/>
      <c r="K1096" s="245"/>
      <c r="L1096" s="245"/>
      <c r="N1096" s="579"/>
      <c r="O1096" s="579"/>
      <c r="P1096" s="579"/>
      <c r="Q1096" s="66"/>
      <c r="R1096" s="66"/>
      <c r="S1096" s="66"/>
    </row>
    <row r="1097" spans="2:19" x14ac:dyDescent="0.2">
      <c r="B1097" s="245"/>
      <c r="C1097" s="245"/>
      <c r="D1097" s="245"/>
      <c r="E1097" s="245"/>
      <c r="F1097" s="245"/>
      <c r="G1097" s="579"/>
      <c r="H1097" s="245"/>
      <c r="I1097" s="245"/>
      <c r="J1097" s="245"/>
      <c r="K1097" s="245"/>
      <c r="L1097" s="245"/>
      <c r="N1097" s="579"/>
      <c r="O1097" s="579"/>
      <c r="P1097" s="579"/>
      <c r="Q1097" s="66"/>
      <c r="R1097" s="66"/>
      <c r="S1097" s="66"/>
    </row>
    <row r="1098" spans="2:19" x14ac:dyDescent="0.2">
      <c r="B1098" s="245"/>
      <c r="C1098" s="245"/>
      <c r="D1098" s="245"/>
      <c r="E1098" s="245"/>
      <c r="F1098" s="245"/>
      <c r="G1098" s="579"/>
      <c r="H1098" s="245"/>
      <c r="I1098" s="245"/>
      <c r="J1098" s="245"/>
      <c r="K1098" s="245"/>
      <c r="L1098" s="245"/>
      <c r="N1098" s="579"/>
      <c r="O1098" s="579"/>
      <c r="P1098" s="579"/>
      <c r="Q1098" s="66"/>
      <c r="R1098" s="66"/>
      <c r="S1098" s="66"/>
    </row>
    <row r="1099" spans="2:19" x14ac:dyDescent="0.2">
      <c r="B1099" s="245"/>
      <c r="C1099" s="245"/>
      <c r="D1099" s="245"/>
      <c r="E1099" s="245"/>
      <c r="F1099" s="245"/>
      <c r="G1099" s="579"/>
      <c r="H1099" s="245"/>
      <c r="I1099" s="245"/>
      <c r="J1099" s="245"/>
      <c r="K1099" s="245"/>
      <c r="L1099" s="245"/>
      <c r="N1099" s="579"/>
      <c r="O1099" s="579"/>
      <c r="P1099" s="579"/>
      <c r="Q1099" s="66"/>
      <c r="R1099" s="66"/>
      <c r="S1099" s="66"/>
    </row>
    <row r="1100" spans="2:19" x14ac:dyDescent="0.2">
      <c r="B1100" s="245"/>
      <c r="C1100" s="245"/>
      <c r="D1100" s="245"/>
      <c r="E1100" s="245"/>
      <c r="F1100" s="245"/>
      <c r="G1100" s="579"/>
      <c r="H1100" s="245"/>
      <c r="I1100" s="245"/>
      <c r="J1100" s="245"/>
      <c r="K1100" s="245"/>
      <c r="L1100" s="245"/>
      <c r="N1100" s="579"/>
      <c r="O1100" s="579"/>
      <c r="P1100" s="579"/>
      <c r="Q1100" s="66"/>
      <c r="R1100" s="66"/>
      <c r="S1100" s="66"/>
    </row>
    <row r="1101" spans="2:19" x14ac:dyDescent="0.2">
      <c r="B1101" s="245"/>
      <c r="C1101" s="245"/>
      <c r="D1101" s="245"/>
      <c r="E1101" s="245"/>
      <c r="F1101" s="245"/>
      <c r="G1101" s="579"/>
      <c r="H1101" s="245"/>
      <c r="I1101" s="245"/>
      <c r="J1101" s="245"/>
      <c r="K1101" s="245"/>
      <c r="L1101" s="245"/>
      <c r="N1101" s="579"/>
      <c r="O1101" s="579"/>
      <c r="P1101" s="579"/>
      <c r="Q1101" s="66"/>
      <c r="R1101" s="66"/>
      <c r="S1101" s="66"/>
    </row>
    <row r="1102" spans="2:19" x14ac:dyDescent="0.2">
      <c r="B1102" s="245"/>
      <c r="C1102" s="245"/>
      <c r="D1102" s="245"/>
      <c r="E1102" s="245"/>
      <c r="F1102" s="245"/>
      <c r="G1102" s="579"/>
      <c r="H1102" s="245"/>
      <c r="I1102" s="245"/>
      <c r="J1102" s="245"/>
      <c r="K1102" s="245"/>
      <c r="L1102" s="245"/>
      <c r="N1102" s="579"/>
      <c r="O1102" s="579"/>
      <c r="P1102" s="579"/>
      <c r="Q1102" s="66"/>
      <c r="R1102" s="66"/>
      <c r="S1102" s="66"/>
    </row>
    <row r="1103" spans="2:19" x14ac:dyDescent="0.2">
      <c r="B1103" s="245"/>
      <c r="C1103" s="245"/>
      <c r="D1103" s="245"/>
      <c r="E1103" s="245"/>
      <c r="F1103" s="245"/>
      <c r="G1103" s="579"/>
      <c r="H1103" s="245"/>
      <c r="I1103" s="245"/>
      <c r="J1103" s="245"/>
      <c r="K1103" s="245"/>
      <c r="L1103" s="245"/>
      <c r="N1103" s="579"/>
      <c r="O1103" s="579"/>
      <c r="P1103" s="579"/>
      <c r="Q1103" s="66"/>
      <c r="R1103" s="66"/>
      <c r="S1103" s="66"/>
    </row>
    <row r="1104" spans="2:19" x14ac:dyDescent="0.2">
      <c r="B1104" s="245"/>
      <c r="C1104" s="245"/>
      <c r="D1104" s="245"/>
      <c r="E1104" s="245"/>
      <c r="F1104" s="245"/>
      <c r="G1104" s="579"/>
      <c r="H1104" s="245"/>
      <c r="I1104" s="245"/>
      <c r="J1104" s="245"/>
      <c r="K1104" s="245"/>
      <c r="L1104" s="245"/>
      <c r="N1104" s="579"/>
      <c r="O1104" s="579"/>
      <c r="P1104" s="579"/>
      <c r="Q1104" s="66"/>
      <c r="R1104" s="66"/>
      <c r="S1104" s="66"/>
    </row>
    <row r="1105" spans="2:19" x14ac:dyDescent="0.2">
      <c r="B1105" s="245"/>
      <c r="C1105" s="245"/>
      <c r="D1105" s="245"/>
      <c r="E1105" s="245"/>
      <c r="F1105" s="245"/>
      <c r="G1105" s="579"/>
      <c r="H1105" s="245"/>
      <c r="I1105" s="245"/>
      <c r="J1105" s="245"/>
      <c r="K1105" s="245"/>
      <c r="L1105" s="245"/>
      <c r="N1105" s="579"/>
      <c r="O1105" s="579"/>
      <c r="P1105" s="579"/>
      <c r="Q1105" s="66"/>
      <c r="R1105" s="66"/>
      <c r="S1105" s="66"/>
    </row>
    <row r="1106" spans="2:19" x14ac:dyDescent="0.2">
      <c r="B1106" s="245"/>
      <c r="C1106" s="245"/>
      <c r="D1106" s="245"/>
      <c r="E1106" s="245"/>
      <c r="F1106" s="245"/>
      <c r="G1106" s="579"/>
      <c r="H1106" s="245"/>
      <c r="I1106" s="245"/>
      <c r="J1106" s="245"/>
      <c r="K1106" s="245"/>
      <c r="L1106" s="245"/>
      <c r="N1106" s="579"/>
      <c r="O1106" s="579"/>
      <c r="P1106" s="579"/>
      <c r="Q1106" s="66"/>
      <c r="R1106" s="66"/>
      <c r="S1106" s="66"/>
    </row>
    <row r="1107" spans="2:19" x14ac:dyDescent="0.2">
      <c r="B1107" s="245"/>
      <c r="C1107" s="245"/>
      <c r="D1107" s="245"/>
      <c r="E1107" s="245"/>
      <c r="F1107" s="245"/>
      <c r="G1107" s="579"/>
      <c r="H1107" s="245"/>
      <c r="I1107" s="245"/>
      <c r="J1107" s="245"/>
      <c r="K1107" s="245"/>
      <c r="L1107" s="245"/>
      <c r="N1107" s="579"/>
      <c r="O1107" s="579"/>
      <c r="P1107" s="579"/>
      <c r="Q1107" s="66"/>
      <c r="R1107" s="66"/>
      <c r="S1107" s="66"/>
    </row>
    <row r="1108" spans="2:19" x14ac:dyDescent="0.2">
      <c r="B1108" s="245"/>
      <c r="C1108" s="245"/>
      <c r="D1108" s="245"/>
      <c r="E1108" s="245"/>
      <c r="F1108" s="245"/>
      <c r="G1108" s="579"/>
      <c r="H1108" s="245"/>
      <c r="I1108" s="245"/>
      <c r="J1108" s="245"/>
      <c r="K1108" s="245"/>
      <c r="L1108" s="245"/>
      <c r="N1108" s="579"/>
      <c r="O1108" s="579"/>
      <c r="P1108" s="579"/>
      <c r="Q1108" s="66"/>
      <c r="R1108" s="66"/>
      <c r="S1108" s="66"/>
    </row>
    <row r="1109" spans="2:19" x14ac:dyDescent="0.2">
      <c r="B1109" s="245"/>
      <c r="C1109" s="245"/>
      <c r="D1109" s="245"/>
      <c r="E1109" s="245"/>
      <c r="F1109" s="245"/>
      <c r="G1109" s="579"/>
      <c r="H1109" s="245"/>
      <c r="I1109" s="245"/>
      <c r="J1109" s="245"/>
      <c r="K1109" s="245"/>
      <c r="L1109" s="245"/>
      <c r="N1109" s="579"/>
      <c r="O1109" s="579"/>
      <c r="P1109" s="579"/>
      <c r="Q1109" s="66"/>
      <c r="R1109" s="66"/>
      <c r="S1109" s="66"/>
    </row>
    <row r="1110" spans="2:19" x14ac:dyDescent="0.2">
      <c r="B1110" s="245"/>
      <c r="C1110" s="245"/>
      <c r="D1110" s="245"/>
      <c r="E1110" s="245"/>
      <c r="F1110" s="245"/>
      <c r="G1110" s="579"/>
      <c r="H1110" s="245"/>
      <c r="I1110" s="245"/>
      <c r="J1110" s="245"/>
      <c r="K1110" s="245"/>
      <c r="L1110" s="245"/>
      <c r="N1110" s="579"/>
      <c r="O1110" s="579"/>
      <c r="P1110" s="579"/>
      <c r="Q1110" s="66"/>
      <c r="R1110" s="66"/>
      <c r="S1110" s="66"/>
    </row>
    <row r="1111" spans="2:19" x14ac:dyDescent="0.2">
      <c r="B1111" s="245"/>
      <c r="C1111" s="245"/>
      <c r="D1111" s="245"/>
      <c r="E1111" s="245"/>
      <c r="F1111" s="245"/>
      <c r="G1111" s="579"/>
      <c r="H1111" s="245"/>
      <c r="I1111" s="245"/>
      <c r="J1111" s="245"/>
      <c r="K1111" s="245"/>
      <c r="L1111" s="245"/>
      <c r="N1111" s="579"/>
      <c r="O1111" s="579"/>
      <c r="P1111" s="579"/>
      <c r="Q1111" s="66"/>
      <c r="R1111" s="66"/>
      <c r="S1111" s="66"/>
    </row>
    <row r="1112" spans="2:19" x14ac:dyDescent="0.2">
      <c r="B1112" s="245"/>
      <c r="C1112" s="245"/>
      <c r="D1112" s="245"/>
      <c r="E1112" s="245"/>
      <c r="F1112" s="245"/>
      <c r="G1112" s="579"/>
      <c r="H1112" s="245"/>
      <c r="I1112" s="245"/>
      <c r="J1112" s="245"/>
      <c r="K1112" s="245"/>
      <c r="L1112" s="245"/>
      <c r="N1112" s="579"/>
      <c r="O1112" s="579"/>
      <c r="P1112" s="579"/>
      <c r="Q1112" s="66"/>
      <c r="R1112" s="66"/>
      <c r="S1112" s="66"/>
    </row>
    <row r="1113" spans="2:19" x14ac:dyDescent="0.2">
      <c r="B1113" s="245"/>
      <c r="C1113" s="245"/>
      <c r="D1113" s="245"/>
      <c r="E1113" s="245"/>
      <c r="F1113" s="245"/>
      <c r="G1113" s="579"/>
      <c r="H1113" s="245"/>
      <c r="I1113" s="245"/>
      <c r="J1113" s="245"/>
      <c r="K1113" s="245"/>
      <c r="L1113" s="245"/>
      <c r="N1113" s="579"/>
      <c r="O1113" s="579"/>
      <c r="P1113" s="579"/>
      <c r="Q1113" s="66"/>
      <c r="R1113" s="66"/>
      <c r="S1113" s="66"/>
    </row>
    <row r="1114" spans="2:19" x14ac:dyDescent="0.2">
      <c r="B1114" s="245"/>
      <c r="C1114" s="245"/>
      <c r="D1114" s="245"/>
      <c r="E1114" s="245"/>
      <c r="F1114" s="245"/>
      <c r="G1114" s="579"/>
      <c r="H1114" s="245"/>
      <c r="I1114" s="245"/>
      <c r="J1114" s="245"/>
      <c r="K1114" s="245"/>
      <c r="L1114" s="245"/>
      <c r="N1114" s="579"/>
      <c r="O1114" s="579"/>
      <c r="P1114" s="579"/>
      <c r="Q1114" s="66"/>
      <c r="R1114" s="66"/>
      <c r="S1114" s="66"/>
    </row>
    <row r="1115" spans="2:19" x14ac:dyDescent="0.2">
      <c r="B1115" s="245"/>
      <c r="C1115" s="245"/>
      <c r="D1115" s="245"/>
      <c r="E1115" s="245"/>
      <c r="F1115" s="245"/>
      <c r="G1115" s="579"/>
      <c r="H1115" s="245"/>
      <c r="I1115" s="245"/>
      <c r="J1115" s="245"/>
      <c r="K1115" s="245"/>
      <c r="L1115" s="245"/>
      <c r="N1115" s="579"/>
      <c r="O1115" s="579"/>
      <c r="P1115" s="579"/>
      <c r="Q1115" s="66"/>
      <c r="R1115" s="66"/>
      <c r="S1115" s="66"/>
    </row>
    <row r="1116" spans="2:19" x14ac:dyDescent="0.2">
      <c r="B1116" s="245"/>
      <c r="C1116" s="245"/>
      <c r="D1116" s="245"/>
      <c r="E1116" s="245"/>
      <c r="F1116" s="245"/>
      <c r="G1116" s="579"/>
      <c r="H1116" s="245"/>
      <c r="I1116" s="245"/>
      <c r="J1116" s="245"/>
      <c r="K1116" s="245"/>
      <c r="L1116" s="245"/>
      <c r="N1116" s="579"/>
      <c r="O1116" s="579"/>
      <c r="P1116" s="579"/>
      <c r="Q1116" s="66"/>
      <c r="R1116" s="66"/>
      <c r="S1116" s="66"/>
    </row>
    <row r="1117" spans="2:19" x14ac:dyDescent="0.2">
      <c r="B1117" s="245"/>
      <c r="C1117" s="245"/>
      <c r="D1117" s="245"/>
      <c r="E1117" s="245"/>
      <c r="F1117" s="245"/>
      <c r="G1117" s="579"/>
      <c r="H1117" s="245"/>
      <c r="I1117" s="245"/>
      <c r="J1117" s="245"/>
      <c r="K1117" s="245"/>
      <c r="L1117" s="245"/>
      <c r="N1117" s="579"/>
      <c r="O1117" s="579"/>
      <c r="P1117" s="579"/>
      <c r="Q1117" s="66"/>
      <c r="R1117" s="66"/>
      <c r="S1117" s="66"/>
    </row>
    <row r="1118" spans="2:19" x14ac:dyDescent="0.2">
      <c r="B1118" s="245"/>
      <c r="C1118" s="245"/>
      <c r="D1118" s="245"/>
      <c r="E1118" s="245"/>
      <c r="F1118" s="245"/>
      <c r="G1118" s="579"/>
      <c r="H1118" s="245"/>
      <c r="I1118" s="245"/>
      <c r="J1118" s="245"/>
      <c r="K1118" s="245"/>
      <c r="L1118" s="245"/>
      <c r="N1118" s="579"/>
      <c r="O1118" s="579"/>
      <c r="P1118" s="579"/>
      <c r="Q1118" s="66"/>
      <c r="R1118" s="66"/>
      <c r="S1118" s="66"/>
    </row>
    <row r="1119" spans="2:19" x14ac:dyDescent="0.2">
      <c r="B1119" s="245"/>
      <c r="C1119" s="245"/>
      <c r="D1119" s="245"/>
      <c r="E1119" s="245"/>
      <c r="F1119" s="245"/>
      <c r="G1119" s="579"/>
      <c r="H1119" s="245"/>
      <c r="I1119" s="245"/>
      <c r="J1119" s="245"/>
      <c r="K1119" s="245"/>
      <c r="L1119" s="245"/>
      <c r="N1119" s="579"/>
      <c r="O1119" s="579"/>
      <c r="P1119" s="579"/>
      <c r="Q1119" s="66"/>
      <c r="R1119" s="66"/>
      <c r="S1119" s="66"/>
    </row>
    <row r="1120" spans="2:19" x14ac:dyDescent="0.2">
      <c r="B1120" s="245"/>
      <c r="C1120" s="245"/>
      <c r="D1120" s="245"/>
      <c r="E1120" s="245"/>
      <c r="F1120" s="245"/>
      <c r="G1120" s="579"/>
      <c r="H1120" s="245"/>
      <c r="I1120" s="245"/>
      <c r="J1120" s="245"/>
      <c r="K1120" s="245"/>
      <c r="L1120" s="245"/>
      <c r="N1120" s="579"/>
      <c r="O1120" s="579"/>
      <c r="P1120" s="579"/>
      <c r="Q1120" s="66"/>
      <c r="R1120" s="66"/>
      <c r="S1120" s="66"/>
    </row>
    <row r="1121" spans="2:19" x14ac:dyDescent="0.2">
      <c r="B1121" s="245"/>
      <c r="C1121" s="245"/>
      <c r="D1121" s="245"/>
      <c r="E1121" s="245"/>
      <c r="F1121" s="245"/>
      <c r="G1121" s="579"/>
      <c r="H1121" s="245"/>
      <c r="I1121" s="245"/>
      <c r="J1121" s="245"/>
      <c r="K1121" s="245"/>
      <c r="L1121" s="245"/>
      <c r="N1121" s="579"/>
      <c r="O1121" s="579"/>
      <c r="P1121" s="579"/>
      <c r="Q1121" s="66"/>
      <c r="R1121" s="66"/>
      <c r="S1121" s="66"/>
    </row>
    <row r="1122" spans="2:19" x14ac:dyDescent="0.2">
      <c r="B1122" s="245"/>
      <c r="C1122" s="245"/>
      <c r="D1122" s="245"/>
      <c r="E1122" s="245"/>
      <c r="F1122" s="245"/>
      <c r="G1122" s="579"/>
      <c r="H1122" s="245"/>
      <c r="I1122" s="245"/>
      <c r="J1122" s="245"/>
      <c r="K1122" s="245"/>
      <c r="L1122" s="245"/>
      <c r="N1122" s="579"/>
      <c r="O1122" s="579"/>
      <c r="P1122" s="579"/>
      <c r="Q1122" s="66"/>
      <c r="R1122" s="66"/>
      <c r="S1122" s="66"/>
    </row>
    <row r="1123" spans="2:19" x14ac:dyDescent="0.2">
      <c r="B1123" s="245"/>
      <c r="C1123" s="245"/>
      <c r="D1123" s="245"/>
      <c r="E1123" s="245"/>
      <c r="F1123" s="245"/>
      <c r="G1123" s="579"/>
      <c r="H1123" s="245"/>
      <c r="I1123" s="245"/>
      <c r="J1123" s="245"/>
      <c r="K1123" s="245"/>
      <c r="L1123" s="245"/>
      <c r="N1123" s="579"/>
      <c r="O1123" s="579"/>
      <c r="P1123" s="579"/>
      <c r="Q1123" s="66"/>
      <c r="R1123" s="66"/>
      <c r="S1123" s="66"/>
    </row>
    <row r="1124" spans="2:19" x14ac:dyDescent="0.2">
      <c r="B1124" s="245"/>
      <c r="C1124" s="245"/>
      <c r="D1124" s="245"/>
      <c r="E1124" s="245"/>
      <c r="F1124" s="245"/>
      <c r="G1124" s="579"/>
      <c r="H1124" s="245"/>
      <c r="I1124" s="245"/>
      <c r="J1124" s="245"/>
      <c r="K1124" s="245"/>
      <c r="L1124" s="245"/>
      <c r="N1124" s="579"/>
      <c r="O1124" s="579"/>
      <c r="P1124" s="579"/>
      <c r="Q1124" s="66"/>
      <c r="R1124" s="66"/>
      <c r="S1124" s="66"/>
    </row>
    <row r="1125" spans="2:19" x14ac:dyDescent="0.2">
      <c r="B1125" s="245"/>
      <c r="C1125" s="245"/>
      <c r="D1125" s="245"/>
      <c r="E1125" s="245"/>
      <c r="F1125" s="245"/>
      <c r="G1125" s="579"/>
      <c r="H1125" s="245"/>
      <c r="I1125" s="245"/>
      <c r="J1125" s="245"/>
      <c r="K1125" s="245"/>
      <c r="L1125" s="245"/>
      <c r="N1125" s="579"/>
      <c r="O1125" s="579"/>
      <c r="P1125" s="579"/>
      <c r="Q1125" s="66"/>
      <c r="R1125" s="66"/>
      <c r="S1125" s="66"/>
    </row>
    <row r="1126" spans="2:19" x14ac:dyDescent="0.2">
      <c r="B1126" s="245"/>
      <c r="C1126" s="245"/>
      <c r="D1126" s="245"/>
      <c r="E1126" s="245"/>
      <c r="F1126" s="245"/>
      <c r="G1126" s="579"/>
      <c r="H1126" s="245"/>
      <c r="I1126" s="245"/>
      <c r="J1126" s="245"/>
      <c r="K1126" s="245"/>
      <c r="L1126" s="245"/>
      <c r="N1126" s="579"/>
      <c r="O1126" s="579"/>
      <c r="P1126" s="579"/>
      <c r="Q1126" s="66"/>
      <c r="R1126" s="66"/>
      <c r="S1126" s="66"/>
    </row>
    <row r="1127" spans="2:19" x14ac:dyDescent="0.2">
      <c r="B1127" s="245"/>
      <c r="C1127" s="245"/>
      <c r="D1127" s="245"/>
      <c r="E1127" s="245"/>
      <c r="F1127" s="245"/>
      <c r="G1127" s="579"/>
      <c r="H1127" s="245"/>
      <c r="I1127" s="245"/>
      <c r="J1127" s="245"/>
      <c r="K1127" s="245"/>
      <c r="L1127" s="245"/>
      <c r="N1127" s="579"/>
      <c r="O1127" s="579"/>
      <c r="P1127" s="579"/>
      <c r="Q1127" s="66"/>
      <c r="R1127" s="66"/>
      <c r="S1127" s="66"/>
    </row>
    <row r="1128" spans="2:19" x14ac:dyDescent="0.2">
      <c r="B1128" s="245"/>
      <c r="C1128" s="245"/>
      <c r="D1128" s="245"/>
      <c r="E1128" s="245"/>
      <c r="F1128" s="245"/>
      <c r="G1128" s="579"/>
      <c r="H1128" s="245"/>
      <c r="I1128" s="245"/>
      <c r="J1128" s="245"/>
      <c r="K1128" s="245"/>
      <c r="L1128" s="245"/>
      <c r="N1128" s="579"/>
      <c r="O1128" s="579"/>
      <c r="P1128" s="579"/>
      <c r="Q1128" s="66"/>
      <c r="R1128" s="66"/>
      <c r="S1128" s="66"/>
    </row>
    <row r="1129" spans="2:19" x14ac:dyDescent="0.2">
      <c r="B1129" s="245"/>
      <c r="C1129" s="245"/>
      <c r="D1129" s="245"/>
      <c r="E1129" s="245"/>
      <c r="F1129" s="245"/>
      <c r="G1129" s="579"/>
      <c r="H1129" s="245"/>
      <c r="I1129" s="245"/>
      <c r="J1129" s="245"/>
      <c r="K1129" s="245"/>
      <c r="L1129" s="245"/>
      <c r="N1129" s="579"/>
      <c r="O1129" s="579"/>
      <c r="P1129" s="579"/>
      <c r="Q1129" s="66"/>
      <c r="R1129" s="66"/>
      <c r="S1129" s="66"/>
    </row>
    <row r="1130" spans="2:19" x14ac:dyDescent="0.2">
      <c r="B1130" s="245"/>
      <c r="C1130" s="245"/>
      <c r="D1130" s="245"/>
      <c r="E1130" s="245"/>
      <c r="F1130" s="245"/>
      <c r="G1130" s="579"/>
      <c r="H1130" s="245"/>
      <c r="I1130" s="245"/>
      <c r="J1130" s="245"/>
      <c r="K1130" s="245"/>
      <c r="L1130" s="245"/>
      <c r="N1130" s="579"/>
      <c r="O1130" s="579"/>
      <c r="P1130" s="579"/>
      <c r="Q1130" s="66"/>
      <c r="R1130" s="66"/>
      <c r="S1130" s="66"/>
    </row>
    <row r="1131" spans="2:19" x14ac:dyDescent="0.2">
      <c r="B1131" s="245"/>
      <c r="C1131" s="245"/>
      <c r="D1131" s="245"/>
      <c r="E1131" s="245"/>
      <c r="F1131" s="245"/>
      <c r="G1131" s="579"/>
      <c r="H1131" s="245"/>
      <c r="I1131" s="245"/>
      <c r="J1131" s="245"/>
      <c r="K1131" s="245"/>
      <c r="L1131" s="245"/>
      <c r="N1131" s="579"/>
      <c r="O1131" s="579"/>
      <c r="P1131" s="579"/>
      <c r="Q1131" s="66"/>
      <c r="R1131" s="66"/>
      <c r="S1131" s="66"/>
    </row>
    <row r="1132" spans="2:19" x14ac:dyDescent="0.2">
      <c r="B1132" s="245"/>
      <c r="C1132" s="245"/>
      <c r="D1132" s="245"/>
      <c r="E1132" s="245"/>
      <c r="F1132" s="245"/>
      <c r="G1132" s="579"/>
      <c r="H1132" s="245"/>
      <c r="I1132" s="245"/>
      <c r="J1132" s="245"/>
      <c r="K1132" s="245"/>
      <c r="L1132" s="245"/>
      <c r="N1132" s="579"/>
      <c r="O1132" s="579"/>
      <c r="P1132" s="579"/>
      <c r="Q1132" s="66"/>
      <c r="R1132" s="66"/>
      <c r="S1132" s="66"/>
    </row>
    <row r="1133" spans="2:19" x14ac:dyDescent="0.2">
      <c r="B1133" s="245"/>
      <c r="C1133" s="245"/>
      <c r="D1133" s="245"/>
      <c r="E1133" s="245"/>
      <c r="F1133" s="245"/>
      <c r="G1133" s="579"/>
      <c r="H1133" s="245"/>
      <c r="I1133" s="245"/>
      <c r="J1133" s="245"/>
      <c r="K1133" s="245"/>
      <c r="L1133" s="245"/>
      <c r="N1133" s="579"/>
      <c r="O1133" s="579"/>
      <c r="P1133" s="579"/>
      <c r="Q1133" s="66"/>
      <c r="R1133" s="66"/>
      <c r="S1133" s="66"/>
    </row>
    <row r="1134" spans="2:19" x14ac:dyDescent="0.2">
      <c r="B1134" s="245"/>
      <c r="C1134" s="245"/>
      <c r="D1134" s="245"/>
      <c r="E1134" s="245"/>
      <c r="F1134" s="245"/>
      <c r="G1134" s="579"/>
      <c r="H1134" s="245"/>
      <c r="I1134" s="245"/>
      <c r="J1134" s="245"/>
      <c r="K1134" s="245"/>
      <c r="L1134" s="245"/>
      <c r="N1134" s="579"/>
      <c r="O1134" s="579"/>
      <c r="P1134" s="579"/>
      <c r="Q1134" s="66"/>
      <c r="R1134" s="66"/>
      <c r="S1134" s="66"/>
    </row>
    <row r="1135" spans="2:19" x14ac:dyDescent="0.2">
      <c r="B1135" s="245"/>
      <c r="C1135" s="245"/>
      <c r="D1135" s="245"/>
      <c r="E1135" s="245"/>
      <c r="F1135" s="245"/>
      <c r="G1135" s="579"/>
      <c r="H1135" s="245"/>
      <c r="I1135" s="245"/>
      <c r="J1135" s="245"/>
      <c r="K1135" s="245"/>
      <c r="L1135" s="245"/>
      <c r="N1135" s="579"/>
      <c r="O1135" s="579"/>
      <c r="P1135" s="579"/>
      <c r="Q1135" s="66"/>
      <c r="R1135" s="66"/>
      <c r="S1135" s="66"/>
    </row>
    <row r="1136" spans="2:19" x14ac:dyDescent="0.2">
      <c r="B1136" s="245"/>
      <c r="C1136" s="245"/>
      <c r="D1136" s="245"/>
      <c r="E1136" s="245"/>
      <c r="F1136" s="245"/>
      <c r="G1136" s="579"/>
      <c r="H1136" s="245"/>
      <c r="I1136" s="245"/>
      <c r="J1136" s="245"/>
      <c r="K1136" s="245"/>
      <c r="L1136" s="245"/>
      <c r="N1136" s="579"/>
      <c r="O1136" s="579"/>
      <c r="P1136" s="579"/>
      <c r="Q1136" s="66"/>
      <c r="R1136" s="66"/>
      <c r="S1136" s="66"/>
    </row>
    <row r="1137" spans="2:19" x14ac:dyDescent="0.2">
      <c r="B1137" s="245"/>
      <c r="C1137" s="245"/>
      <c r="D1137" s="245"/>
      <c r="E1137" s="245"/>
      <c r="F1137" s="245"/>
      <c r="G1137" s="579"/>
      <c r="H1137" s="245"/>
      <c r="I1137" s="245"/>
      <c r="J1137" s="245"/>
      <c r="K1137" s="245"/>
      <c r="L1137" s="245"/>
      <c r="N1137" s="579"/>
      <c r="O1137" s="579"/>
      <c r="P1137" s="579"/>
      <c r="Q1137" s="66"/>
      <c r="R1137" s="66"/>
      <c r="S1137" s="66"/>
    </row>
    <row r="1138" spans="2:19" x14ac:dyDescent="0.2">
      <c r="B1138" s="245"/>
      <c r="C1138" s="245"/>
      <c r="D1138" s="245"/>
      <c r="E1138" s="245"/>
      <c r="F1138" s="245"/>
      <c r="G1138" s="579"/>
      <c r="H1138" s="245"/>
      <c r="I1138" s="245"/>
      <c r="J1138" s="245"/>
      <c r="K1138" s="245"/>
      <c r="L1138" s="245"/>
      <c r="N1138" s="579"/>
      <c r="O1138" s="579"/>
      <c r="P1138" s="579"/>
      <c r="Q1138" s="66"/>
      <c r="R1138" s="66"/>
      <c r="S1138" s="66"/>
    </row>
    <row r="1139" spans="2:19" x14ac:dyDescent="0.2">
      <c r="B1139" s="245"/>
      <c r="C1139" s="245"/>
      <c r="D1139" s="245"/>
      <c r="E1139" s="245"/>
      <c r="F1139" s="245"/>
      <c r="G1139" s="579"/>
      <c r="H1139" s="245"/>
      <c r="I1139" s="245"/>
      <c r="J1139" s="245"/>
      <c r="K1139" s="245"/>
      <c r="L1139" s="245"/>
      <c r="N1139" s="579"/>
      <c r="O1139" s="579"/>
      <c r="P1139" s="579"/>
      <c r="Q1139" s="66"/>
      <c r="R1139" s="66"/>
      <c r="S1139" s="66"/>
    </row>
    <row r="1140" spans="2:19" x14ac:dyDescent="0.2">
      <c r="B1140" s="245"/>
      <c r="C1140" s="245"/>
      <c r="D1140" s="245"/>
      <c r="E1140" s="245"/>
      <c r="F1140" s="245"/>
      <c r="G1140" s="579"/>
      <c r="H1140" s="245"/>
      <c r="I1140" s="245"/>
      <c r="J1140" s="245"/>
      <c r="K1140" s="245"/>
      <c r="L1140" s="245"/>
      <c r="N1140" s="579"/>
      <c r="O1140" s="579"/>
      <c r="P1140" s="579"/>
      <c r="Q1140" s="66"/>
      <c r="R1140" s="66"/>
      <c r="S1140" s="66"/>
    </row>
    <row r="1141" spans="2:19" x14ac:dyDescent="0.2">
      <c r="B1141" s="245"/>
      <c r="C1141" s="245"/>
      <c r="D1141" s="245"/>
      <c r="E1141" s="245"/>
      <c r="F1141" s="245"/>
      <c r="G1141" s="579"/>
      <c r="H1141" s="245"/>
      <c r="I1141" s="245"/>
      <c r="J1141" s="245"/>
      <c r="K1141" s="245"/>
      <c r="L1141" s="245"/>
      <c r="N1141" s="579"/>
      <c r="O1141" s="579"/>
      <c r="P1141" s="579"/>
      <c r="Q1141" s="66"/>
      <c r="R1141" s="66"/>
      <c r="S1141" s="66"/>
    </row>
    <row r="1142" spans="2:19" x14ac:dyDescent="0.2">
      <c r="B1142" s="245"/>
      <c r="C1142" s="245"/>
      <c r="D1142" s="245"/>
      <c r="E1142" s="245"/>
      <c r="F1142" s="245"/>
      <c r="G1142" s="579"/>
      <c r="H1142" s="245"/>
      <c r="I1142" s="245"/>
      <c r="J1142" s="245"/>
      <c r="K1142" s="245"/>
      <c r="L1142" s="245"/>
      <c r="N1142" s="579"/>
      <c r="O1142" s="579"/>
      <c r="P1142" s="579"/>
      <c r="Q1142" s="66"/>
      <c r="R1142" s="66"/>
      <c r="S1142" s="66"/>
    </row>
    <row r="1143" spans="2:19" x14ac:dyDescent="0.2">
      <c r="B1143" s="245"/>
      <c r="C1143" s="245"/>
      <c r="D1143" s="245"/>
      <c r="E1143" s="245"/>
      <c r="F1143" s="245"/>
      <c r="G1143" s="579"/>
      <c r="H1143" s="245"/>
      <c r="I1143" s="245"/>
      <c r="J1143" s="245"/>
      <c r="K1143" s="245"/>
      <c r="L1143" s="245"/>
      <c r="N1143" s="579"/>
      <c r="O1143" s="579"/>
      <c r="P1143" s="579"/>
      <c r="Q1143" s="66"/>
      <c r="R1143" s="66"/>
      <c r="S1143" s="66"/>
    </row>
    <row r="1144" spans="2:19" x14ac:dyDescent="0.2">
      <c r="B1144" s="245"/>
      <c r="C1144" s="245"/>
      <c r="D1144" s="245"/>
      <c r="E1144" s="245"/>
      <c r="F1144" s="245"/>
      <c r="G1144" s="579"/>
      <c r="H1144" s="245"/>
      <c r="I1144" s="245"/>
      <c r="J1144" s="245"/>
      <c r="K1144" s="245"/>
      <c r="L1144" s="245"/>
      <c r="N1144" s="579"/>
      <c r="O1144" s="579"/>
      <c r="P1144" s="579"/>
      <c r="Q1144" s="66"/>
      <c r="R1144" s="66"/>
      <c r="S1144" s="66"/>
    </row>
    <row r="1145" spans="2:19" x14ac:dyDescent="0.2">
      <c r="B1145" s="245"/>
      <c r="C1145" s="245"/>
      <c r="D1145" s="245"/>
      <c r="E1145" s="245"/>
      <c r="F1145" s="245"/>
      <c r="G1145" s="579"/>
      <c r="H1145" s="245"/>
      <c r="I1145" s="245"/>
      <c r="J1145" s="245"/>
      <c r="K1145" s="245"/>
      <c r="L1145" s="245"/>
      <c r="N1145" s="579"/>
      <c r="O1145" s="579"/>
      <c r="P1145" s="579"/>
      <c r="Q1145" s="66"/>
      <c r="R1145" s="66"/>
      <c r="S1145" s="66"/>
    </row>
    <row r="1146" spans="2:19" x14ac:dyDescent="0.2">
      <c r="B1146" s="245"/>
      <c r="C1146" s="245"/>
      <c r="D1146" s="245"/>
      <c r="E1146" s="245"/>
      <c r="F1146" s="245"/>
      <c r="G1146" s="579"/>
      <c r="H1146" s="245"/>
      <c r="I1146" s="245"/>
      <c r="J1146" s="245"/>
      <c r="K1146" s="245"/>
      <c r="L1146" s="245"/>
      <c r="N1146" s="579"/>
      <c r="O1146" s="579"/>
      <c r="P1146" s="579"/>
      <c r="Q1146" s="66"/>
      <c r="R1146" s="66"/>
      <c r="S1146" s="66"/>
    </row>
    <row r="1147" spans="2:19" x14ac:dyDescent="0.2">
      <c r="B1147" s="245"/>
      <c r="C1147" s="245"/>
      <c r="D1147" s="245"/>
      <c r="E1147" s="245"/>
      <c r="F1147" s="245"/>
      <c r="G1147" s="579"/>
      <c r="H1147" s="245"/>
      <c r="I1147" s="245"/>
      <c r="J1147" s="245"/>
      <c r="K1147" s="245"/>
      <c r="L1147" s="245"/>
      <c r="N1147" s="579"/>
      <c r="O1147" s="579"/>
      <c r="P1147" s="579"/>
      <c r="Q1147" s="66"/>
      <c r="R1147" s="66"/>
      <c r="S1147" s="66"/>
    </row>
    <row r="1148" spans="2:19" x14ac:dyDescent="0.2">
      <c r="B1148" s="245"/>
      <c r="C1148" s="245"/>
      <c r="D1148" s="245"/>
      <c r="E1148" s="245"/>
      <c r="F1148" s="245"/>
      <c r="G1148" s="579"/>
      <c r="H1148" s="245"/>
      <c r="I1148" s="245"/>
      <c r="J1148" s="245"/>
      <c r="K1148" s="245"/>
      <c r="L1148" s="245"/>
      <c r="N1148" s="579"/>
      <c r="O1148" s="579"/>
      <c r="P1148" s="579"/>
      <c r="Q1148" s="66"/>
      <c r="R1148" s="66"/>
      <c r="S1148" s="66"/>
    </row>
    <row r="1149" spans="2:19" x14ac:dyDescent="0.2">
      <c r="B1149" s="245"/>
      <c r="C1149" s="245"/>
      <c r="D1149" s="245"/>
      <c r="E1149" s="245"/>
      <c r="F1149" s="245"/>
      <c r="G1149" s="579"/>
      <c r="H1149" s="245"/>
      <c r="I1149" s="245"/>
      <c r="J1149" s="245"/>
      <c r="K1149" s="245"/>
      <c r="L1149" s="245"/>
      <c r="N1149" s="579"/>
      <c r="O1149" s="579"/>
      <c r="P1149" s="579"/>
      <c r="Q1149" s="66"/>
      <c r="R1149" s="66"/>
      <c r="S1149" s="66"/>
    </row>
    <row r="1150" spans="2:19" x14ac:dyDescent="0.2">
      <c r="B1150" s="245"/>
      <c r="C1150" s="245"/>
      <c r="D1150" s="245"/>
      <c r="E1150" s="245"/>
      <c r="F1150" s="245"/>
      <c r="G1150" s="579"/>
      <c r="H1150" s="245"/>
      <c r="I1150" s="245"/>
      <c r="J1150" s="245"/>
      <c r="K1150" s="245"/>
      <c r="L1150" s="245"/>
      <c r="N1150" s="579"/>
      <c r="O1150" s="579"/>
      <c r="P1150" s="579"/>
      <c r="Q1150" s="66"/>
      <c r="R1150" s="66"/>
      <c r="S1150" s="66"/>
    </row>
    <row r="1151" spans="2:19" x14ac:dyDescent="0.2">
      <c r="B1151" s="245"/>
      <c r="C1151" s="245"/>
      <c r="D1151" s="245"/>
      <c r="E1151" s="245"/>
      <c r="F1151" s="245"/>
      <c r="G1151" s="579"/>
      <c r="H1151" s="245"/>
      <c r="I1151" s="245"/>
      <c r="J1151" s="245"/>
      <c r="K1151" s="245"/>
      <c r="L1151" s="245"/>
      <c r="N1151" s="579"/>
      <c r="O1151" s="579"/>
      <c r="P1151" s="579"/>
      <c r="Q1151" s="66"/>
      <c r="R1151" s="66"/>
      <c r="S1151" s="66"/>
    </row>
    <row r="1152" spans="2:19" x14ac:dyDescent="0.2">
      <c r="B1152" s="245"/>
      <c r="C1152" s="245"/>
      <c r="D1152" s="245"/>
      <c r="E1152" s="245"/>
      <c r="F1152" s="245"/>
      <c r="G1152" s="579"/>
      <c r="H1152" s="245"/>
      <c r="I1152" s="245"/>
      <c r="J1152" s="245"/>
      <c r="K1152" s="245"/>
      <c r="L1152" s="245"/>
      <c r="N1152" s="579"/>
      <c r="O1152" s="579"/>
      <c r="P1152" s="579"/>
      <c r="Q1152" s="66"/>
      <c r="R1152" s="66"/>
      <c r="S1152" s="66"/>
    </row>
    <row r="1153" spans="2:19" x14ac:dyDescent="0.2">
      <c r="B1153" s="245"/>
      <c r="C1153" s="245"/>
      <c r="D1153" s="245"/>
      <c r="E1153" s="245"/>
      <c r="F1153" s="245"/>
      <c r="G1153" s="579"/>
      <c r="H1153" s="245"/>
      <c r="I1153" s="245"/>
      <c r="J1153" s="245"/>
      <c r="K1153" s="245"/>
      <c r="L1153" s="245"/>
      <c r="N1153" s="579"/>
      <c r="O1153" s="579"/>
      <c r="P1153" s="579"/>
      <c r="Q1153" s="66"/>
      <c r="R1153" s="66"/>
      <c r="S1153" s="66"/>
    </row>
    <row r="1154" spans="2:19" x14ac:dyDescent="0.2">
      <c r="B1154" s="245"/>
      <c r="C1154" s="245"/>
      <c r="D1154" s="245"/>
      <c r="E1154" s="245"/>
      <c r="F1154" s="245"/>
      <c r="G1154" s="579"/>
      <c r="H1154" s="245"/>
      <c r="I1154" s="245"/>
      <c r="J1154" s="245"/>
      <c r="K1154" s="245"/>
      <c r="L1154" s="245"/>
      <c r="N1154" s="579"/>
      <c r="O1154" s="579"/>
      <c r="P1154" s="579"/>
      <c r="Q1154" s="66"/>
      <c r="R1154" s="66"/>
      <c r="S1154" s="66"/>
    </row>
    <row r="1155" spans="2:19" x14ac:dyDescent="0.2">
      <c r="B1155" s="245"/>
      <c r="C1155" s="245"/>
      <c r="D1155" s="245"/>
      <c r="E1155" s="245"/>
      <c r="F1155" s="245"/>
      <c r="G1155" s="579"/>
      <c r="H1155" s="245"/>
      <c r="I1155" s="245"/>
      <c r="J1155" s="245"/>
      <c r="K1155" s="245"/>
      <c r="L1155" s="245"/>
      <c r="N1155" s="579"/>
      <c r="O1155" s="579"/>
      <c r="P1155" s="579"/>
      <c r="Q1155" s="66"/>
      <c r="R1155" s="66"/>
      <c r="S1155" s="66"/>
    </row>
    <row r="1156" spans="2:19" x14ac:dyDescent="0.2">
      <c r="B1156" s="245"/>
      <c r="C1156" s="245"/>
      <c r="D1156" s="245"/>
      <c r="E1156" s="245"/>
      <c r="F1156" s="245"/>
      <c r="G1156" s="579"/>
      <c r="H1156" s="245"/>
      <c r="I1156" s="245"/>
      <c r="J1156" s="245"/>
      <c r="K1156" s="245"/>
      <c r="L1156" s="245"/>
      <c r="N1156" s="579"/>
      <c r="O1156" s="579"/>
      <c r="P1156" s="579"/>
      <c r="Q1156" s="66"/>
      <c r="R1156" s="66"/>
      <c r="S1156" s="66"/>
    </row>
    <row r="1157" spans="2:19" x14ac:dyDescent="0.2">
      <c r="B1157" s="245"/>
      <c r="C1157" s="245"/>
      <c r="D1157" s="245"/>
      <c r="E1157" s="245"/>
      <c r="F1157" s="245"/>
      <c r="G1157" s="579"/>
      <c r="H1157" s="245"/>
      <c r="I1157" s="245"/>
      <c r="J1157" s="245"/>
      <c r="K1157" s="245"/>
      <c r="L1157" s="245"/>
      <c r="N1157" s="579"/>
      <c r="O1157" s="579"/>
      <c r="P1157" s="579"/>
      <c r="Q1157" s="66"/>
      <c r="R1157" s="66"/>
      <c r="S1157" s="66"/>
    </row>
    <row r="1158" spans="2:19" x14ac:dyDescent="0.2">
      <c r="B1158" s="245"/>
      <c r="C1158" s="245"/>
      <c r="D1158" s="245"/>
      <c r="E1158" s="245"/>
      <c r="F1158" s="245"/>
      <c r="G1158" s="579"/>
      <c r="H1158" s="245"/>
      <c r="I1158" s="245"/>
      <c r="J1158" s="245"/>
      <c r="K1158" s="245"/>
      <c r="L1158" s="245"/>
      <c r="N1158" s="579"/>
      <c r="O1158" s="579"/>
      <c r="P1158" s="579"/>
      <c r="Q1158" s="66"/>
      <c r="R1158" s="66"/>
      <c r="S1158" s="66"/>
    </row>
    <row r="1159" spans="2:19" x14ac:dyDescent="0.2">
      <c r="B1159" s="245"/>
      <c r="C1159" s="245"/>
      <c r="D1159" s="245"/>
      <c r="E1159" s="245"/>
      <c r="F1159" s="245"/>
      <c r="G1159" s="579"/>
      <c r="H1159" s="245"/>
      <c r="I1159" s="245"/>
      <c r="J1159" s="245"/>
      <c r="K1159" s="245"/>
      <c r="L1159" s="245"/>
      <c r="N1159" s="579"/>
      <c r="O1159" s="579"/>
      <c r="P1159" s="579"/>
      <c r="Q1159" s="66"/>
      <c r="R1159" s="66"/>
      <c r="S1159" s="66"/>
    </row>
    <row r="1160" spans="2:19" x14ac:dyDescent="0.2">
      <c r="B1160" s="245"/>
      <c r="C1160" s="245"/>
      <c r="D1160" s="245"/>
      <c r="E1160" s="245"/>
      <c r="F1160" s="245"/>
      <c r="G1160" s="579"/>
      <c r="H1160" s="245"/>
      <c r="I1160" s="245"/>
      <c r="J1160" s="245"/>
      <c r="K1160" s="245"/>
      <c r="L1160" s="245"/>
      <c r="N1160" s="579"/>
      <c r="O1160" s="579"/>
      <c r="P1160" s="579"/>
      <c r="Q1160" s="66"/>
      <c r="R1160" s="66"/>
      <c r="S1160" s="66"/>
    </row>
    <row r="1161" spans="2:19" x14ac:dyDescent="0.2">
      <c r="B1161" s="245"/>
      <c r="C1161" s="245"/>
      <c r="D1161" s="245"/>
      <c r="E1161" s="245"/>
      <c r="F1161" s="245"/>
      <c r="G1161" s="579"/>
      <c r="H1161" s="245"/>
      <c r="I1161" s="245"/>
      <c r="J1161" s="245"/>
      <c r="K1161" s="245"/>
      <c r="L1161" s="245"/>
      <c r="N1161" s="579"/>
      <c r="O1161" s="579"/>
      <c r="P1161" s="579"/>
      <c r="Q1161" s="66"/>
      <c r="R1161" s="66"/>
      <c r="S1161" s="66"/>
    </row>
    <row r="1162" spans="2:19" x14ac:dyDescent="0.2">
      <c r="B1162" s="245"/>
      <c r="C1162" s="245"/>
      <c r="D1162" s="245"/>
      <c r="E1162" s="245"/>
      <c r="F1162" s="245"/>
      <c r="G1162" s="579"/>
      <c r="H1162" s="245"/>
      <c r="I1162" s="245"/>
      <c r="J1162" s="245"/>
      <c r="K1162" s="245"/>
      <c r="L1162" s="245"/>
      <c r="N1162" s="579"/>
      <c r="O1162" s="579"/>
      <c r="P1162" s="579"/>
      <c r="Q1162" s="66"/>
      <c r="R1162" s="66"/>
      <c r="S1162" s="66"/>
    </row>
    <row r="1163" spans="2:19" x14ac:dyDescent="0.2">
      <c r="B1163" s="245"/>
      <c r="C1163" s="245"/>
      <c r="D1163" s="245"/>
      <c r="E1163" s="245"/>
      <c r="F1163" s="245"/>
      <c r="G1163" s="579"/>
      <c r="H1163" s="245"/>
      <c r="I1163" s="245"/>
      <c r="J1163" s="245"/>
      <c r="K1163" s="245"/>
      <c r="L1163" s="245"/>
      <c r="N1163" s="579"/>
      <c r="O1163" s="579"/>
      <c r="P1163" s="579"/>
      <c r="Q1163" s="66"/>
      <c r="R1163" s="66"/>
      <c r="S1163" s="66"/>
    </row>
    <row r="1164" spans="2:19" x14ac:dyDescent="0.2">
      <c r="B1164" s="245"/>
      <c r="C1164" s="245"/>
      <c r="D1164" s="245"/>
      <c r="E1164" s="245"/>
      <c r="F1164" s="245"/>
      <c r="G1164" s="579"/>
      <c r="H1164" s="245"/>
      <c r="I1164" s="245"/>
      <c r="J1164" s="245"/>
      <c r="K1164" s="245"/>
      <c r="L1164" s="245"/>
      <c r="N1164" s="579"/>
      <c r="O1164" s="579"/>
      <c r="P1164" s="579"/>
      <c r="Q1164" s="66"/>
      <c r="R1164" s="66"/>
      <c r="S1164" s="66"/>
    </row>
    <row r="1165" spans="2:19" x14ac:dyDescent="0.2">
      <c r="B1165" s="245"/>
      <c r="C1165" s="245"/>
      <c r="D1165" s="245"/>
      <c r="E1165" s="245"/>
      <c r="F1165" s="245"/>
      <c r="G1165" s="579"/>
      <c r="H1165" s="245"/>
      <c r="I1165" s="245"/>
      <c r="J1165" s="245"/>
      <c r="K1165" s="245"/>
      <c r="L1165" s="245"/>
      <c r="N1165" s="579"/>
      <c r="O1165" s="579"/>
      <c r="P1165" s="579"/>
      <c r="Q1165" s="66"/>
      <c r="R1165" s="66"/>
      <c r="S1165" s="66"/>
    </row>
    <row r="1166" spans="2:19" x14ac:dyDescent="0.2">
      <c r="B1166" s="245"/>
      <c r="C1166" s="245"/>
      <c r="D1166" s="245"/>
      <c r="E1166" s="245"/>
      <c r="F1166" s="245"/>
      <c r="G1166" s="579"/>
      <c r="H1166" s="245"/>
      <c r="I1166" s="245"/>
      <c r="J1166" s="245"/>
      <c r="K1166" s="245"/>
      <c r="L1166" s="245"/>
      <c r="N1166" s="579"/>
      <c r="O1166" s="579"/>
      <c r="P1166" s="579"/>
      <c r="Q1166" s="66"/>
      <c r="R1166" s="66"/>
      <c r="S1166" s="66"/>
    </row>
    <row r="1167" spans="2:19" x14ac:dyDescent="0.2">
      <c r="B1167" s="245"/>
      <c r="C1167" s="245"/>
      <c r="D1167" s="245"/>
      <c r="E1167" s="245"/>
      <c r="F1167" s="245"/>
      <c r="G1167" s="579"/>
      <c r="H1167" s="245"/>
      <c r="I1167" s="245"/>
      <c r="J1167" s="245"/>
      <c r="K1167" s="245"/>
      <c r="L1167" s="245"/>
      <c r="N1167" s="579"/>
      <c r="O1167" s="579"/>
      <c r="P1167" s="579"/>
      <c r="Q1167" s="66"/>
      <c r="R1167" s="66"/>
      <c r="S1167" s="66"/>
    </row>
    <row r="1168" spans="2:19" x14ac:dyDescent="0.2">
      <c r="B1168" s="245"/>
      <c r="C1168" s="245"/>
      <c r="D1168" s="245"/>
      <c r="E1168" s="245"/>
      <c r="F1168" s="245"/>
      <c r="G1168" s="579"/>
      <c r="H1168" s="245"/>
      <c r="I1168" s="245"/>
      <c r="J1168" s="245"/>
      <c r="K1168" s="245"/>
      <c r="L1168" s="245"/>
      <c r="N1168" s="579"/>
      <c r="O1168" s="579"/>
      <c r="P1168" s="579"/>
      <c r="Q1168" s="66"/>
      <c r="R1168" s="66"/>
      <c r="S1168" s="66"/>
    </row>
    <row r="1169" spans="2:19" x14ac:dyDescent="0.2">
      <c r="B1169" s="245"/>
      <c r="C1169" s="245"/>
      <c r="D1169" s="245"/>
      <c r="E1169" s="245"/>
      <c r="F1169" s="245"/>
      <c r="G1169" s="579"/>
      <c r="H1169" s="245"/>
      <c r="I1169" s="245"/>
      <c r="J1169" s="245"/>
      <c r="K1169" s="245"/>
      <c r="L1169" s="245"/>
      <c r="N1169" s="579"/>
      <c r="O1169" s="579"/>
      <c r="P1169" s="579"/>
      <c r="Q1169" s="66"/>
      <c r="R1169" s="66"/>
      <c r="S1169" s="66"/>
    </row>
    <row r="1170" spans="2:19" x14ac:dyDescent="0.2">
      <c r="B1170" s="245"/>
      <c r="C1170" s="245"/>
      <c r="D1170" s="245"/>
      <c r="E1170" s="245"/>
      <c r="F1170" s="245"/>
      <c r="G1170" s="579"/>
      <c r="H1170" s="245"/>
      <c r="I1170" s="245"/>
      <c r="J1170" s="245"/>
      <c r="K1170" s="245"/>
      <c r="L1170" s="245"/>
      <c r="N1170" s="579"/>
      <c r="O1170" s="579"/>
      <c r="P1170" s="579"/>
      <c r="Q1170" s="66"/>
      <c r="R1170" s="66"/>
      <c r="S1170" s="66"/>
    </row>
    <row r="1171" spans="2:19" x14ac:dyDescent="0.2">
      <c r="B1171" s="245"/>
      <c r="C1171" s="245"/>
      <c r="D1171" s="245"/>
      <c r="E1171" s="245"/>
      <c r="F1171" s="245"/>
      <c r="G1171" s="579"/>
      <c r="H1171" s="245"/>
      <c r="I1171" s="245"/>
      <c r="J1171" s="245"/>
      <c r="K1171" s="245"/>
      <c r="L1171" s="245"/>
      <c r="N1171" s="579"/>
      <c r="O1171" s="579"/>
      <c r="P1171" s="579"/>
      <c r="Q1171" s="66"/>
      <c r="R1171" s="66"/>
      <c r="S1171" s="66"/>
    </row>
    <row r="1172" spans="2:19" x14ac:dyDescent="0.2">
      <c r="B1172" s="245"/>
      <c r="C1172" s="245"/>
      <c r="D1172" s="245"/>
      <c r="E1172" s="245"/>
      <c r="F1172" s="245"/>
      <c r="G1172" s="579"/>
      <c r="H1172" s="245"/>
      <c r="I1172" s="245"/>
      <c r="J1172" s="245"/>
      <c r="K1172" s="245"/>
      <c r="L1172" s="245"/>
      <c r="N1172" s="579"/>
      <c r="O1172" s="579"/>
      <c r="P1172" s="579"/>
      <c r="Q1172" s="66"/>
      <c r="R1172" s="66"/>
      <c r="S1172" s="66"/>
    </row>
    <row r="1173" spans="2:19" x14ac:dyDescent="0.2">
      <c r="B1173" s="245"/>
      <c r="C1173" s="245"/>
      <c r="D1173" s="245"/>
      <c r="E1173" s="245"/>
      <c r="F1173" s="245"/>
      <c r="G1173" s="579"/>
      <c r="H1173" s="245"/>
      <c r="I1173" s="245"/>
      <c r="J1173" s="245"/>
      <c r="K1173" s="245"/>
      <c r="L1173" s="245"/>
      <c r="N1173" s="579"/>
      <c r="O1173" s="579"/>
      <c r="P1173" s="579"/>
      <c r="Q1173" s="66"/>
      <c r="R1173" s="66"/>
      <c r="S1173" s="66"/>
    </row>
    <row r="1174" spans="2:19" x14ac:dyDescent="0.2">
      <c r="B1174" s="245"/>
      <c r="C1174" s="245"/>
      <c r="D1174" s="245"/>
      <c r="E1174" s="245"/>
      <c r="F1174" s="245"/>
      <c r="G1174" s="579"/>
      <c r="H1174" s="245"/>
      <c r="I1174" s="245"/>
      <c r="J1174" s="245"/>
      <c r="K1174" s="245"/>
      <c r="L1174" s="245"/>
      <c r="N1174" s="579"/>
      <c r="O1174" s="579"/>
      <c r="P1174" s="579"/>
      <c r="Q1174" s="66"/>
      <c r="R1174" s="66"/>
      <c r="S1174" s="66"/>
    </row>
    <row r="1175" spans="2:19" x14ac:dyDescent="0.2">
      <c r="B1175" s="245"/>
      <c r="C1175" s="245"/>
      <c r="D1175" s="245"/>
      <c r="E1175" s="245"/>
      <c r="F1175" s="245"/>
      <c r="G1175" s="579"/>
      <c r="H1175" s="245"/>
      <c r="I1175" s="245"/>
      <c r="J1175" s="245"/>
      <c r="K1175" s="245"/>
      <c r="L1175" s="245"/>
      <c r="N1175" s="579"/>
      <c r="O1175" s="579"/>
      <c r="P1175" s="579"/>
      <c r="Q1175" s="66"/>
      <c r="R1175" s="66"/>
      <c r="S1175" s="66"/>
    </row>
    <row r="1176" spans="2:19" x14ac:dyDescent="0.2">
      <c r="B1176" s="245"/>
      <c r="C1176" s="245"/>
      <c r="D1176" s="245"/>
      <c r="E1176" s="245"/>
      <c r="F1176" s="245"/>
      <c r="G1176" s="579"/>
      <c r="H1176" s="245"/>
      <c r="I1176" s="245"/>
      <c r="J1176" s="245"/>
      <c r="K1176" s="245"/>
      <c r="L1176" s="245"/>
      <c r="N1176" s="579"/>
      <c r="O1176" s="579"/>
      <c r="P1176" s="579"/>
      <c r="Q1176" s="66"/>
      <c r="R1176" s="66"/>
      <c r="S1176" s="66"/>
    </row>
    <row r="1177" spans="2:19" x14ac:dyDescent="0.2">
      <c r="B1177" s="245"/>
      <c r="C1177" s="245"/>
      <c r="D1177" s="245"/>
      <c r="E1177" s="245"/>
      <c r="F1177" s="245"/>
      <c r="G1177" s="579"/>
      <c r="H1177" s="245"/>
      <c r="I1177" s="245"/>
      <c r="J1177" s="245"/>
      <c r="K1177" s="245"/>
      <c r="L1177" s="245"/>
      <c r="N1177" s="579"/>
      <c r="O1177" s="579"/>
      <c r="P1177" s="579"/>
      <c r="Q1177" s="66"/>
      <c r="R1177" s="66"/>
      <c r="S1177" s="66"/>
    </row>
    <row r="1178" spans="2:19" x14ac:dyDescent="0.2">
      <c r="B1178" s="245"/>
      <c r="C1178" s="245"/>
      <c r="D1178" s="245"/>
      <c r="E1178" s="245"/>
      <c r="F1178" s="245"/>
      <c r="G1178" s="579"/>
      <c r="H1178" s="245"/>
      <c r="I1178" s="245"/>
      <c r="J1178" s="245"/>
      <c r="K1178" s="245"/>
      <c r="L1178" s="245"/>
      <c r="N1178" s="579"/>
      <c r="O1178" s="579"/>
      <c r="P1178" s="579"/>
      <c r="Q1178" s="66"/>
      <c r="R1178" s="66"/>
      <c r="S1178" s="66"/>
    </row>
    <row r="1179" spans="2:19" x14ac:dyDescent="0.2">
      <c r="B1179" s="245"/>
      <c r="C1179" s="245"/>
      <c r="D1179" s="245"/>
      <c r="E1179" s="245"/>
      <c r="F1179" s="245"/>
      <c r="G1179" s="579"/>
      <c r="H1179" s="245"/>
      <c r="I1179" s="245"/>
      <c r="J1179" s="245"/>
      <c r="K1179" s="245"/>
      <c r="L1179" s="245"/>
      <c r="N1179" s="579"/>
      <c r="O1179" s="579"/>
      <c r="P1179" s="579"/>
      <c r="Q1179" s="66"/>
      <c r="R1179" s="66"/>
      <c r="S1179" s="66"/>
    </row>
    <row r="1180" spans="2:19" x14ac:dyDescent="0.2">
      <c r="B1180" s="245"/>
      <c r="C1180" s="245"/>
      <c r="D1180" s="245"/>
      <c r="E1180" s="245"/>
      <c r="F1180" s="245"/>
      <c r="G1180" s="579"/>
      <c r="H1180" s="245"/>
      <c r="I1180" s="245"/>
      <c r="J1180" s="245"/>
      <c r="K1180" s="245"/>
      <c r="L1180" s="245"/>
      <c r="N1180" s="579"/>
      <c r="O1180" s="579"/>
      <c r="P1180" s="579"/>
      <c r="Q1180" s="66"/>
      <c r="R1180" s="66"/>
      <c r="S1180" s="66"/>
    </row>
    <row r="1181" spans="2:19" x14ac:dyDescent="0.2">
      <c r="B1181" s="245"/>
      <c r="C1181" s="245"/>
      <c r="D1181" s="245"/>
      <c r="E1181" s="245"/>
      <c r="F1181" s="245"/>
      <c r="G1181" s="579"/>
      <c r="H1181" s="245"/>
      <c r="I1181" s="245"/>
      <c r="J1181" s="245"/>
      <c r="K1181" s="245"/>
      <c r="L1181" s="245"/>
      <c r="N1181" s="579"/>
      <c r="O1181" s="579"/>
      <c r="P1181" s="579"/>
      <c r="Q1181" s="66"/>
      <c r="R1181" s="66"/>
      <c r="S1181" s="66"/>
    </row>
    <row r="1182" spans="2:19" x14ac:dyDescent="0.2">
      <c r="B1182" s="245"/>
      <c r="C1182" s="245"/>
      <c r="D1182" s="245"/>
      <c r="E1182" s="245"/>
      <c r="F1182" s="245"/>
      <c r="G1182" s="579"/>
      <c r="H1182" s="245"/>
      <c r="I1182" s="245"/>
      <c r="J1182" s="245"/>
      <c r="K1182" s="245"/>
      <c r="L1182" s="245"/>
      <c r="N1182" s="579"/>
      <c r="O1182" s="579"/>
      <c r="P1182" s="579"/>
      <c r="Q1182" s="66"/>
      <c r="R1182" s="66"/>
      <c r="S1182" s="66"/>
    </row>
    <row r="1183" spans="2:19" x14ac:dyDescent="0.2">
      <c r="B1183" s="245"/>
      <c r="C1183" s="245"/>
      <c r="D1183" s="245"/>
      <c r="E1183" s="245"/>
      <c r="F1183" s="245"/>
      <c r="G1183" s="579"/>
      <c r="H1183" s="245"/>
      <c r="I1183" s="245"/>
      <c r="J1183" s="245"/>
      <c r="K1183" s="245"/>
      <c r="L1183" s="245"/>
      <c r="N1183" s="579"/>
      <c r="O1183" s="579"/>
      <c r="P1183" s="579"/>
      <c r="Q1183" s="66"/>
      <c r="R1183" s="66"/>
      <c r="S1183" s="66"/>
    </row>
    <row r="1184" spans="2:19" x14ac:dyDescent="0.2">
      <c r="B1184" s="245"/>
      <c r="C1184" s="245"/>
      <c r="D1184" s="245"/>
      <c r="E1184" s="245"/>
      <c r="F1184" s="245"/>
      <c r="G1184" s="579"/>
      <c r="H1184" s="245"/>
      <c r="I1184" s="245"/>
      <c r="J1184" s="245"/>
      <c r="K1184" s="245"/>
      <c r="L1184" s="245"/>
      <c r="N1184" s="579"/>
      <c r="O1184" s="579"/>
      <c r="P1184" s="579"/>
      <c r="Q1184" s="66"/>
      <c r="R1184" s="66"/>
      <c r="S1184" s="66"/>
    </row>
    <row r="1185" spans="2:19" x14ac:dyDescent="0.2">
      <c r="B1185" s="245"/>
      <c r="C1185" s="245"/>
      <c r="D1185" s="245"/>
      <c r="E1185" s="245"/>
      <c r="F1185" s="245"/>
      <c r="G1185" s="579"/>
      <c r="H1185" s="245"/>
      <c r="I1185" s="245"/>
      <c r="J1185" s="245"/>
      <c r="K1185" s="245"/>
      <c r="L1185" s="245"/>
      <c r="N1185" s="579"/>
      <c r="O1185" s="579"/>
      <c r="P1185" s="579"/>
      <c r="Q1185" s="66"/>
      <c r="R1185" s="66"/>
      <c r="S1185" s="66"/>
    </row>
    <row r="1186" spans="2:19" x14ac:dyDescent="0.2">
      <c r="B1186" s="245"/>
      <c r="C1186" s="245"/>
      <c r="D1186" s="245"/>
      <c r="E1186" s="245"/>
      <c r="F1186" s="245"/>
      <c r="G1186" s="579"/>
      <c r="H1186" s="245"/>
      <c r="I1186" s="245"/>
      <c r="J1186" s="245"/>
      <c r="K1186" s="245"/>
      <c r="L1186" s="245"/>
      <c r="N1186" s="579"/>
      <c r="O1186" s="579"/>
      <c r="P1186" s="579"/>
      <c r="Q1186" s="66"/>
      <c r="R1186" s="66"/>
      <c r="S1186" s="66"/>
    </row>
    <row r="1187" spans="2:19" x14ac:dyDescent="0.2">
      <c r="B1187" s="245"/>
      <c r="C1187" s="245"/>
      <c r="D1187" s="245"/>
      <c r="E1187" s="245"/>
      <c r="F1187" s="245"/>
      <c r="G1187" s="579"/>
      <c r="H1187" s="245"/>
      <c r="I1187" s="245"/>
      <c r="J1187" s="245"/>
      <c r="K1187" s="245"/>
      <c r="L1187" s="245"/>
      <c r="N1187" s="579"/>
      <c r="O1187" s="579"/>
      <c r="P1187" s="579"/>
      <c r="Q1187" s="66"/>
      <c r="R1187" s="66"/>
      <c r="S1187" s="66"/>
    </row>
    <row r="1188" spans="2:19" x14ac:dyDescent="0.2">
      <c r="B1188" s="245"/>
      <c r="C1188" s="245"/>
      <c r="D1188" s="245"/>
      <c r="E1188" s="245"/>
      <c r="F1188" s="245"/>
      <c r="G1188" s="579"/>
      <c r="H1188" s="245"/>
      <c r="I1188" s="245"/>
      <c r="J1188" s="245"/>
      <c r="K1188" s="245"/>
      <c r="L1188" s="245"/>
      <c r="N1188" s="579"/>
      <c r="O1188" s="579"/>
      <c r="P1188" s="579"/>
      <c r="Q1188" s="66"/>
      <c r="R1188" s="66"/>
      <c r="S1188" s="66"/>
    </row>
    <row r="1189" spans="2:19" x14ac:dyDescent="0.2">
      <c r="B1189" s="245"/>
      <c r="C1189" s="245"/>
      <c r="D1189" s="245"/>
      <c r="E1189" s="245"/>
      <c r="F1189" s="245"/>
      <c r="G1189" s="579"/>
      <c r="H1189" s="245"/>
      <c r="I1189" s="245"/>
      <c r="J1189" s="245"/>
      <c r="K1189" s="245"/>
      <c r="L1189" s="245"/>
      <c r="N1189" s="579"/>
      <c r="O1189" s="579"/>
      <c r="P1189" s="579"/>
      <c r="Q1189" s="66"/>
      <c r="R1189" s="66"/>
      <c r="S1189" s="66"/>
    </row>
    <row r="1190" spans="2:19" x14ac:dyDescent="0.2">
      <c r="B1190" s="245"/>
      <c r="C1190" s="245"/>
      <c r="D1190" s="245"/>
      <c r="E1190" s="245"/>
      <c r="F1190" s="245"/>
      <c r="G1190" s="579"/>
      <c r="H1190" s="245"/>
      <c r="I1190" s="245"/>
      <c r="J1190" s="245"/>
      <c r="K1190" s="245"/>
      <c r="L1190" s="245"/>
      <c r="N1190" s="579"/>
      <c r="O1190" s="579"/>
      <c r="P1190" s="579"/>
      <c r="Q1190" s="66"/>
      <c r="R1190" s="66"/>
      <c r="S1190" s="66"/>
    </row>
    <row r="1191" spans="2:19" x14ac:dyDescent="0.2">
      <c r="B1191" s="245"/>
      <c r="C1191" s="245"/>
      <c r="D1191" s="245"/>
      <c r="E1191" s="245"/>
      <c r="F1191" s="245"/>
      <c r="G1191" s="579"/>
      <c r="H1191" s="245"/>
      <c r="I1191" s="245"/>
      <c r="J1191" s="245"/>
      <c r="K1191" s="245"/>
      <c r="L1191" s="245"/>
      <c r="N1191" s="579"/>
      <c r="O1191" s="579"/>
      <c r="P1191" s="579"/>
      <c r="Q1191" s="66"/>
      <c r="R1191" s="66"/>
      <c r="S1191" s="66"/>
    </row>
    <row r="1192" spans="2:19" x14ac:dyDescent="0.2">
      <c r="B1192" s="245"/>
      <c r="C1192" s="245"/>
      <c r="D1192" s="245"/>
      <c r="E1192" s="245"/>
      <c r="F1192" s="245"/>
      <c r="G1192" s="579"/>
      <c r="H1192" s="245"/>
      <c r="I1192" s="245"/>
      <c r="J1192" s="245"/>
      <c r="K1192" s="245"/>
      <c r="L1192" s="245"/>
      <c r="N1192" s="579"/>
      <c r="O1192" s="579"/>
      <c r="P1192" s="579"/>
      <c r="Q1192" s="66"/>
      <c r="R1192" s="66"/>
      <c r="S1192" s="66"/>
    </row>
    <row r="1193" spans="2:19" x14ac:dyDescent="0.2">
      <c r="B1193" s="245"/>
      <c r="C1193" s="245"/>
      <c r="D1193" s="245"/>
      <c r="E1193" s="245"/>
      <c r="F1193" s="245"/>
      <c r="G1193" s="579"/>
      <c r="H1193" s="245"/>
      <c r="I1193" s="245"/>
      <c r="J1193" s="245"/>
      <c r="K1193" s="245"/>
      <c r="L1193" s="245"/>
      <c r="N1193" s="579"/>
      <c r="O1193" s="579"/>
      <c r="P1193" s="579"/>
      <c r="Q1193" s="66"/>
      <c r="R1193" s="66"/>
      <c r="S1193" s="66"/>
    </row>
    <row r="1194" spans="2:19" x14ac:dyDescent="0.2">
      <c r="B1194" s="245"/>
      <c r="C1194" s="245"/>
      <c r="D1194" s="245"/>
      <c r="E1194" s="245"/>
      <c r="F1194" s="245"/>
      <c r="G1194" s="579"/>
      <c r="H1194" s="245"/>
      <c r="I1194" s="245"/>
      <c r="J1194" s="245"/>
      <c r="K1194" s="245"/>
      <c r="L1194" s="245"/>
      <c r="N1194" s="579"/>
      <c r="O1194" s="579"/>
      <c r="P1194" s="579"/>
      <c r="Q1194" s="66"/>
      <c r="R1194" s="66"/>
      <c r="S1194" s="66"/>
    </row>
    <row r="1195" spans="2:19" x14ac:dyDescent="0.2">
      <c r="B1195" s="245"/>
      <c r="C1195" s="245"/>
      <c r="D1195" s="245"/>
      <c r="E1195" s="245"/>
      <c r="F1195" s="245"/>
      <c r="G1195" s="579"/>
      <c r="H1195" s="245"/>
      <c r="I1195" s="245"/>
      <c r="J1195" s="245"/>
      <c r="K1195" s="245"/>
      <c r="L1195" s="245"/>
      <c r="N1195" s="579"/>
      <c r="O1195" s="579"/>
      <c r="P1195" s="579"/>
      <c r="Q1195" s="66"/>
      <c r="R1195" s="66"/>
      <c r="S1195" s="66"/>
    </row>
    <row r="1196" spans="2:19" x14ac:dyDescent="0.2">
      <c r="B1196" s="245"/>
      <c r="C1196" s="245"/>
      <c r="D1196" s="245"/>
      <c r="E1196" s="245"/>
      <c r="F1196" s="245"/>
      <c r="G1196" s="579"/>
      <c r="H1196" s="245"/>
      <c r="I1196" s="245"/>
      <c r="J1196" s="245"/>
      <c r="K1196" s="245"/>
      <c r="L1196" s="245"/>
      <c r="N1196" s="579"/>
      <c r="O1196" s="579"/>
      <c r="P1196" s="579"/>
      <c r="Q1196" s="66"/>
      <c r="R1196" s="66"/>
      <c r="S1196" s="66"/>
    </row>
    <row r="1197" spans="2:19" x14ac:dyDescent="0.2">
      <c r="B1197" s="245"/>
      <c r="C1197" s="245"/>
      <c r="D1197" s="245"/>
      <c r="E1197" s="245"/>
      <c r="F1197" s="245"/>
      <c r="G1197" s="579"/>
      <c r="H1197" s="245"/>
      <c r="I1197" s="245"/>
      <c r="J1197" s="245"/>
      <c r="K1197" s="245"/>
      <c r="L1197" s="245"/>
      <c r="N1197" s="579"/>
      <c r="O1197" s="579"/>
      <c r="P1197" s="579"/>
      <c r="Q1197" s="66"/>
      <c r="R1197" s="66"/>
      <c r="S1197" s="66"/>
    </row>
    <row r="1198" spans="2:19" x14ac:dyDescent="0.2">
      <c r="B1198" s="245"/>
      <c r="C1198" s="245"/>
      <c r="D1198" s="245"/>
      <c r="E1198" s="245"/>
      <c r="F1198" s="245"/>
      <c r="G1198" s="579"/>
      <c r="H1198" s="245"/>
      <c r="I1198" s="245"/>
      <c r="J1198" s="245"/>
      <c r="K1198" s="245"/>
      <c r="L1198" s="245"/>
      <c r="N1198" s="579"/>
      <c r="O1198" s="579"/>
      <c r="P1198" s="579"/>
      <c r="Q1198" s="66"/>
      <c r="R1198" s="66"/>
      <c r="S1198" s="66"/>
    </row>
    <row r="1199" spans="2:19" x14ac:dyDescent="0.2">
      <c r="B1199" s="245"/>
      <c r="C1199" s="245"/>
      <c r="D1199" s="245"/>
      <c r="E1199" s="245"/>
      <c r="F1199" s="245"/>
      <c r="G1199" s="579"/>
      <c r="H1199" s="245"/>
      <c r="I1199" s="245"/>
      <c r="J1199" s="245"/>
      <c r="K1199" s="245"/>
      <c r="L1199" s="245"/>
      <c r="N1199" s="579"/>
      <c r="O1199" s="579"/>
      <c r="P1199" s="579"/>
      <c r="Q1199" s="66"/>
      <c r="R1199" s="66"/>
      <c r="S1199" s="66"/>
    </row>
    <row r="1200" spans="2:19" x14ac:dyDescent="0.2">
      <c r="B1200" s="245"/>
      <c r="C1200" s="245"/>
      <c r="D1200" s="245"/>
      <c r="E1200" s="245"/>
      <c r="F1200" s="245"/>
      <c r="G1200" s="579"/>
      <c r="H1200" s="245"/>
      <c r="I1200" s="245"/>
      <c r="J1200" s="245"/>
      <c r="K1200" s="245"/>
      <c r="L1200" s="245"/>
      <c r="N1200" s="579"/>
      <c r="O1200" s="579"/>
      <c r="P1200" s="579"/>
      <c r="Q1200" s="66"/>
      <c r="R1200" s="66"/>
      <c r="S1200" s="66"/>
    </row>
    <row r="1201" spans="2:19" x14ac:dyDescent="0.2">
      <c r="B1201" s="245"/>
      <c r="C1201" s="245"/>
      <c r="D1201" s="245"/>
      <c r="E1201" s="245"/>
      <c r="F1201" s="245"/>
      <c r="G1201" s="579"/>
      <c r="H1201" s="245"/>
      <c r="I1201" s="245"/>
      <c r="J1201" s="245"/>
      <c r="K1201" s="245"/>
      <c r="L1201" s="245"/>
      <c r="N1201" s="579"/>
      <c r="O1201" s="579"/>
      <c r="P1201" s="579"/>
      <c r="Q1201" s="66"/>
      <c r="R1201" s="66"/>
      <c r="S1201" s="66"/>
    </row>
    <row r="1202" spans="2:19" x14ac:dyDescent="0.2">
      <c r="B1202" s="245"/>
      <c r="C1202" s="245"/>
      <c r="D1202" s="245"/>
      <c r="E1202" s="245"/>
      <c r="F1202" s="245"/>
      <c r="G1202" s="579"/>
      <c r="H1202" s="245"/>
      <c r="I1202" s="245"/>
      <c r="J1202" s="245"/>
      <c r="K1202" s="245"/>
      <c r="L1202" s="245"/>
      <c r="N1202" s="579"/>
      <c r="O1202" s="579"/>
      <c r="P1202" s="579"/>
      <c r="Q1202" s="66"/>
      <c r="R1202" s="66"/>
      <c r="S1202" s="66"/>
    </row>
    <row r="1203" spans="2:19" x14ac:dyDescent="0.2">
      <c r="B1203" s="245"/>
      <c r="C1203" s="245"/>
      <c r="D1203" s="245"/>
      <c r="E1203" s="245"/>
      <c r="F1203" s="245"/>
      <c r="G1203" s="579"/>
      <c r="H1203" s="245"/>
      <c r="I1203" s="245"/>
      <c r="J1203" s="245"/>
      <c r="K1203" s="245"/>
      <c r="L1203" s="245"/>
      <c r="N1203" s="579"/>
      <c r="O1203" s="579"/>
      <c r="P1203" s="579"/>
      <c r="Q1203" s="66"/>
      <c r="R1203" s="66"/>
      <c r="S1203" s="66"/>
    </row>
    <row r="1204" spans="2:19" x14ac:dyDescent="0.2">
      <c r="B1204" s="245"/>
      <c r="C1204" s="245"/>
      <c r="D1204" s="245"/>
      <c r="E1204" s="245"/>
      <c r="F1204" s="245"/>
      <c r="G1204" s="579"/>
      <c r="H1204" s="245"/>
      <c r="I1204" s="245"/>
      <c r="J1204" s="245"/>
      <c r="K1204" s="245"/>
      <c r="L1204" s="245"/>
      <c r="N1204" s="579"/>
      <c r="O1204" s="579"/>
      <c r="P1204" s="579"/>
      <c r="Q1204" s="66"/>
      <c r="R1204" s="66"/>
      <c r="S1204" s="66"/>
    </row>
    <row r="1205" spans="2:19" x14ac:dyDescent="0.2">
      <c r="B1205" s="245"/>
      <c r="C1205" s="245"/>
      <c r="D1205" s="245"/>
      <c r="E1205" s="245"/>
      <c r="F1205" s="245"/>
      <c r="G1205" s="579"/>
      <c r="H1205" s="245"/>
      <c r="I1205" s="245"/>
      <c r="J1205" s="245"/>
      <c r="K1205" s="245"/>
      <c r="L1205" s="245"/>
      <c r="N1205" s="579"/>
      <c r="O1205" s="579"/>
      <c r="P1205" s="579"/>
      <c r="Q1205" s="66"/>
      <c r="R1205" s="66"/>
      <c r="S1205" s="66"/>
    </row>
    <row r="1206" spans="2:19" x14ac:dyDescent="0.2">
      <c r="B1206" s="245"/>
      <c r="C1206" s="245"/>
      <c r="D1206" s="245"/>
      <c r="E1206" s="245"/>
      <c r="F1206" s="245"/>
      <c r="G1206" s="579"/>
      <c r="H1206" s="245"/>
      <c r="I1206" s="245"/>
      <c r="J1206" s="245"/>
      <c r="K1206" s="245"/>
      <c r="L1206" s="245"/>
      <c r="N1206" s="579"/>
      <c r="O1206" s="579"/>
      <c r="P1206" s="579"/>
      <c r="Q1206" s="66"/>
      <c r="R1206" s="66"/>
      <c r="S1206" s="66"/>
    </row>
    <row r="1207" spans="2:19" x14ac:dyDescent="0.2">
      <c r="B1207" s="245"/>
      <c r="C1207" s="245"/>
      <c r="D1207" s="245"/>
      <c r="E1207" s="245"/>
      <c r="F1207" s="245"/>
      <c r="G1207" s="579"/>
      <c r="H1207" s="245"/>
      <c r="I1207" s="245"/>
      <c r="J1207" s="245"/>
      <c r="K1207" s="245"/>
      <c r="L1207" s="245"/>
      <c r="N1207" s="579"/>
      <c r="O1207" s="579"/>
      <c r="P1207" s="579"/>
      <c r="Q1207" s="66"/>
      <c r="R1207" s="66"/>
      <c r="S1207" s="66"/>
    </row>
    <row r="1208" spans="2:19" x14ac:dyDescent="0.2">
      <c r="B1208" s="245"/>
      <c r="C1208" s="245"/>
      <c r="D1208" s="245"/>
      <c r="E1208" s="245"/>
      <c r="F1208" s="245"/>
      <c r="G1208" s="579"/>
      <c r="H1208" s="245"/>
      <c r="I1208" s="245"/>
      <c r="J1208" s="245"/>
      <c r="K1208" s="245"/>
      <c r="L1208" s="245"/>
      <c r="N1208" s="579"/>
      <c r="O1208" s="579"/>
      <c r="P1208" s="579"/>
      <c r="Q1208" s="66"/>
      <c r="R1208" s="66"/>
      <c r="S1208" s="66"/>
    </row>
    <row r="1209" spans="2:19" x14ac:dyDescent="0.2">
      <c r="B1209" s="245"/>
      <c r="C1209" s="245"/>
      <c r="D1209" s="245"/>
      <c r="E1209" s="245"/>
      <c r="F1209" s="245"/>
      <c r="G1209" s="579"/>
      <c r="H1209" s="245"/>
      <c r="I1209" s="245"/>
      <c r="J1209" s="245"/>
      <c r="K1209" s="245"/>
      <c r="L1209" s="245"/>
      <c r="N1209" s="579"/>
      <c r="O1209" s="579"/>
      <c r="P1209" s="579"/>
      <c r="Q1209" s="66"/>
      <c r="R1209" s="66"/>
      <c r="S1209" s="66"/>
    </row>
    <row r="1210" spans="2:19" x14ac:dyDescent="0.2">
      <c r="B1210" s="245"/>
      <c r="C1210" s="245"/>
      <c r="D1210" s="245"/>
      <c r="E1210" s="245"/>
      <c r="F1210" s="245"/>
      <c r="G1210" s="579"/>
      <c r="H1210" s="245"/>
      <c r="I1210" s="245"/>
      <c r="J1210" s="245"/>
      <c r="K1210" s="245"/>
      <c r="L1210" s="245"/>
      <c r="N1210" s="579"/>
      <c r="O1210" s="579"/>
      <c r="P1210" s="579"/>
      <c r="Q1210" s="66"/>
      <c r="R1210" s="66"/>
      <c r="S1210" s="66"/>
    </row>
    <row r="1211" spans="2:19" x14ac:dyDescent="0.2">
      <c r="B1211" s="245"/>
      <c r="C1211" s="245"/>
      <c r="D1211" s="245"/>
      <c r="E1211" s="245"/>
      <c r="F1211" s="245"/>
      <c r="G1211" s="579"/>
      <c r="H1211" s="245"/>
      <c r="I1211" s="245"/>
      <c r="J1211" s="245"/>
      <c r="K1211" s="245"/>
      <c r="L1211" s="245"/>
      <c r="N1211" s="579"/>
      <c r="O1211" s="579"/>
      <c r="P1211" s="579"/>
      <c r="Q1211" s="66"/>
      <c r="R1211" s="66"/>
      <c r="S1211" s="66"/>
    </row>
    <row r="1212" spans="2:19" x14ac:dyDescent="0.2">
      <c r="B1212" s="245"/>
      <c r="C1212" s="245"/>
      <c r="D1212" s="245"/>
      <c r="E1212" s="245"/>
      <c r="F1212" s="245"/>
      <c r="G1212" s="579"/>
      <c r="H1212" s="245"/>
      <c r="I1212" s="245"/>
      <c r="J1212" s="245"/>
      <c r="K1212" s="245"/>
      <c r="L1212" s="245"/>
      <c r="N1212" s="579"/>
      <c r="O1212" s="579"/>
      <c r="P1212" s="579"/>
      <c r="Q1212" s="66"/>
      <c r="R1212" s="66"/>
      <c r="S1212" s="66"/>
    </row>
    <row r="1213" spans="2:19" x14ac:dyDescent="0.2">
      <c r="B1213" s="245"/>
      <c r="C1213" s="245"/>
      <c r="D1213" s="245"/>
      <c r="E1213" s="245"/>
      <c r="F1213" s="245"/>
      <c r="G1213" s="579"/>
      <c r="H1213" s="245"/>
      <c r="I1213" s="245"/>
      <c r="J1213" s="245"/>
      <c r="K1213" s="245"/>
      <c r="L1213" s="245"/>
      <c r="N1213" s="579"/>
      <c r="O1213" s="579"/>
      <c r="P1213" s="579"/>
      <c r="Q1213" s="66"/>
      <c r="R1213" s="66"/>
      <c r="S1213" s="66"/>
    </row>
    <row r="1214" spans="2:19" x14ac:dyDescent="0.2">
      <c r="B1214" s="245"/>
      <c r="C1214" s="245"/>
      <c r="D1214" s="245"/>
      <c r="E1214" s="245"/>
      <c r="F1214" s="245"/>
      <c r="G1214" s="579"/>
      <c r="H1214" s="245"/>
      <c r="I1214" s="245"/>
      <c r="J1214" s="245"/>
      <c r="K1214" s="245"/>
      <c r="L1214" s="245"/>
      <c r="N1214" s="579"/>
      <c r="O1214" s="579"/>
      <c r="P1214" s="579"/>
      <c r="Q1214" s="66"/>
      <c r="R1214" s="66"/>
      <c r="S1214" s="66"/>
    </row>
    <row r="1215" spans="2:19" x14ac:dyDescent="0.2">
      <c r="B1215" s="245"/>
      <c r="C1215" s="245"/>
      <c r="D1215" s="245"/>
      <c r="E1215" s="245"/>
      <c r="F1215" s="245"/>
      <c r="G1215" s="579"/>
      <c r="H1215" s="245"/>
      <c r="I1215" s="245"/>
      <c r="J1215" s="245"/>
      <c r="K1215" s="245"/>
      <c r="L1215" s="245"/>
      <c r="N1215" s="579"/>
      <c r="O1215" s="579"/>
      <c r="P1215" s="579"/>
      <c r="Q1215" s="66"/>
      <c r="R1215" s="66"/>
      <c r="S1215" s="66"/>
    </row>
    <row r="1216" spans="2:19" x14ac:dyDescent="0.2">
      <c r="B1216" s="245"/>
      <c r="C1216" s="245"/>
      <c r="D1216" s="245"/>
      <c r="E1216" s="245"/>
      <c r="F1216" s="245"/>
      <c r="G1216" s="579"/>
      <c r="H1216" s="245"/>
      <c r="I1216" s="245"/>
      <c r="J1216" s="245"/>
      <c r="K1216" s="245"/>
      <c r="L1216" s="245"/>
      <c r="N1216" s="579"/>
      <c r="O1216" s="579"/>
      <c r="P1216" s="579"/>
      <c r="Q1216" s="66"/>
      <c r="R1216" s="66"/>
      <c r="S1216" s="66"/>
    </row>
    <row r="1217" spans="2:19" x14ac:dyDescent="0.2">
      <c r="B1217" s="245"/>
      <c r="C1217" s="245"/>
      <c r="D1217" s="245"/>
      <c r="E1217" s="245"/>
      <c r="F1217" s="245"/>
      <c r="G1217" s="579"/>
      <c r="H1217" s="245"/>
      <c r="I1217" s="245"/>
      <c r="J1217" s="245"/>
      <c r="K1217" s="245"/>
      <c r="L1217" s="245"/>
      <c r="N1217" s="579"/>
      <c r="O1217" s="579"/>
      <c r="P1217" s="579"/>
      <c r="Q1217" s="66"/>
      <c r="R1217" s="66"/>
      <c r="S1217" s="66"/>
    </row>
    <row r="1218" spans="2:19" x14ac:dyDescent="0.2">
      <c r="B1218" s="245"/>
      <c r="C1218" s="245"/>
      <c r="D1218" s="245"/>
      <c r="E1218" s="245"/>
      <c r="F1218" s="245"/>
      <c r="G1218" s="579"/>
      <c r="H1218" s="245"/>
      <c r="I1218" s="245"/>
      <c r="J1218" s="245"/>
      <c r="K1218" s="245"/>
      <c r="L1218" s="245"/>
      <c r="N1218" s="579"/>
      <c r="O1218" s="579"/>
      <c r="P1218" s="579"/>
      <c r="Q1218" s="66"/>
      <c r="R1218" s="66"/>
      <c r="S1218" s="66"/>
    </row>
    <row r="1219" spans="2:19" x14ac:dyDescent="0.2">
      <c r="B1219" s="245"/>
      <c r="C1219" s="245"/>
      <c r="D1219" s="245"/>
      <c r="E1219" s="245"/>
      <c r="F1219" s="245"/>
      <c r="G1219" s="579"/>
      <c r="H1219" s="245"/>
      <c r="I1219" s="245"/>
      <c r="J1219" s="245"/>
      <c r="K1219" s="245"/>
      <c r="L1219" s="245"/>
      <c r="N1219" s="579"/>
      <c r="O1219" s="579"/>
      <c r="P1219" s="579"/>
      <c r="Q1219" s="66"/>
      <c r="R1219" s="66"/>
      <c r="S1219" s="66"/>
    </row>
    <row r="1220" spans="2:19" x14ac:dyDescent="0.2">
      <c r="B1220" s="245"/>
      <c r="C1220" s="245"/>
      <c r="D1220" s="245"/>
      <c r="E1220" s="245"/>
      <c r="F1220" s="245"/>
      <c r="G1220" s="579"/>
      <c r="H1220" s="245"/>
      <c r="I1220" s="245"/>
      <c r="J1220" s="245"/>
      <c r="K1220" s="245"/>
      <c r="L1220" s="245"/>
      <c r="N1220" s="579"/>
      <c r="O1220" s="579"/>
      <c r="P1220" s="579"/>
      <c r="Q1220" s="66"/>
      <c r="R1220" s="66"/>
      <c r="S1220" s="66"/>
    </row>
    <row r="1221" spans="2:19" x14ac:dyDescent="0.2">
      <c r="B1221" s="245"/>
      <c r="C1221" s="245"/>
      <c r="D1221" s="245"/>
      <c r="E1221" s="245"/>
      <c r="F1221" s="245"/>
      <c r="G1221" s="579"/>
      <c r="H1221" s="245"/>
      <c r="I1221" s="245"/>
      <c r="J1221" s="245"/>
      <c r="K1221" s="245"/>
      <c r="L1221" s="245"/>
      <c r="N1221" s="579"/>
      <c r="O1221" s="579"/>
      <c r="P1221" s="579"/>
      <c r="Q1221" s="66"/>
      <c r="R1221" s="66"/>
      <c r="S1221" s="66"/>
    </row>
    <row r="1222" spans="2:19" x14ac:dyDescent="0.2">
      <c r="B1222" s="245"/>
      <c r="C1222" s="245"/>
      <c r="D1222" s="245"/>
      <c r="E1222" s="245"/>
      <c r="F1222" s="245"/>
      <c r="G1222" s="579"/>
      <c r="H1222" s="245"/>
      <c r="I1222" s="245"/>
      <c r="J1222" s="245"/>
      <c r="K1222" s="245"/>
      <c r="L1222" s="245"/>
      <c r="N1222" s="579"/>
      <c r="O1222" s="579"/>
      <c r="P1222" s="579"/>
      <c r="Q1222" s="66"/>
      <c r="R1222" s="66"/>
      <c r="S1222" s="66"/>
    </row>
    <row r="1223" spans="2:19" x14ac:dyDescent="0.2">
      <c r="B1223" s="245"/>
      <c r="C1223" s="245"/>
      <c r="D1223" s="245"/>
      <c r="E1223" s="245"/>
      <c r="F1223" s="245"/>
      <c r="G1223" s="579"/>
      <c r="H1223" s="245"/>
      <c r="I1223" s="245"/>
      <c r="J1223" s="245"/>
      <c r="K1223" s="245"/>
      <c r="L1223" s="245"/>
      <c r="N1223" s="579"/>
      <c r="O1223" s="579"/>
      <c r="P1223" s="579"/>
      <c r="Q1223" s="66"/>
      <c r="R1223" s="66"/>
      <c r="S1223" s="66"/>
    </row>
    <row r="1224" spans="2:19" x14ac:dyDescent="0.2">
      <c r="B1224" s="245"/>
      <c r="C1224" s="245"/>
      <c r="D1224" s="245"/>
      <c r="E1224" s="245"/>
      <c r="F1224" s="245"/>
      <c r="G1224" s="579"/>
      <c r="H1224" s="245"/>
      <c r="I1224" s="245"/>
      <c r="J1224" s="245"/>
      <c r="K1224" s="245"/>
      <c r="L1224" s="245"/>
      <c r="N1224" s="579"/>
      <c r="O1224" s="579"/>
      <c r="P1224" s="579"/>
      <c r="Q1224" s="66"/>
      <c r="R1224" s="66"/>
      <c r="S1224" s="66"/>
    </row>
    <row r="1225" spans="2:19" x14ac:dyDescent="0.2">
      <c r="B1225" s="245"/>
      <c r="C1225" s="245"/>
      <c r="D1225" s="245"/>
      <c r="E1225" s="245"/>
      <c r="F1225" s="245"/>
      <c r="G1225" s="579"/>
      <c r="H1225" s="245"/>
      <c r="I1225" s="245"/>
      <c r="J1225" s="245"/>
      <c r="K1225" s="245"/>
      <c r="L1225" s="245"/>
      <c r="N1225" s="579"/>
      <c r="O1225" s="579"/>
      <c r="P1225" s="579"/>
      <c r="Q1225" s="66"/>
      <c r="R1225" s="66"/>
      <c r="S1225" s="66"/>
    </row>
    <row r="1226" spans="2:19" x14ac:dyDescent="0.2">
      <c r="B1226" s="245"/>
      <c r="C1226" s="245"/>
      <c r="D1226" s="245"/>
      <c r="E1226" s="245"/>
      <c r="F1226" s="245"/>
      <c r="G1226" s="579"/>
      <c r="H1226" s="245"/>
      <c r="I1226" s="245"/>
      <c r="J1226" s="245"/>
      <c r="K1226" s="245"/>
      <c r="L1226" s="245"/>
      <c r="N1226" s="579"/>
      <c r="O1226" s="579"/>
      <c r="P1226" s="579"/>
      <c r="Q1226" s="66"/>
      <c r="R1226" s="66"/>
      <c r="S1226" s="66"/>
    </row>
    <row r="1227" spans="2:19" x14ac:dyDescent="0.2">
      <c r="B1227" s="245"/>
      <c r="C1227" s="245"/>
      <c r="D1227" s="245"/>
      <c r="E1227" s="245"/>
      <c r="F1227" s="245"/>
      <c r="G1227" s="579"/>
      <c r="H1227" s="245"/>
      <c r="I1227" s="245"/>
      <c r="J1227" s="245"/>
      <c r="K1227" s="245"/>
      <c r="L1227" s="245"/>
      <c r="N1227" s="579"/>
      <c r="O1227" s="579"/>
      <c r="P1227" s="579"/>
      <c r="Q1227" s="66"/>
      <c r="R1227" s="66"/>
      <c r="S1227" s="66"/>
    </row>
    <row r="1228" spans="2:19" x14ac:dyDescent="0.2">
      <c r="B1228" s="245"/>
      <c r="C1228" s="245"/>
      <c r="D1228" s="245"/>
      <c r="E1228" s="245"/>
      <c r="F1228" s="245"/>
      <c r="G1228" s="579"/>
      <c r="H1228" s="245"/>
      <c r="I1228" s="245"/>
      <c r="J1228" s="245"/>
      <c r="K1228" s="245"/>
      <c r="L1228" s="245"/>
      <c r="N1228" s="579"/>
      <c r="O1228" s="579"/>
      <c r="P1228" s="579"/>
      <c r="Q1228" s="66"/>
      <c r="R1228" s="66"/>
      <c r="S1228" s="66"/>
    </row>
    <row r="1229" spans="2:19" x14ac:dyDescent="0.2">
      <c r="B1229" s="245"/>
      <c r="C1229" s="245"/>
      <c r="D1229" s="245"/>
      <c r="E1229" s="245"/>
      <c r="F1229" s="245"/>
      <c r="G1229" s="579"/>
      <c r="H1229" s="245"/>
      <c r="I1229" s="245"/>
      <c r="J1229" s="245"/>
      <c r="K1229" s="245"/>
      <c r="L1229" s="245"/>
      <c r="N1229" s="579"/>
      <c r="O1229" s="579"/>
      <c r="P1229" s="579"/>
      <c r="Q1229" s="66"/>
      <c r="R1229" s="66"/>
      <c r="S1229" s="66"/>
    </row>
    <row r="1230" spans="2:19" x14ac:dyDescent="0.2">
      <c r="B1230" s="245"/>
      <c r="C1230" s="245"/>
      <c r="D1230" s="245"/>
      <c r="E1230" s="245"/>
      <c r="F1230" s="245"/>
      <c r="G1230" s="579"/>
      <c r="H1230" s="245"/>
      <c r="I1230" s="245"/>
      <c r="J1230" s="245"/>
      <c r="K1230" s="245"/>
      <c r="L1230" s="245"/>
      <c r="N1230" s="579"/>
      <c r="O1230" s="579"/>
      <c r="P1230" s="579"/>
      <c r="Q1230" s="66"/>
      <c r="R1230" s="66"/>
      <c r="S1230" s="66"/>
    </row>
    <row r="1231" spans="2:19" x14ac:dyDescent="0.2">
      <c r="B1231" s="245"/>
      <c r="C1231" s="245"/>
      <c r="D1231" s="245"/>
      <c r="E1231" s="245"/>
      <c r="F1231" s="245"/>
      <c r="G1231" s="579"/>
      <c r="H1231" s="245"/>
      <c r="I1231" s="245"/>
      <c r="J1231" s="245"/>
      <c r="K1231" s="245"/>
      <c r="L1231" s="245"/>
      <c r="N1231" s="579"/>
      <c r="O1231" s="579"/>
      <c r="P1231" s="579"/>
      <c r="Q1231" s="66"/>
      <c r="R1231" s="66"/>
      <c r="S1231" s="66"/>
    </row>
    <row r="1232" spans="2:19" x14ac:dyDescent="0.2">
      <c r="B1232" s="245"/>
      <c r="C1232" s="245"/>
      <c r="D1232" s="245"/>
      <c r="E1232" s="245"/>
      <c r="F1232" s="245"/>
      <c r="G1232" s="579"/>
      <c r="H1232" s="245"/>
      <c r="I1232" s="245"/>
      <c r="J1232" s="245"/>
      <c r="K1232" s="245"/>
      <c r="L1232" s="245"/>
      <c r="N1232" s="579"/>
      <c r="O1232" s="579"/>
      <c r="P1232" s="579"/>
      <c r="Q1232" s="66"/>
      <c r="R1232" s="66"/>
      <c r="S1232" s="66"/>
    </row>
    <row r="1233" spans="2:19" x14ac:dyDescent="0.2">
      <c r="B1233" s="245"/>
      <c r="C1233" s="245"/>
      <c r="D1233" s="245"/>
      <c r="E1233" s="245"/>
      <c r="F1233" s="245"/>
      <c r="G1233" s="579"/>
      <c r="H1233" s="245"/>
      <c r="I1233" s="245"/>
      <c r="J1233" s="245"/>
      <c r="K1233" s="245"/>
      <c r="L1233" s="245"/>
      <c r="N1233" s="579"/>
      <c r="O1233" s="579"/>
      <c r="P1233" s="579"/>
      <c r="Q1233" s="66"/>
      <c r="R1233" s="66"/>
      <c r="S1233" s="66"/>
    </row>
    <row r="1234" spans="2:19" x14ac:dyDescent="0.2">
      <c r="B1234" s="245"/>
      <c r="C1234" s="245"/>
      <c r="D1234" s="245"/>
      <c r="E1234" s="245"/>
      <c r="F1234" s="245"/>
      <c r="G1234" s="579"/>
      <c r="H1234" s="245"/>
      <c r="I1234" s="245"/>
      <c r="J1234" s="245"/>
      <c r="K1234" s="245"/>
      <c r="L1234" s="245"/>
      <c r="N1234" s="579"/>
      <c r="O1234" s="579"/>
      <c r="P1234" s="579"/>
      <c r="Q1234" s="66"/>
      <c r="R1234" s="66"/>
      <c r="S1234" s="66"/>
    </row>
    <row r="1235" spans="2:19" x14ac:dyDescent="0.2">
      <c r="B1235" s="245"/>
      <c r="C1235" s="245"/>
      <c r="D1235" s="245"/>
      <c r="E1235" s="245"/>
      <c r="F1235" s="245"/>
      <c r="G1235" s="579"/>
      <c r="H1235" s="245"/>
      <c r="I1235" s="245"/>
      <c r="J1235" s="245"/>
      <c r="K1235" s="245"/>
      <c r="L1235" s="245"/>
      <c r="N1235" s="579"/>
      <c r="O1235" s="579"/>
      <c r="P1235" s="579"/>
      <c r="Q1235" s="66"/>
      <c r="R1235" s="66"/>
      <c r="S1235" s="66"/>
    </row>
    <row r="1236" spans="2:19" x14ac:dyDescent="0.2">
      <c r="B1236" s="245"/>
      <c r="C1236" s="245"/>
      <c r="D1236" s="245"/>
      <c r="E1236" s="245"/>
      <c r="F1236" s="245"/>
      <c r="G1236" s="579"/>
      <c r="H1236" s="245"/>
      <c r="I1236" s="245"/>
      <c r="J1236" s="245"/>
      <c r="K1236" s="245"/>
      <c r="L1236" s="245"/>
      <c r="N1236" s="579"/>
      <c r="O1236" s="579"/>
      <c r="P1236" s="579"/>
      <c r="Q1236" s="66"/>
      <c r="R1236" s="66"/>
      <c r="S1236" s="66"/>
    </row>
    <row r="1237" spans="2:19" x14ac:dyDescent="0.2">
      <c r="B1237" s="245"/>
      <c r="C1237" s="245"/>
      <c r="D1237" s="245"/>
      <c r="E1237" s="245"/>
      <c r="F1237" s="245"/>
      <c r="G1237" s="579"/>
      <c r="H1237" s="245"/>
      <c r="I1237" s="245"/>
      <c r="J1237" s="245"/>
      <c r="K1237" s="245"/>
      <c r="L1237" s="245"/>
      <c r="N1237" s="579"/>
      <c r="O1237" s="579"/>
      <c r="P1237" s="579"/>
      <c r="Q1237" s="66"/>
      <c r="R1237" s="66"/>
      <c r="S1237" s="66"/>
    </row>
    <row r="1238" spans="2:19" x14ac:dyDescent="0.2">
      <c r="B1238" s="245"/>
      <c r="C1238" s="245"/>
      <c r="D1238" s="245"/>
      <c r="E1238" s="245"/>
      <c r="F1238" s="245"/>
      <c r="G1238" s="579"/>
      <c r="H1238" s="245"/>
      <c r="I1238" s="245"/>
      <c r="J1238" s="245"/>
      <c r="K1238" s="245"/>
      <c r="L1238" s="245"/>
      <c r="N1238" s="579"/>
      <c r="O1238" s="579"/>
      <c r="P1238" s="579"/>
      <c r="Q1238" s="66"/>
      <c r="R1238" s="66"/>
      <c r="S1238" s="66"/>
    </row>
    <row r="1239" spans="2:19" x14ac:dyDescent="0.2">
      <c r="B1239" s="245"/>
      <c r="C1239" s="245"/>
      <c r="D1239" s="245"/>
      <c r="E1239" s="245"/>
      <c r="F1239" s="245"/>
      <c r="G1239" s="579"/>
      <c r="H1239" s="245"/>
      <c r="I1239" s="245"/>
      <c r="J1239" s="245"/>
      <c r="K1239" s="245"/>
      <c r="L1239" s="245"/>
      <c r="N1239" s="579"/>
      <c r="O1239" s="579"/>
      <c r="P1239" s="579"/>
      <c r="Q1239" s="66"/>
      <c r="R1239" s="66"/>
      <c r="S1239" s="66"/>
    </row>
    <row r="1240" spans="2:19" x14ac:dyDescent="0.2">
      <c r="B1240" s="245"/>
      <c r="C1240" s="245"/>
      <c r="D1240" s="245"/>
      <c r="E1240" s="245"/>
      <c r="F1240" s="245"/>
      <c r="G1240" s="579"/>
      <c r="H1240" s="245"/>
      <c r="I1240" s="245"/>
      <c r="J1240" s="245"/>
      <c r="K1240" s="245"/>
      <c r="L1240" s="245"/>
      <c r="N1240" s="579"/>
      <c r="O1240" s="579"/>
      <c r="P1240" s="579"/>
      <c r="Q1240" s="66"/>
      <c r="R1240" s="66"/>
      <c r="S1240" s="66"/>
    </row>
    <row r="1241" spans="2:19" x14ac:dyDescent="0.2">
      <c r="B1241" s="245"/>
      <c r="C1241" s="245"/>
      <c r="D1241" s="245"/>
      <c r="E1241" s="245"/>
      <c r="F1241" s="245"/>
      <c r="G1241" s="579"/>
      <c r="H1241" s="245"/>
      <c r="I1241" s="245"/>
      <c r="J1241" s="245"/>
      <c r="K1241" s="245"/>
      <c r="L1241" s="245"/>
      <c r="N1241" s="579"/>
      <c r="O1241" s="579"/>
      <c r="P1241" s="579"/>
      <c r="Q1241" s="66"/>
      <c r="R1241" s="66"/>
      <c r="S1241" s="66"/>
    </row>
    <row r="1242" spans="2:19" x14ac:dyDescent="0.2">
      <c r="B1242" s="245"/>
      <c r="C1242" s="245"/>
      <c r="D1242" s="245"/>
      <c r="E1242" s="245"/>
      <c r="F1242" s="245"/>
      <c r="G1242" s="579"/>
      <c r="H1242" s="245"/>
      <c r="I1242" s="245"/>
      <c r="J1242" s="245"/>
      <c r="K1242" s="245"/>
      <c r="L1242" s="245"/>
      <c r="N1242" s="579"/>
      <c r="O1242" s="579"/>
      <c r="P1242" s="579"/>
      <c r="Q1242" s="66"/>
      <c r="R1242" s="66"/>
      <c r="S1242" s="66"/>
    </row>
    <row r="1243" spans="2:19" x14ac:dyDescent="0.2">
      <c r="B1243" s="245"/>
      <c r="C1243" s="245"/>
      <c r="D1243" s="245"/>
      <c r="E1243" s="245"/>
      <c r="F1243" s="245"/>
      <c r="G1243" s="579"/>
      <c r="H1243" s="245"/>
      <c r="I1243" s="245"/>
      <c r="J1243" s="245"/>
      <c r="K1243" s="245"/>
      <c r="L1243" s="245"/>
      <c r="N1243" s="579"/>
      <c r="O1243" s="579"/>
      <c r="P1243" s="579"/>
      <c r="Q1243" s="66"/>
      <c r="R1243" s="66"/>
      <c r="S1243" s="66"/>
    </row>
    <row r="1244" spans="2:19" x14ac:dyDescent="0.2">
      <c r="B1244" s="245"/>
      <c r="C1244" s="245"/>
      <c r="D1244" s="245"/>
      <c r="E1244" s="245"/>
      <c r="F1244" s="245"/>
      <c r="G1244" s="579"/>
      <c r="H1244" s="245"/>
      <c r="I1244" s="245"/>
      <c r="J1244" s="245"/>
      <c r="K1244" s="245"/>
      <c r="L1244" s="245"/>
      <c r="N1244" s="579"/>
      <c r="O1244" s="579"/>
      <c r="P1244" s="579"/>
      <c r="Q1244" s="66"/>
      <c r="R1244" s="66"/>
      <c r="S1244" s="66"/>
    </row>
    <row r="1245" spans="2:19" x14ac:dyDescent="0.2">
      <c r="B1245" s="245"/>
      <c r="C1245" s="245"/>
      <c r="D1245" s="245"/>
      <c r="E1245" s="245"/>
      <c r="F1245" s="245"/>
      <c r="G1245" s="579"/>
      <c r="H1245" s="245"/>
      <c r="I1245" s="245"/>
      <c r="J1245" s="245"/>
      <c r="K1245" s="245"/>
      <c r="L1245" s="245"/>
      <c r="N1245" s="579"/>
      <c r="O1245" s="579"/>
      <c r="P1245" s="579"/>
      <c r="Q1245" s="66"/>
      <c r="R1245" s="66"/>
      <c r="S1245" s="66"/>
    </row>
    <row r="1246" spans="2:19" x14ac:dyDescent="0.2">
      <c r="B1246" s="245"/>
      <c r="C1246" s="245"/>
      <c r="D1246" s="245"/>
      <c r="E1246" s="245"/>
      <c r="F1246" s="245"/>
      <c r="G1246" s="579"/>
      <c r="H1246" s="245"/>
      <c r="I1246" s="245"/>
      <c r="J1246" s="245"/>
      <c r="K1246" s="245"/>
      <c r="L1246" s="245"/>
      <c r="N1246" s="579"/>
      <c r="O1246" s="579"/>
      <c r="P1246" s="579"/>
      <c r="Q1246" s="66"/>
      <c r="R1246" s="66"/>
      <c r="S1246" s="66"/>
    </row>
    <row r="1247" spans="2:19" x14ac:dyDescent="0.2">
      <c r="B1247" s="245"/>
      <c r="C1247" s="245"/>
      <c r="D1247" s="245"/>
      <c r="E1247" s="245"/>
      <c r="F1247" s="245"/>
      <c r="G1247" s="579"/>
      <c r="H1247" s="245"/>
      <c r="I1247" s="245"/>
      <c r="J1247" s="245"/>
      <c r="K1247" s="245"/>
      <c r="L1247" s="245"/>
      <c r="N1247" s="579"/>
      <c r="O1247" s="579"/>
      <c r="P1247" s="579"/>
      <c r="Q1247" s="66"/>
      <c r="R1247" s="66"/>
      <c r="S1247" s="66"/>
    </row>
    <row r="1248" spans="2:19" x14ac:dyDescent="0.2">
      <c r="B1248" s="245"/>
      <c r="C1248" s="245"/>
      <c r="D1248" s="245"/>
      <c r="E1248" s="245"/>
      <c r="F1248" s="245"/>
      <c r="G1248" s="579"/>
      <c r="H1248" s="245"/>
      <c r="I1248" s="245"/>
      <c r="J1248" s="245"/>
      <c r="K1248" s="245"/>
      <c r="L1248" s="245"/>
      <c r="N1248" s="579"/>
      <c r="O1248" s="579"/>
      <c r="P1248" s="579"/>
      <c r="Q1248" s="66"/>
      <c r="R1248" s="66"/>
      <c r="S1248" s="66"/>
    </row>
    <row r="1249" spans="2:19" x14ac:dyDescent="0.2">
      <c r="B1249" s="245"/>
      <c r="C1249" s="245"/>
      <c r="D1249" s="245"/>
      <c r="E1249" s="245"/>
      <c r="F1249" s="245"/>
      <c r="G1249" s="579"/>
      <c r="H1249" s="245"/>
      <c r="I1249" s="245"/>
      <c r="J1249" s="245"/>
      <c r="K1249" s="245"/>
      <c r="L1249" s="245"/>
      <c r="N1249" s="579"/>
      <c r="O1249" s="579"/>
      <c r="P1249" s="579"/>
      <c r="Q1249" s="66"/>
      <c r="R1249" s="66"/>
      <c r="S1249" s="66"/>
    </row>
    <row r="1250" spans="2:19" x14ac:dyDescent="0.2">
      <c r="B1250" s="245"/>
      <c r="C1250" s="245"/>
      <c r="D1250" s="245"/>
      <c r="E1250" s="245"/>
      <c r="F1250" s="245"/>
      <c r="G1250" s="579"/>
      <c r="H1250" s="245"/>
      <c r="I1250" s="245"/>
      <c r="J1250" s="245"/>
      <c r="K1250" s="245"/>
      <c r="L1250" s="245"/>
      <c r="N1250" s="579"/>
      <c r="O1250" s="579"/>
      <c r="P1250" s="579"/>
      <c r="Q1250" s="66"/>
      <c r="R1250" s="66"/>
      <c r="S1250" s="66"/>
    </row>
    <row r="1251" spans="2:19" x14ac:dyDescent="0.2">
      <c r="B1251" s="245"/>
      <c r="C1251" s="245"/>
      <c r="D1251" s="245"/>
      <c r="E1251" s="245"/>
      <c r="F1251" s="245"/>
      <c r="G1251" s="579"/>
      <c r="H1251" s="245"/>
      <c r="I1251" s="245"/>
      <c r="J1251" s="245"/>
      <c r="K1251" s="245"/>
      <c r="L1251" s="245"/>
      <c r="N1251" s="579"/>
      <c r="O1251" s="579"/>
      <c r="P1251" s="579"/>
      <c r="Q1251" s="66"/>
      <c r="R1251" s="66"/>
      <c r="S1251" s="66"/>
    </row>
    <row r="1252" spans="2:19" x14ac:dyDescent="0.2">
      <c r="B1252" s="245"/>
      <c r="C1252" s="245"/>
      <c r="D1252" s="245"/>
      <c r="E1252" s="245"/>
      <c r="F1252" s="245"/>
      <c r="G1252" s="579"/>
      <c r="H1252" s="245"/>
      <c r="I1252" s="245"/>
      <c r="J1252" s="245"/>
      <c r="K1252" s="245"/>
      <c r="L1252" s="245"/>
      <c r="N1252" s="579"/>
      <c r="O1252" s="579"/>
      <c r="P1252" s="579"/>
      <c r="Q1252" s="66"/>
      <c r="R1252" s="66"/>
      <c r="S1252" s="66"/>
    </row>
    <row r="1253" spans="2:19" x14ac:dyDescent="0.2">
      <c r="B1253" s="245"/>
      <c r="C1253" s="245"/>
      <c r="D1253" s="245"/>
      <c r="E1253" s="245"/>
      <c r="F1253" s="245"/>
      <c r="G1253" s="579"/>
      <c r="H1253" s="245"/>
      <c r="I1253" s="245"/>
      <c r="J1253" s="245"/>
      <c r="K1253" s="245"/>
      <c r="L1253" s="245"/>
      <c r="N1253" s="579"/>
      <c r="O1253" s="579"/>
      <c r="P1253" s="579"/>
      <c r="Q1253" s="66"/>
      <c r="R1253" s="66"/>
      <c r="S1253" s="66"/>
    </row>
    <row r="1254" spans="2:19" x14ac:dyDescent="0.2">
      <c r="B1254" s="245"/>
      <c r="C1254" s="245"/>
      <c r="D1254" s="245"/>
      <c r="E1254" s="245"/>
      <c r="F1254" s="245"/>
      <c r="G1254" s="579"/>
      <c r="H1254" s="245"/>
      <c r="I1254" s="245"/>
      <c r="J1254" s="245"/>
      <c r="K1254" s="245"/>
      <c r="L1254" s="245"/>
      <c r="N1254" s="579"/>
      <c r="O1254" s="579"/>
      <c r="P1254" s="579"/>
      <c r="Q1254" s="66"/>
      <c r="R1254" s="66"/>
      <c r="S1254" s="66"/>
    </row>
    <row r="1255" spans="2:19" x14ac:dyDescent="0.2">
      <c r="B1255" s="245"/>
      <c r="C1255" s="245"/>
      <c r="D1255" s="245"/>
      <c r="E1255" s="245"/>
      <c r="F1255" s="245"/>
      <c r="G1255" s="579"/>
      <c r="H1255" s="245"/>
      <c r="I1255" s="245"/>
      <c r="J1255" s="245"/>
      <c r="K1255" s="245"/>
      <c r="L1255" s="245"/>
      <c r="N1255" s="579"/>
      <c r="O1255" s="579"/>
      <c r="P1255" s="579"/>
      <c r="Q1255" s="66"/>
      <c r="R1255" s="66"/>
      <c r="S1255" s="66"/>
    </row>
    <row r="1256" spans="2:19" x14ac:dyDescent="0.2">
      <c r="B1256" s="245"/>
      <c r="C1256" s="245"/>
      <c r="D1256" s="245"/>
      <c r="E1256" s="245"/>
      <c r="F1256" s="245"/>
      <c r="G1256" s="579"/>
      <c r="H1256" s="245"/>
      <c r="I1256" s="245"/>
      <c r="J1256" s="245"/>
      <c r="K1256" s="245"/>
      <c r="L1256" s="245"/>
      <c r="N1256" s="579"/>
      <c r="O1256" s="579"/>
      <c r="P1256" s="579"/>
      <c r="Q1256" s="66"/>
      <c r="R1256" s="66"/>
      <c r="S1256" s="66"/>
    </row>
    <row r="1257" spans="2:19" x14ac:dyDescent="0.2">
      <c r="B1257" s="245"/>
      <c r="C1257" s="245"/>
      <c r="D1257" s="245"/>
      <c r="E1257" s="245"/>
      <c r="F1257" s="245"/>
      <c r="G1257" s="579"/>
      <c r="H1257" s="245"/>
      <c r="I1257" s="245"/>
      <c r="J1257" s="245"/>
      <c r="K1257" s="245"/>
      <c r="L1257" s="245"/>
      <c r="N1257" s="579"/>
      <c r="O1257" s="579"/>
      <c r="P1257" s="579"/>
      <c r="Q1257" s="66"/>
      <c r="R1257" s="66"/>
      <c r="S1257" s="66"/>
    </row>
    <row r="1258" spans="2:19" x14ac:dyDescent="0.2">
      <c r="B1258" s="245"/>
      <c r="C1258" s="245"/>
      <c r="D1258" s="245"/>
      <c r="E1258" s="245"/>
      <c r="F1258" s="245"/>
      <c r="G1258" s="579"/>
      <c r="H1258" s="245"/>
      <c r="I1258" s="245"/>
      <c r="J1258" s="245"/>
      <c r="K1258" s="245"/>
      <c r="L1258" s="245"/>
      <c r="N1258" s="579"/>
      <c r="O1258" s="579"/>
      <c r="P1258" s="579"/>
      <c r="Q1258" s="66"/>
      <c r="R1258" s="66"/>
      <c r="S1258" s="66"/>
    </row>
    <row r="1259" spans="2:19" x14ac:dyDescent="0.2">
      <c r="B1259" s="245"/>
      <c r="C1259" s="245"/>
      <c r="D1259" s="245"/>
      <c r="E1259" s="245"/>
      <c r="F1259" s="245"/>
      <c r="G1259" s="579"/>
      <c r="H1259" s="245"/>
      <c r="I1259" s="245"/>
      <c r="J1259" s="245"/>
      <c r="K1259" s="245"/>
      <c r="L1259" s="245"/>
      <c r="N1259" s="579"/>
      <c r="O1259" s="579"/>
      <c r="P1259" s="579"/>
      <c r="Q1259" s="66"/>
      <c r="R1259" s="66"/>
      <c r="S1259" s="66"/>
    </row>
    <row r="1260" spans="2:19" x14ac:dyDescent="0.2">
      <c r="B1260" s="245"/>
      <c r="C1260" s="245"/>
      <c r="D1260" s="245"/>
      <c r="E1260" s="245"/>
      <c r="F1260" s="245"/>
      <c r="G1260" s="579"/>
      <c r="H1260" s="245"/>
      <c r="I1260" s="245"/>
      <c r="J1260" s="245"/>
      <c r="K1260" s="245"/>
      <c r="L1260" s="245"/>
      <c r="N1260" s="579"/>
      <c r="O1260" s="579"/>
      <c r="P1260" s="579"/>
      <c r="Q1260" s="66"/>
      <c r="R1260" s="66"/>
      <c r="S1260" s="66"/>
    </row>
    <row r="1261" spans="2:19" x14ac:dyDescent="0.2">
      <c r="B1261" s="245"/>
      <c r="C1261" s="245"/>
      <c r="D1261" s="245"/>
      <c r="E1261" s="245"/>
      <c r="F1261" s="245"/>
      <c r="G1261" s="579"/>
      <c r="H1261" s="245"/>
      <c r="I1261" s="245"/>
      <c r="J1261" s="245"/>
      <c r="K1261" s="245"/>
      <c r="L1261" s="245"/>
      <c r="N1261" s="579"/>
      <c r="O1261" s="579"/>
      <c r="P1261" s="579"/>
      <c r="Q1261" s="66"/>
      <c r="R1261" s="66"/>
      <c r="S1261" s="66"/>
    </row>
    <row r="1262" spans="2:19" x14ac:dyDescent="0.2">
      <c r="B1262" s="245"/>
      <c r="C1262" s="245"/>
      <c r="D1262" s="245"/>
      <c r="E1262" s="245"/>
      <c r="F1262" s="245"/>
      <c r="G1262" s="579"/>
      <c r="H1262" s="245"/>
      <c r="I1262" s="245"/>
      <c r="J1262" s="245"/>
      <c r="K1262" s="245"/>
      <c r="L1262" s="245"/>
      <c r="N1262" s="579"/>
      <c r="O1262" s="579"/>
      <c r="P1262" s="579"/>
      <c r="Q1262" s="66"/>
      <c r="R1262" s="66"/>
      <c r="S1262" s="66"/>
    </row>
    <row r="1263" spans="2:19" x14ac:dyDescent="0.2">
      <c r="B1263" s="245"/>
      <c r="C1263" s="245"/>
      <c r="D1263" s="245"/>
      <c r="E1263" s="245"/>
      <c r="F1263" s="245"/>
      <c r="G1263" s="579"/>
      <c r="H1263" s="245"/>
      <c r="I1263" s="245"/>
      <c r="J1263" s="245"/>
      <c r="K1263" s="245"/>
      <c r="L1263" s="245"/>
      <c r="N1263" s="579"/>
      <c r="O1263" s="579"/>
      <c r="P1263" s="579"/>
      <c r="Q1263" s="66"/>
      <c r="R1263" s="66"/>
      <c r="S1263" s="66"/>
    </row>
    <row r="1264" spans="2:19" x14ac:dyDescent="0.2">
      <c r="B1264" s="245"/>
      <c r="C1264" s="245"/>
      <c r="D1264" s="245"/>
      <c r="E1264" s="245"/>
      <c r="F1264" s="245"/>
      <c r="G1264" s="579"/>
      <c r="H1264" s="245"/>
      <c r="I1264" s="245"/>
      <c r="J1264" s="245"/>
      <c r="K1264" s="245"/>
      <c r="L1264" s="245"/>
      <c r="N1264" s="579"/>
      <c r="O1264" s="579"/>
      <c r="P1264" s="579"/>
      <c r="Q1264" s="66"/>
      <c r="R1264" s="66"/>
      <c r="S1264" s="66"/>
    </row>
    <row r="1265" spans="2:19" x14ac:dyDescent="0.2">
      <c r="B1265" s="245"/>
      <c r="C1265" s="245"/>
      <c r="D1265" s="245"/>
      <c r="E1265" s="245"/>
      <c r="F1265" s="245"/>
      <c r="G1265" s="579"/>
      <c r="H1265" s="245"/>
      <c r="I1265" s="245"/>
      <c r="J1265" s="245"/>
      <c r="K1265" s="245"/>
      <c r="L1265" s="245"/>
      <c r="N1265" s="579"/>
      <c r="O1265" s="579"/>
      <c r="P1265" s="579"/>
      <c r="Q1265" s="66"/>
      <c r="R1265" s="66"/>
      <c r="S1265" s="66"/>
    </row>
    <row r="1266" spans="2:19" x14ac:dyDescent="0.2">
      <c r="B1266" s="245"/>
      <c r="C1266" s="245"/>
      <c r="D1266" s="245"/>
      <c r="E1266" s="245"/>
      <c r="F1266" s="245"/>
      <c r="G1266" s="579"/>
      <c r="H1266" s="245"/>
      <c r="I1266" s="245"/>
      <c r="J1266" s="245"/>
      <c r="K1266" s="245"/>
      <c r="L1266" s="245"/>
      <c r="N1266" s="579"/>
      <c r="O1266" s="579"/>
      <c r="P1266" s="579"/>
      <c r="Q1266" s="66"/>
      <c r="R1266" s="66"/>
      <c r="S1266" s="66"/>
    </row>
    <row r="1267" spans="2:19" x14ac:dyDescent="0.2">
      <c r="B1267" s="245"/>
      <c r="C1267" s="245"/>
      <c r="D1267" s="245"/>
      <c r="E1267" s="245"/>
      <c r="F1267" s="245"/>
      <c r="G1267" s="579"/>
      <c r="H1267" s="245"/>
      <c r="I1267" s="245"/>
      <c r="J1267" s="245"/>
      <c r="K1267" s="245"/>
      <c r="L1267" s="245"/>
      <c r="N1267" s="579"/>
      <c r="O1267" s="579"/>
      <c r="P1267" s="579"/>
      <c r="Q1267" s="66"/>
      <c r="R1267" s="66"/>
      <c r="S1267" s="66"/>
    </row>
    <row r="1268" spans="2:19" x14ac:dyDescent="0.2">
      <c r="B1268" s="245"/>
      <c r="C1268" s="245"/>
      <c r="D1268" s="245"/>
      <c r="E1268" s="245"/>
      <c r="F1268" s="245"/>
      <c r="G1268" s="579"/>
      <c r="H1268" s="245"/>
      <c r="I1268" s="245"/>
      <c r="J1268" s="245"/>
      <c r="K1268" s="245"/>
      <c r="L1268" s="245"/>
      <c r="N1268" s="579"/>
      <c r="O1268" s="579"/>
      <c r="P1268" s="579"/>
      <c r="Q1268" s="66"/>
      <c r="R1268" s="66"/>
      <c r="S1268" s="66"/>
    </row>
    <row r="1269" spans="2:19" x14ac:dyDescent="0.2">
      <c r="B1269" s="245"/>
      <c r="C1269" s="245"/>
      <c r="D1269" s="245"/>
      <c r="E1269" s="245"/>
      <c r="F1269" s="245"/>
      <c r="G1269" s="579"/>
      <c r="H1269" s="245"/>
      <c r="I1269" s="245"/>
      <c r="J1269" s="245"/>
      <c r="K1269" s="245"/>
      <c r="L1269" s="245"/>
      <c r="N1269" s="579"/>
      <c r="O1269" s="579"/>
      <c r="P1269" s="579"/>
      <c r="Q1269" s="66"/>
      <c r="R1269" s="66"/>
      <c r="S1269" s="66"/>
    </row>
    <row r="1270" spans="2:19" x14ac:dyDescent="0.2">
      <c r="B1270" s="245"/>
      <c r="C1270" s="245"/>
      <c r="D1270" s="245"/>
      <c r="E1270" s="245"/>
      <c r="F1270" s="245"/>
      <c r="G1270" s="579"/>
      <c r="H1270" s="245"/>
      <c r="I1270" s="245"/>
      <c r="J1270" s="245"/>
      <c r="K1270" s="245"/>
      <c r="L1270" s="245"/>
      <c r="N1270" s="579"/>
      <c r="O1270" s="579"/>
      <c r="P1270" s="579"/>
      <c r="Q1270" s="66"/>
      <c r="R1270" s="66"/>
      <c r="S1270" s="66"/>
    </row>
    <row r="1271" spans="2:19" x14ac:dyDescent="0.2">
      <c r="B1271" s="245"/>
      <c r="C1271" s="245"/>
      <c r="D1271" s="245"/>
      <c r="E1271" s="245"/>
      <c r="F1271" s="245"/>
      <c r="G1271" s="579"/>
      <c r="H1271" s="245"/>
      <c r="I1271" s="245"/>
      <c r="J1271" s="245"/>
      <c r="K1271" s="245"/>
      <c r="L1271" s="245"/>
      <c r="N1271" s="579"/>
      <c r="O1271" s="579"/>
      <c r="P1271" s="579"/>
      <c r="Q1271" s="66"/>
      <c r="R1271" s="66"/>
      <c r="S1271" s="66"/>
    </row>
    <row r="1272" spans="2:19" x14ac:dyDescent="0.2">
      <c r="B1272" s="245"/>
      <c r="C1272" s="245"/>
      <c r="D1272" s="245"/>
      <c r="E1272" s="245"/>
      <c r="F1272" s="245"/>
      <c r="G1272" s="579"/>
      <c r="H1272" s="245"/>
      <c r="I1272" s="245"/>
      <c r="J1272" s="245"/>
      <c r="K1272" s="245"/>
      <c r="L1272" s="245"/>
      <c r="N1272" s="579"/>
      <c r="O1272" s="579"/>
      <c r="P1272" s="579"/>
      <c r="Q1272" s="66"/>
      <c r="R1272" s="66"/>
      <c r="S1272" s="66"/>
    </row>
    <row r="1273" spans="2:19" x14ac:dyDescent="0.2">
      <c r="B1273" s="245"/>
      <c r="C1273" s="245"/>
      <c r="D1273" s="245"/>
      <c r="E1273" s="245"/>
      <c r="F1273" s="245"/>
      <c r="G1273" s="579"/>
      <c r="H1273" s="245"/>
      <c r="I1273" s="245"/>
      <c r="J1273" s="245"/>
      <c r="K1273" s="245"/>
      <c r="L1273" s="245"/>
      <c r="N1273" s="579"/>
      <c r="O1273" s="579"/>
      <c r="P1273" s="579"/>
      <c r="Q1273" s="66"/>
      <c r="R1273" s="66"/>
      <c r="S1273" s="66"/>
    </row>
    <row r="1274" spans="2:19" x14ac:dyDescent="0.2">
      <c r="B1274" s="245"/>
      <c r="C1274" s="245"/>
      <c r="D1274" s="245"/>
      <c r="E1274" s="245"/>
      <c r="F1274" s="245"/>
      <c r="G1274" s="579"/>
      <c r="H1274" s="245"/>
      <c r="I1274" s="245"/>
      <c r="J1274" s="245"/>
      <c r="K1274" s="245"/>
      <c r="L1274" s="245"/>
      <c r="N1274" s="579"/>
      <c r="O1274" s="579"/>
      <c r="P1274" s="579"/>
      <c r="Q1274" s="66"/>
      <c r="R1274" s="66"/>
      <c r="S1274" s="66"/>
    </row>
    <row r="1275" spans="2:19" x14ac:dyDescent="0.2">
      <c r="B1275" s="245"/>
      <c r="C1275" s="245"/>
      <c r="D1275" s="245"/>
      <c r="E1275" s="245"/>
      <c r="F1275" s="245"/>
      <c r="G1275" s="579"/>
      <c r="H1275" s="245"/>
      <c r="I1275" s="245"/>
      <c r="J1275" s="245"/>
      <c r="K1275" s="245"/>
      <c r="L1275" s="245"/>
      <c r="N1275" s="579"/>
      <c r="O1275" s="579"/>
      <c r="P1275" s="579"/>
      <c r="Q1275" s="66"/>
      <c r="R1275" s="66"/>
      <c r="S1275" s="66"/>
    </row>
    <row r="1276" spans="2:19" x14ac:dyDescent="0.2">
      <c r="B1276" s="245"/>
      <c r="C1276" s="245"/>
      <c r="D1276" s="245"/>
      <c r="E1276" s="245"/>
      <c r="F1276" s="245"/>
      <c r="G1276" s="579"/>
      <c r="H1276" s="245"/>
      <c r="I1276" s="245"/>
      <c r="J1276" s="245"/>
      <c r="K1276" s="245"/>
      <c r="L1276" s="245"/>
      <c r="N1276" s="579"/>
      <c r="O1276" s="579"/>
      <c r="P1276" s="579"/>
      <c r="Q1276" s="66"/>
      <c r="R1276" s="66"/>
      <c r="S1276" s="66"/>
    </row>
    <row r="1277" spans="2:19" x14ac:dyDescent="0.2">
      <c r="B1277" s="245"/>
      <c r="C1277" s="245"/>
      <c r="D1277" s="245"/>
      <c r="E1277" s="245"/>
      <c r="F1277" s="245"/>
      <c r="G1277" s="579"/>
      <c r="H1277" s="245"/>
      <c r="I1277" s="245"/>
      <c r="J1277" s="245"/>
      <c r="K1277" s="245"/>
      <c r="L1277" s="245"/>
      <c r="N1277" s="579"/>
      <c r="O1277" s="579"/>
      <c r="P1277" s="579"/>
      <c r="Q1277" s="66"/>
      <c r="R1277" s="66"/>
      <c r="S1277" s="66"/>
    </row>
    <row r="1278" spans="2:19" x14ac:dyDescent="0.2">
      <c r="B1278" s="245"/>
      <c r="C1278" s="245"/>
      <c r="D1278" s="245"/>
      <c r="E1278" s="245"/>
      <c r="F1278" s="245"/>
      <c r="G1278" s="579"/>
      <c r="H1278" s="245"/>
      <c r="I1278" s="245"/>
      <c r="J1278" s="245"/>
      <c r="K1278" s="245"/>
      <c r="L1278" s="245"/>
      <c r="N1278" s="579"/>
      <c r="O1278" s="579"/>
      <c r="P1278" s="579"/>
      <c r="Q1278" s="66"/>
      <c r="R1278" s="66"/>
      <c r="S1278" s="66"/>
    </row>
    <row r="1279" spans="2:19" x14ac:dyDescent="0.2">
      <c r="B1279" s="245"/>
      <c r="C1279" s="245"/>
      <c r="D1279" s="245"/>
      <c r="E1279" s="245"/>
      <c r="F1279" s="245"/>
      <c r="G1279" s="579"/>
      <c r="H1279" s="245"/>
      <c r="I1279" s="245"/>
      <c r="J1279" s="245"/>
      <c r="K1279" s="245"/>
      <c r="L1279" s="245"/>
      <c r="N1279" s="579"/>
      <c r="O1279" s="579"/>
      <c r="P1279" s="579"/>
      <c r="Q1279" s="66"/>
      <c r="R1279" s="66"/>
      <c r="S1279" s="66"/>
    </row>
    <row r="1280" spans="2:19" x14ac:dyDescent="0.2">
      <c r="B1280" s="245"/>
      <c r="C1280" s="245"/>
      <c r="D1280" s="245"/>
      <c r="E1280" s="245"/>
      <c r="F1280" s="245"/>
      <c r="G1280" s="579"/>
      <c r="H1280" s="245"/>
      <c r="I1280" s="245"/>
      <c r="J1280" s="245"/>
      <c r="K1280" s="245"/>
      <c r="L1280" s="245"/>
      <c r="N1280" s="579"/>
      <c r="O1280" s="579"/>
      <c r="P1280" s="579"/>
      <c r="Q1280" s="66"/>
      <c r="R1280" s="66"/>
      <c r="S1280" s="66"/>
    </row>
    <row r="1281" spans="2:19" x14ac:dyDescent="0.2">
      <c r="B1281" s="245"/>
      <c r="C1281" s="245"/>
      <c r="D1281" s="245"/>
      <c r="E1281" s="245"/>
      <c r="F1281" s="245"/>
      <c r="G1281" s="579"/>
      <c r="H1281" s="245"/>
      <c r="I1281" s="245"/>
      <c r="J1281" s="245"/>
      <c r="K1281" s="245"/>
      <c r="L1281" s="245"/>
      <c r="N1281" s="579"/>
      <c r="O1281" s="579"/>
      <c r="P1281" s="579"/>
      <c r="Q1281" s="66"/>
      <c r="R1281" s="66"/>
      <c r="S1281" s="66"/>
    </row>
    <row r="1282" spans="2:19" x14ac:dyDescent="0.2">
      <c r="B1282" s="245"/>
      <c r="C1282" s="245"/>
      <c r="D1282" s="245"/>
      <c r="E1282" s="245"/>
      <c r="F1282" s="245"/>
      <c r="G1282" s="579"/>
      <c r="H1282" s="245"/>
      <c r="I1282" s="245"/>
      <c r="J1282" s="245"/>
      <c r="K1282" s="245"/>
      <c r="L1282" s="245"/>
      <c r="N1282" s="579"/>
      <c r="O1282" s="579"/>
      <c r="P1282" s="579"/>
      <c r="Q1282" s="66"/>
      <c r="R1282" s="66"/>
      <c r="S1282" s="66"/>
    </row>
    <row r="1283" spans="2:19" x14ac:dyDescent="0.2">
      <c r="B1283" s="245"/>
      <c r="C1283" s="245"/>
      <c r="D1283" s="245"/>
      <c r="E1283" s="245"/>
      <c r="F1283" s="245"/>
      <c r="G1283" s="579"/>
      <c r="H1283" s="245"/>
      <c r="I1283" s="245"/>
      <c r="J1283" s="245"/>
      <c r="K1283" s="245"/>
      <c r="L1283" s="245"/>
      <c r="N1283" s="579"/>
      <c r="O1283" s="579"/>
      <c r="P1283" s="579"/>
      <c r="Q1283" s="66"/>
      <c r="R1283" s="66"/>
      <c r="S1283" s="66"/>
    </row>
    <row r="1284" spans="2:19" x14ac:dyDescent="0.2">
      <c r="B1284" s="245"/>
      <c r="C1284" s="245"/>
      <c r="D1284" s="245"/>
      <c r="E1284" s="245"/>
      <c r="F1284" s="245"/>
      <c r="G1284" s="579"/>
      <c r="H1284" s="245"/>
      <c r="I1284" s="245"/>
      <c r="J1284" s="245"/>
      <c r="K1284" s="245"/>
      <c r="L1284" s="245"/>
      <c r="N1284" s="579"/>
      <c r="O1284" s="579"/>
      <c r="P1284" s="579"/>
      <c r="Q1284" s="66"/>
      <c r="R1284" s="66"/>
      <c r="S1284" s="66"/>
    </row>
    <row r="1285" spans="2:19" x14ac:dyDescent="0.2">
      <c r="B1285" s="245"/>
      <c r="C1285" s="245"/>
      <c r="D1285" s="245"/>
      <c r="E1285" s="245"/>
      <c r="F1285" s="245"/>
      <c r="G1285" s="579"/>
      <c r="H1285" s="245"/>
      <c r="I1285" s="245"/>
      <c r="J1285" s="245"/>
      <c r="K1285" s="245"/>
      <c r="L1285" s="245"/>
      <c r="N1285" s="579"/>
      <c r="O1285" s="579"/>
      <c r="P1285" s="579"/>
      <c r="Q1285" s="66"/>
      <c r="R1285" s="66"/>
      <c r="S1285" s="66"/>
    </row>
    <row r="1286" spans="2:19" x14ac:dyDescent="0.2">
      <c r="B1286" s="245"/>
      <c r="C1286" s="245"/>
      <c r="D1286" s="245"/>
      <c r="E1286" s="245"/>
      <c r="F1286" s="245"/>
      <c r="G1286" s="579"/>
      <c r="H1286" s="245"/>
      <c r="I1286" s="245"/>
      <c r="J1286" s="245"/>
      <c r="K1286" s="245"/>
      <c r="L1286" s="245"/>
      <c r="N1286" s="579"/>
      <c r="O1286" s="579"/>
      <c r="P1286" s="579"/>
      <c r="Q1286" s="66"/>
      <c r="R1286" s="66"/>
      <c r="S1286" s="66"/>
    </row>
    <row r="1287" spans="2:19" x14ac:dyDescent="0.2">
      <c r="B1287" s="245"/>
      <c r="C1287" s="245"/>
      <c r="D1287" s="245"/>
      <c r="E1287" s="245"/>
      <c r="F1287" s="245"/>
      <c r="G1287" s="579"/>
      <c r="H1287" s="245"/>
      <c r="I1287" s="245"/>
      <c r="J1287" s="245"/>
      <c r="K1287" s="245"/>
      <c r="L1287" s="245"/>
      <c r="N1287" s="579"/>
      <c r="O1287" s="579"/>
      <c r="P1287" s="579"/>
      <c r="Q1287" s="66"/>
      <c r="R1287" s="66"/>
      <c r="S1287" s="66"/>
    </row>
    <row r="1288" spans="2:19" x14ac:dyDescent="0.2">
      <c r="B1288" s="245"/>
      <c r="C1288" s="245"/>
      <c r="D1288" s="245"/>
      <c r="E1288" s="245"/>
      <c r="F1288" s="245"/>
      <c r="G1288" s="579"/>
      <c r="H1288" s="245"/>
      <c r="I1288" s="245"/>
      <c r="J1288" s="245"/>
      <c r="K1288" s="245"/>
      <c r="L1288" s="245"/>
      <c r="N1288" s="579"/>
      <c r="O1288" s="579"/>
      <c r="P1288" s="579"/>
      <c r="Q1288" s="66"/>
      <c r="R1288" s="66"/>
      <c r="S1288" s="66"/>
    </row>
    <row r="1289" spans="2:19" x14ac:dyDescent="0.2">
      <c r="B1289" s="245"/>
      <c r="C1289" s="245"/>
      <c r="D1289" s="245"/>
      <c r="E1289" s="245"/>
      <c r="F1289" s="245"/>
      <c r="G1289" s="579"/>
      <c r="H1289" s="245"/>
      <c r="I1289" s="245"/>
      <c r="J1289" s="245"/>
      <c r="K1289" s="245"/>
      <c r="L1289" s="245"/>
      <c r="N1289" s="579"/>
      <c r="O1289" s="579"/>
      <c r="P1289" s="579"/>
      <c r="Q1289" s="66"/>
      <c r="R1289" s="66"/>
      <c r="S1289" s="66"/>
    </row>
    <row r="1290" spans="2:19" x14ac:dyDescent="0.2">
      <c r="B1290" s="245"/>
      <c r="C1290" s="245"/>
      <c r="D1290" s="245"/>
      <c r="E1290" s="245"/>
      <c r="F1290" s="245"/>
      <c r="G1290" s="579"/>
      <c r="H1290" s="245"/>
      <c r="I1290" s="245"/>
      <c r="J1290" s="245"/>
      <c r="K1290" s="245"/>
      <c r="L1290" s="245"/>
      <c r="N1290" s="579"/>
      <c r="O1290" s="579"/>
      <c r="P1290" s="579"/>
      <c r="Q1290" s="66"/>
      <c r="R1290" s="66"/>
      <c r="S1290" s="66"/>
    </row>
    <row r="1291" spans="2:19" x14ac:dyDescent="0.2">
      <c r="B1291" s="245"/>
      <c r="C1291" s="245"/>
      <c r="D1291" s="245"/>
      <c r="E1291" s="245"/>
      <c r="F1291" s="245"/>
      <c r="G1291" s="579"/>
      <c r="H1291" s="245"/>
      <c r="I1291" s="245"/>
      <c r="J1291" s="245"/>
      <c r="K1291" s="245"/>
      <c r="L1291" s="245"/>
      <c r="N1291" s="579"/>
      <c r="O1291" s="579"/>
      <c r="P1291" s="579"/>
      <c r="Q1291" s="66"/>
      <c r="R1291" s="66"/>
      <c r="S1291" s="66"/>
    </row>
    <row r="1292" spans="2:19" x14ac:dyDescent="0.2">
      <c r="B1292" s="245"/>
      <c r="C1292" s="245"/>
      <c r="D1292" s="245"/>
      <c r="E1292" s="245"/>
      <c r="F1292" s="245"/>
      <c r="G1292" s="579"/>
      <c r="H1292" s="245"/>
      <c r="I1292" s="245"/>
      <c r="J1292" s="245"/>
      <c r="K1292" s="245"/>
      <c r="L1292" s="245"/>
      <c r="N1292" s="579"/>
      <c r="O1292" s="579"/>
      <c r="P1292" s="579"/>
      <c r="Q1292" s="66"/>
      <c r="R1292" s="66"/>
      <c r="S1292" s="66"/>
    </row>
    <row r="1293" spans="2:19" x14ac:dyDescent="0.2">
      <c r="B1293" s="245"/>
      <c r="C1293" s="245"/>
      <c r="D1293" s="245"/>
      <c r="E1293" s="245"/>
      <c r="F1293" s="245"/>
      <c r="G1293" s="579"/>
      <c r="H1293" s="245"/>
      <c r="I1293" s="245"/>
      <c r="J1293" s="245"/>
      <c r="K1293" s="245"/>
      <c r="L1293" s="245"/>
      <c r="N1293" s="579"/>
      <c r="O1293" s="579"/>
      <c r="P1293" s="579"/>
      <c r="Q1293" s="66"/>
      <c r="R1293" s="66"/>
      <c r="S1293" s="66"/>
    </row>
    <row r="1294" spans="2:19" x14ac:dyDescent="0.2">
      <c r="B1294" s="245"/>
      <c r="C1294" s="245"/>
      <c r="D1294" s="245"/>
      <c r="E1294" s="245"/>
      <c r="F1294" s="245"/>
      <c r="G1294" s="579"/>
      <c r="H1294" s="245"/>
      <c r="I1294" s="245"/>
      <c r="J1294" s="245"/>
      <c r="K1294" s="245"/>
      <c r="L1294" s="245"/>
      <c r="N1294" s="579"/>
      <c r="O1294" s="579"/>
      <c r="P1294" s="579"/>
      <c r="Q1294" s="66"/>
      <c r="R1294" s="66"/>
      <c r="S1294" s="66"/>
    </row>
    <row r="1295" spans="2:19" x14ac:dyDescent="0.2">
      <c r="B1295" s="245"/>
      <c r="C1295" s="245"/>
      <c r="D1295" s="245"/>
      <c r="E1295" s="245"/>
      <c r="F1295" s="245"/>
      <c r="G1295" s="579"/>
      <c r="H1295" s="245"/>
      <c r="I1295" s="245"/>
      <c r="J1295" s="245"/>
      <c r="K1295" s="245"/>
      <c r="L1295" s="245"/>
      <c r="N1295" s="579"/>
      <c r="O1295" s="579"/>
      <c r="P1295" s="579"/>
      <c r="Q1295" s="66"/>
      <c r="R1295" s="66"/>
      <c r="S1295" s="66"/>
    </row>
    <row r="1296" spans="2:19" x14ac:dyDescent="0.2">
      <c r="B1296" s="245"/>
      <c r="C1296" s="245"/>
      <c r="D1296" s="245"/>
      <c r="E1296" s="245"/>
      <c r="F1296" s="245"/>
      <c r="G1296" s="579"/>
      <c r="H1296" s="245"/>
      <c r="I1296" s="245"/>
      <c r="J1296" s="245"/>
      <c r="K1296" s="245"/>
      <c r="L1296" s="245"/>
      <c r="N1296" s="579"/>
      <c r="O1296" s="579"/>
      <c r="P1296" s="579"/>
      <c r="Q1296" s="66"/>
      <c r="R1296" s="66"/>
      <c r="S1296" s="66"/>
    </row>
    <row r="1297" spans="2:19" x14ac:dyDescent="0.2">
      <c r="B1297" s="245"/>
      <c r="C1297" s="245"/>
      <c r="D1297" s="245"/>
      <c r="E1297" s="245"/>
      <c r="F1297" s="245"/>
      <c r="G1297" s="579"/>
      <c r="H1297" s="245"/>
      <c r="I1297" s="245"/>
      <c r="J1297" s="245"/>
      <c r="K1297" s="245"/>
      <c r="L1297" s="245"/>
      <c r="N1297" s="579"/>
      <c r="O1297" s="579"/>
      <c r="P1297" s="579"/>
      <c r="Q1297" s="66"/>
      <c r="R1297" s="66"/>
      <c r="S1297" s="66"/>
    </row>
    <row r="1298" spans="2:19" x14ac:dyDescent="0.2">
      <c r="B1298" s="245"/>
      <c r="C1298" s="245"/>
      <c r="D1298" s="245"/>
      <c r="E1298" s="245"/>
      <c r="F1298" s="245"/>
      <c r="G1298" s="579"/>
      <c r="H1298" s="245"/>
      <c r="I1298" s="245"/>
      <c r="J1298" s="245"/>
      <c r="K1298" s="245"/>
      <c r="L1298" s="245"/>
      <c r="N1298" s="579"/>
      <c r="O1298" s="579"/>
      <c r="P1298" s="579"/>
      <c r="Q1298" s="66"/>
      <c r="R1298" s="66"/>
      <c r="S1298" s="66"/>
    </row>
    <row r="1299" spans="2:19" x14ac:dyDescent="0.2">
      <c r="B1299" s="245"/>
      <c r="C1299" s="245"/>
      <c r="D1299" s="245"/>
      <c r="E1299" s="245"/>
      <c r="F1299" s="245"/>
      <c r="G1299" s="579"/>
      <c r="H1299" s="245"/>
      <c r="I1299" s="245"/>
      <c r="J1299" s="245"/>
      <c r="K1299" s="245"/>
      <c r="L1299" s="245"/>
      <c r="N1299" s="579"/>
      <c r="O1299" s="579"/>
      <c r="P1299" s="579"/>
      <c r="Q1299" s="66"/>
      <c r="R1299" s="66"/>
      <c r="S1299" s="66"/>
    </row>
    <row r="1300" spans="2:19" x14ac:dyDescent="0.2">
      <c r="B1300" s="245"/>
      <c r="C1300" s="245"/>
      <c r="D1300" s="245"/>
      <c r="E1300" s="245"/>
      <c r="F1300" s="245"/>
      <c r="G1300" s="579"/>
      <c r="H1300" s="245"/>
      <c r="I1300" s="245"/>
      <c r="J1300" s="245"/>
      <c r="K1300" s="245"/>
      <c r="L1300" s="245"/>
      <c r="N1300" s="579"/>
      <c r="O1300" s="579"/>
      <c r="P1300" s="579"/>
      <c r="Q1300" s="66"/>
      <c r="R1300" s="66"/>
      <c r="S1300" s="66"/>
    </row>
    <row r="1301" spans="2:19" x14ac:dyDescent="0.2">
      <c r="B1301" s="245"/>
      <c r="C1301" s="245"/>
      <c r="D1301" s="245"/>
      <c r="E1301" s="245"/>
      <c r="F1301" s="245"/>
      <c r="G1301" s="579"/>
      <c r="H1301" s="245"/>
      <c r="I1301" s="245"/>
      <c r="J1301" s="245"/>
      <c r="K1301" s="245"/>
      <c r="L1301" s="245"/>
      <c r="N1301" s="579"/>
      <c r="O1301" s="579"/>
      <c r="P1301" s="579"/>
      <c r="Q1301" s="66"/>
      <c r="R1301" s="66"/>
      <c r="S1301" s="66"/>
    </row>
    <row r="1302" spans="2:19" x14ac:dyDescent="0.2">
      <c r="B1302" s="245"/>
      <c r="C1302" s="245"/>
      <c r="D1302" s="245"/>
      <c r="E1302" s="245"/>
      <c r="F1302" s="245"/>
      <c r="G1302" s="579"/>
      <c r="H1302" s="245"/>
      <c r="I1302" s="245"/>
      <c r="J1302" s="245"/>
      <c r="K1302" s="245"/>
      <c r="L1302" s="245"/>
      <c r="N1302" s="579"/>
      <c r="O1302" s="579"/>
      <c r="P1302" s="579"/>
      <c r="Q1302" s="66"/>
      <c r="R1302" s="66"/>
      <c r="S1302" s="66"/>
    </row>
    <row r="1303" spans="2:19" x14ac:dyDescent="0.2">
      <c r="B1303" s="245"/>
      <c r="C1303" s="245"/>
      <c r="D1303" s="245"/>
      <c r="E1303" s="245"/>
      <c r="F1303" s="245"/>
      <c r="G1303" s="579"/>
      <c r="H1303" s="245"/>
      <c r="I1303" s="245"/>
      <c r="J1303" s="245"/>
      <c r="K1303" s="245"/>
      <c r="L1303" s="245"/>
      <c r="N1303" s="579"/>
      <c r="O1303" s="579"/>
      <c r="P1303" s="579"/>
      <c r="Q1303" s="66"/>
      <c r="R1303" s="66"/>
      <c r="S1303" s="66"/>
    </row>
    <row r="1304" spans="2:19" x14ac:dyDescent="0.2">
      <c r="B1304" s="245"/>
      <c r="C1304" s="245"/>
      <c r="D1304" s="245"/>
      <c r="E1304" s="245"/>
      <c r="F1304" s="245"/>
      <c r="G1304" s="579"/>
      <c r="H1304" s="245"/>
      <c r="I1304" s="245"/>
      <c r="J1304" s="245"/>
      <c r="K1304" s="245"/>
      <c r="L1304" s="245"/>
      <c r="N1304" s="579"/>
      <c r="O1304" s="579"/>
      <c r="P1304" s="579"/>
      <c r="Q1304" s="66"/>
      <c r="R1304" s="66"/>
      <c r="S1304" s="66"/>
    </row>
    <row r="1305" spans="2:19" x14ac:dyDescent="0.2">
      <c r="B1305" s="245"/>
      <c r="C1305" s="245"/>
      <c r="D1305" s="245"/>
      <c r="E1305" s="245"/>
      <c r="F1305" s="245"/>
      <c r="G1305" s="579"/>
      <c r="H1305" s="245"/>
      <c r="I1305" s="245"/>
      <c r="J1305" s="245"/>
      <c r="K1305" s="245"/>
      <c r="L1305" s="245"/>
      <c r="N1305" s="579"/>
      <c r="O1305" s="579"/>
      <c r="P1305" s="579"/>
      <c r="Q1305" s="66"/>
      <c r="R1305" s="66"/>
      <c r="S1305" s="66"/>
    </row>
    <row r="1306" spans="2:19" x14ac:dyDescent="0.2">
      <c r="B1306" s="245"/>
      <c r="C1306" s="245"/>
      <c r="D1306" s="245"/>
      <c r="E1306" s="245"/>
      <c r="F1306" s="245"/>
      <c r="G1306" s="579"/>
      <c r="H1306" s="245"/>
      <c r="I1306" s="245"/>
      <c r="J1306" s="245"/>
      <c r="K1306" s="245"/>
      <c r="L1306" s="245"/>
      <c r="N1306" s="579"/>
      <c r="O1306" s="579"/>
      <c r="P1306" s="579"/>
      <c r="Q1306" s="66"/>
      <c r="R1306" s="66"/>
      <c r="S1306" s="66"/>
    </row>
    <row r="1307" spans="2:19" x14ac:dyDescent="0.2">
      <c r="B1307" s="245"/>
      <c r="C1307" s="245"/>
      <c r="D1307" s="245"/>
      <c r="E1307" s="245"/>
      <c r="F1307" s="245"/>
      <c r="G1307" s="579"/>
      <c r="H1307" s="245"/>
      <c r="I1307" s="245"/>
      <c r="J1307" s="245"/>
      <c r="K1307" s="245"/>
      <c r="L1307" s="245"/>
      <c r="N1307" s="579"/>
      <c r="O1307" s="579"/>
      <c r="P1307" s="579"/>
      <c r="Q1307" s="66"/>
      <c r="R1307" s="66"/>
      <c r="S1307" s="66"/>
    </row>
    <row r="1308" spans="2:19" x14ac:dyDescent="0.2">
      <c r="B1308" s="245"/>
      <c r="C1308" s="245"/>
      <c r="D1308" s="245"/>
      <c r="E1308" s="245"/>
      <c r="F1308" s="245"/>
      <c r="G1308" s="579"/>
      <c r="H1308" s="245"/>
      <c r="I1308" s="245"/>
      <c r="J1308" s="245"/>
      <c r="K1308" s="245"/>
      <c r="L1308" s="245"/>
      <c r="N1308" s="579"/>
      <c r="O1308" s="579"/>
      <c r="P1308" s="579"/>
      <c r="Q1308" s="66"/>
      <c r="R1308" s="66"/>
      <c r="S1308" s="66"/>
    </row>
    <row r="1309" spans="2:19" x14ac:dyDescent="0.2">
      <c r="B1309" s="245"/>
      <c r="C1309" s="245"/>
      <c r="D1309" s="245"/>
      <c r="E1309" s="245"/>
      <c r="F1309" s="245"/>
      <c r="G1309" s="579"/>
      <c r="H1309" s="245"/>
      <c r="I1309" s="245"/>
      <c r="J1309" s="245"/>
      <c r="K1309" s="245"/>
      <c r="L1309" s="245"/>
      <c r="N1309" s="579"/>
      <c r="O1309" s="579"/>
      <c r="P1309" s="579"/>
      <c r="Q1309" s="66"/>
      <c r="R1309" s="66"/>
      <c r="S1309" s="66"/>
    </row>
    <row r="1310" spans="2:19" x14ac:dyDescent="0.2">
      <c r="B1310" s="245"/>
      <c r="C1310" s="245"/>
      <c r="D1310" s="245"/>
      <c r="E1310" s="245"/>
      <c r="F1310" s="245"/>
      <c r="G1310" s="579"/>
      <c r="H1310" s="245"/>
      <c r="I1310" s="245"/>
      <c r="J1310" s="245"/>
      <c r="K1310" s="245"/>
      <c r="L1310" s="245"/>
      <c r="N1310" s="579"/>
      <c r="O1310" s="579"/>
      <c r="P1310" s="579"/>
      <c r="Q1310" s="66"/>
      <c r="R1310" s="66"/>
      <c r="S1310" s="66"/>
    </row>
    <row r="1311" spans="2:19" x14ac:dyDescent="0.2">
      <c r="B1311" s="245"/>
      <c r="C1311" s="245"/>
      <c r="D1311" s="245"/>
      <c r="E1311" s="245"/>
      <c r="F1311" s="245"/>
      <c r="G1311" s="579"/>
      <c r="H1311" s="245"/>
      <c r="I1311" s="245"/>
      <c r="J1311" s="245"/>
      <c r="K1311" s="245"/>
      <c r="L1311" s="245"/>
      <c r="N1311" s="579"/>
      <c r="O1311" s="579"/>
      <c r="P1311" s="579"/>
      <c r="Q1311" s="66"/>
      <c r="R1311" s="66"/>
      <c r="S1311" s="66"/>
    </row>
    <row r="1312" spans="2:19" x14ac:dyDescent="0.2">
      <c r="B1312" s="245"/>
      <c r="C1312" s="245"/>
      <c r="D1312" s="245"/>
      <c r="E1312" s="245"/>
      <c r="F1312" s="245"/>
      <c r="G1312" s="579"/>
      <c r="H1312" s="245"/>
      <c r="I1312" s="245"/>
      <c r="J1312" s="245"/>
      <c r="K1312" s="245"/>
      <c r="L1312" s="245"/>
      <c r="N1312" s="579"/>
      <c r="O1312" s="579"/>
      <c r="P1312" s="579"/>
      <c r="Q1312" s="66"/>
      <c r="R1312" s="66"/>
      <c r="S1312" s="66"/>
    </row>
    <row r="1313" spans="2:19" x14ac:dyDescent="0.2">
      <c r="B1313" s="245"/>
      <c r="C1313" s="245"/>
      <c r="D1313" s="245"/>
      <c r="E1313" s="245"/>
      <c r="F1313" s="245"/>
      <c r="G1313" s="579"/>
      <c r="H1313" s="245"/>
      <c r="I1313" s="245"/>
      <c r="J1313" s="245"/>
      <c r="K1313" s="245"/>
      <c r="L1313" s="245"/>
      <c r="N1313" s="579"/>
      <c r="O1313" s="579"/>
      <c r="P1313" s="579"/>
      <c r="Q1313" s="66"/>
      <c r="R1313" s="66"/>
      <c r="S1313" s="66"/>
    </row>
    <row r="1314" spans="2:19" x14ac:dyDescent="0.2">
      <c r="B1314" s="245"/>
      <c r="C1314" s="245"/>
      <c r="D1314" s="245"/>
      <c r="E1314" s="245"/>
      <c r="F1314" s="245"/>
      <c r="G1314" s="579"/>
      <c r="H1314" s="245"/>
      <c r="I1314" s="245"/>
      <c r="J1314" s="245"/>
      <c r="K1314" s="245"/>
      <c r="L1314" s="245"/>
      <c r="N1314" s="579"/>
      <c r="O1314" s="579"/>
      <c r="P1314" s="579"/>
      <c r="Q1314" s="66"/>
      <c r="R1314" s="66"/>
      <c r="S1314" s="66"/>
    </row>
    <row r="1315" spans="2:19" x14ac:dyDescent="0.2">
      <c r="B1315" s="245"/>
      <c r="C1315" s="245"/>
      <c r="D1315" s="245"/>
      <c r="E1315" s="245"/>
      <c r="F1315" s="245"/>
      <c r="G1315" s="579"/>
      <c r="H1315" s="245"/>
      <c r="I1315" s="245"/>
      <c r="J1315" s="245"/>
      <c r="K1315" s="245"/>
      <c r="L1315" s="245"/>
      <c r="N1315" s="579"/>
      <c r="O1315" s="579"/>
      <c r="P1315" s="579"/>
      <c r="Q1315" s="66"/>
      <c r="R1315" s="66"/>
      <c r="S1315" s="66"/>
    </row>
    <row r="1316" spans="2:19" x14ac:dyDescent="0.2">
      <c r="B1316" s="245"/>
      <c r="C1316" s="245"/>
      <c r="D1316" s="245"/>
      <c r="E1316" s="245"/>
      <c r="F1316" s="245"/>
      <c r="G1316" s="579"/>
      <c r="H1316" s="245"/>
      <c r="I1316" s="245"/>
      <c r="J1316" s="245"/>
      <c r="K1316" s="245"/>
      <c r="L1316" s="245"/>
      <c r="N1316" s="579"/>
      <c r="O1316" s="579"/>
      <c r="P1316" s="579"/>
      <c r="Q1316" s="66"/>
      <c r="R1316" s="66"/>
      <c r="S1316" s="66"/>
    </row>
    <row r="1317" spans="2:19" x14ac:dyDescent="0.2">
      <c r="B1317" s="245"/>
      <c r="C1317" s="245"/>
      <c r="D1317" s="245"/>
      <c r="E1317" s="245"/>
      <c r="F1317" s="245"/>
      <c r="G1317" s="579"/>
      <c r="H1317" s="245"/>
      <c r="I1317" s="245"/>
      <c r="J1317" s="245"/>
      <c r="K1317" s="245"/>
      <c r="L1317" s="245"/>
      <c r="N1317" s="579"/>
      <c r="O1317" s="579"/>
      <c r="P1317" s="579"/>
      <c r="Q1317" s="66"/>
      <c r="R1317" s="66"/>
      <c r="S1317" s="66"/>
    </row>
    <row r="1318" spans="2:19" x14ac:dyDescent="0.2">
      <c r="B1318" s="245"/>
      <c r="C1318" s="245"/>
      <c r="D1318" s="245"/>
      <c r="E1318" s="245"/>
      <c r="F1318" s="245"/>
      <c r="G1318" s="579"/>
      <c r="H1318" s="245"/>
      <c r="I1318" s="245"/>
      <c r="J1318" s="245"/>
      <c r="K1318" s="245"/>
      <c r="L1318" s="245"/>
      <c r="N1318" s="579"/>
      <c r="O1318" s="579"/>
      <c r="P1318" s="579"/>
      <c r="Q1318" s="66"/>
      <c r="R1318" s="66"/>
      <c r="S1318" s="66"/>
    </row>
    <row r="1319" spans="2:19" x14ac:dyDescent="0.2">
      <c r="B1319" s="245"/>
      <c r="C1319" s="245"/>
      <c r="D1319" s="245"/>
      <c r="E1319" s="245"/>
      <c r="F1319" s="245"/>
      <c r="G1319" s="579"/>
      <c r="H1319" s="245"/>
      <c r="I1319" s="245"/>
      <c r="J1319" s="245"/>
      <c r="K1319" s="245"/>
      <c r="L1319" s="245"/>
      <c r="N1319" s="579"/>
      <c r="O1319" s="579"/>
      <c r="P1319" s="579"/>
      <c r="Q1319" s="66"/>
      <c r="R1319" s="66"/>
      <c r="S1319" s="66"/>
    </row>
    <row r="1320" spans="2:19" x14ac:dyDescent="0.2">
      <c r="B1320" s="245"/>
      <c r="C1320" s="245"/>
      <c r="D1320" s="245"/>
      <c r="E1320" s="245"/>
      <c r="F1320" s="245"/>
      <c r="G1320" s="579"/>
      <c r="H1320" s="245"/>
      <c r="I1320" s="245"/>
      <c r="J1320" s="245"/>
      <c r="K1320" s="245"/>
      <c r="L1320" s="245"/>
      <c r="N1320" s="579"/>
      <c r="O1320" s="579"/>
      <c r="P1320" s="579"/>
      <c r="Q1320" s="66"/>
      <c r="R1320" s="66"/>
      <c r="S1320" s="66"/>
    </row>
    <row r="1321" spans="2:19" x14ac:dyDescent="0.2">
      <c r="B1321" s="245"/>
      <c r="C1321" s="245"/>
      <c r="D1321" s="245"/>
      <c r="E1321" s="245"/>
      <c r="F1321" s="245"/>
      <c r="G1321" s="579"/>
      <c r="H1321" s="245"/>
      <c r="I1321" s="245"/>
      <c r="J1321" s="245"/>
      <c r="K1321" s="245"/>
      <c r="L1321" s="245"/>
      <c r="N1321" s="579"/>
      <c r="O1321" s="579"/>
      <c r="P1321" s="579"/>
      <c r="Q1321" s="66"/>
      <c r="R1321" s="66"/>
      <c r="S1321" s="66"/>
    </row>
    <row r="1322" spans="2:19" x14ac:dyDescent="0.2">
      <c r="B1322" s="245"/>
      <c r="C1322" s="245"/>
      <c r="D1322" s="245"/>
      <c r="E1322" s="245"/>
      <c r="F1322" s="245"/>
      <c r="G1322" s="579"/>
      <c r="H1322" s="245"/>
      <c r="I1322" s="245"/>
      <c r="J1322" s="245"/>
      <c r="K1322" s="245"/>
      <c r="L1322" s="245"/>
      <c r="N1322" s="579"/>
      <c r="O1322" s="579"/>
      <c r="P1322" s="579"/>
      <c r="Q1322" s="66"/>
      <c r="R1322" s="66"/>
      <c r="S1322" s="66"/>
    </row>
    <row r="1323" spans="2:19" x14ac:dyDescent="0.2">
      <c r="B1323" s="245"/>
      <c r="C1323" s="245"/>
      <c r="D1323" s="245"/>
      <c r="E1323" s="245"/>
      <c r="F1323" s="245"/>
      <c r="G1323" s="579"/>
      <c r="H1323" s="245"/>
      <c r="I1323" s="245"/>
      <c r="J1323" s="245"/>
      <c r="K1323" s="245"/>
      <c r="L1323" s="245"/>
      <c r="N1323" s="579"/>
      <c r="O1323" s="579"/>
      <c r="P1323" s="579"/>
      <c r="Q1323" s="66"/>
      <c r="R1323" s="66"/>
      <c r="S1323" s="66"/>
    </row>
    <row r="1324" spans="2:19" x14ac:dyDescent="0.2">
      <c r="B1324" s="245"/>
      <c r="C1324" s="245"/>
      <c r="D1324" s="245"/>
      <c r="E1324" s="245"/>
      <c r="F1324" s="245"/>
      <c r="G1324" s="579"/>
      <c r="H1324" s="245"/>
      <c r="I1324" s="245"/>
      <c r="J1324" s="245"/>
      <c r="K1324" s="245"/>
      <c r="L1324" s="245"/>
      <c r="N1324" s="579"/>
      <c r="O1324" s="579"/>
      <c r="P1324" s="579"/>
      <c r="Q1324" s="66"/>
      <c r="R1324" s="66"/>
      <c r="S1324" s="66"/>
    </row>
    <row r="1325" spans="2:19" x14ac:dyDescent="0.2">
      <c r="B1325" s="245"/>
      <c r="C1325" s="245"/>
      <c r="D1325" s="245"/>
      <c r="E1325" s="245"/>
      <c r="F1325" s="245"/>
      <c r="G1325" s="579"/>
      <c r="H1325" s="245"/>
      <c r="I1325" s="245"/>
      <c r="J1325" s="245"/>
      <c r="K1325" s="245"/>
      <c r="L1325" s="245"/>
      <c r="N1325" s="579"/>
      <c r="O1325" s="579"/>
      <c r="P1325" s="579"/>
      <c r="Q1325" s="66"/>
      <c r="R1325" s="66"/>
      <c r="S1325" s="66"/>
    </row>
    <row r="1326" spans="2:19" x14ac:dyDescent="0.2">
      <c r="B1326" s="245"/>
      <c r="C1326" s="245"/>
      <c r="D1326" s="245"/>
      <c r="E1326" s="245"/>
      <c r="F1326" s="245"/>
      <c r="G1326" s="579"/>
      <c r="H1326" s="245"/>
      <c r="I1326" s="245"/>
      <c r="J1326" s="245"/>
      <c r="K1326" s="245"/>
      <c r="L1326" s="245"/>
      <c r="N1326" s="579"/>
      <c r="O1326" s="579"/>
      <c r="P1326" s="579"/>
      <c r="Q1326" s="66"/>
      <c r="R1326" s="66"/>
      <c r="S1326" s="66"/>
    </row>
    <row r="1327" spans="2:19" x14ac:dyDescent="0.2">
      <c r="B1327" s="245"/>
      <c r="C1327" s="245"/>
      <c r="D1327" s="245"/>
      <c r="E1327" s="245"/>
      <c r="F1327" s="245"/>
      <c r="G1327" s="579"/>
      <c r="H1327" s="245"/>
      <c r="I1327" s="245"/>
      <c r="J1327" s="245"/>
      <c r="K1327" s="245"/>
      <c r="L1327" s="245"/>
      <c r="N1327" s="579"/>
      <c r="O1327" s="579"/>
      <c r="P1327" s="579"/>
      <c r="Q1327" s="66"/>
      <c r="R1327" s="66"/>
      <c r="S1327" s="66"/>
    </row>
    <row r="1328" spans="2:19" x14ac:dyDescent="0.2">
      <c r="B1328" s="245"/>
      <c r="C1328" s="245"/>
      <c r="D1328" s="245"/>
      <c r="E1328" s="245"/>
      <c r="F1328" s="245"/>
      <c r="G1328" s="579"/>
      <c r="H1328" s="245"/>
      <c r="I1328" s="245"/>
      <c r="J1328" s="245"/>
      <c r="K1328" s="245"/>
      <c r="L1328" s="245"/>
      <c r="N1328" s="579"/>
      <c r="O1328" s="579"/>
      <c r="P1328" s="579"/>
      <c r="Q1328" s="66"/>
      <c r="R1328" s="66"/>
      <c r="S1328" s="66"/>
    </row>
    <row r="1329" spans="2:19" x14ac:dyDescent="0.2">
      <c r="B1329" s="245"/>
      <c r="C1329" s="245"/>
      <c r="D1329" s="245"/>
      <c r="E1329" s="245"/>
      <c r="F1329" s="245"/>
      <c r="G1329" s="579"/>
      <c r="H1329" s="245"/>
      <c r="I1329" s="245"/>
      <c r="J1329" s="245"/>
      <c r="K1329" s="245"/>
      <c r="L1329" s="245"/>
      <c r="N1329" s="579"/>
      <c r="O1329" s="579"/>
      <c r="P1329" s="579"/>
      <c r="Q1329" s="66"/>
      <c r="R1329" s="66"/>
      <c r="S1329" s="66"/>
    </row>
    <row r="1330" spans="2:19" x14ac:dyDescent="0.2">
      <c r="B1330" s="245"/>
      <c r="C1330" s="245"/>
      <c r="D1330" s="245"/>
      <c r="E1330" s="245"/>
      <c r="F1330" s="245"/>
      <c r="G1330" s="579"/>
      <c r="H1330" s="245"/>
      <c r="I1330" s="245"/>
      <c r="J1330" s="245"/>
      <c r="K1330" s="245"/>
      <c r="L1330" s="245"/>
      <c r="N1330" s="579"/>
      <c r="O1330" s="579"/>
      <c r="P1330" s="579"/>
      <c r="Q1330" s="66"/>
      <c r="R1330" s="66"/>
      <c r="S1330" s="66"/>
    </row>
    <row r="1331" spans="2:19" x14ac:dyDescent="0.2">
      <c r="B1331" s="245"/>
      <c r="C1331" s="245"/>
      <c r="D1331" s="245"/>
      <c r="E1331" s="245"/>
      <c r="F1331" s="245"/>
      <c r="G1331" s="579"/>
      <c r="H1331" s="245"/>
      <c r="I1331" s="245"/>
      <c r="J1331" s="245"/>
      <c r="K1331" s="245"/>
      <c r="L1331" s="245"/>
      <c r="N1331" s="579"/>
      <c r="O1331" s="579"/>
      <c r="P1331" s="579"/>
      <c r="Q1331" s="66"/>
      <c r="R1331" s="66"/>
      <c r="S1331" s="66"/>
    </row>
    <row r="1332" spans="2:19" x14ac:dyDescent="0.2">
      <c r="B1332" s="245"/>
      <c r="C1332" s="245"/>
      <c r="D1332" s="245"/>
      <c r="E1332" s="245"/>
      <c r="F1332" s="245"/>
      <c r="G1332" s="579"/>
      <c r="H1332" s="245"/>
      <c r="I1332" s="245"/>
      <c r="J1332" s="245"/>
      <c r="K1332" s="245"/>
      <c r="L1332" s="245"/>
      <c r="N1332" s="579"/>
      <c r="O1332" s="579"/>
      <c r="P1332" s="579"/>
      <c r="Q1332" s="66"/>
      <c r="R1332" s="66"/>
      <c r="S1332" s="66"/>
    </row>
    <row r="1333" spans="2:19" x14ac:dyDescent="0.2">
      <c r="B1333" s="245"/>
      <c r="C1333" s="245"/>
      <c r="D1333" s="245"/>
      <c r="E1333" s="245"/>
      <c r="F1333" s="245"/>
      <c r="G1333" s="579"/>
      <c r="H1333" s="245"/>
      <c r="I1333" s="245"/>
      <c r="J1333" s="245"/>
      <c r="K1333" s="245"/>
      <c r="L1333" s="245"/>
      <c r="N1333" s="579"/>
      <c r="O1333" s="579"/>
      <c r="P1333" s="579"/>
      <c r="Q1333" s="66"/>
      <c r="R1333" s="66"/>
      <c r="S1333" s="66"/>
    </row>
    <row r="1334" spans="2:19" x14ac:dyDescent="0.2">
      <c r="B1334" s="245"/>
      <c r="C1334" s="245"/>
      <c r="D1334" s="245"/>
      <c r="E1334" s="245"/>
      <c r="F1334" s="245"/>
      <c r="G1334" s="579"/>
      <c r="H1334" s="245"/>
      <c r="I1334" s="245"/>
      <c r="J1334" s="245"/>
      <c r="K1334" s="245"/>
      <c r="L1334" s="245"/>
      <c r="N1334" s="579"/>
      <c r="O1334" s="579"/>
      <c r="P1334" s="579"/>
      <c r="Q1334" s="66"/>
      <c r="R1334" s="66"/>
      <c r="S1334" s="66"/>
    </row>
    <row r="1335" spans="2:19" x14ac:dyDescent="0.2">
      <c r="B1335" s="245"/>
      <c r="C1335" s="245"/>
      <c r="D1335" s="245"/>
      <c r="E1335" s="245"/>
      <c r="F1335" s="245"/>
      <c r="G1335" s="579"/>
      <c r="H1335" s="245"/>
      <c r="I1335" s="245"/>
      <c r="J1335" s="245"/>
      <c r="K1335" s="245"/>
      <c r="L1335" s="245"/>
      <c r="N1335" s="579"/>
      <c r="O1335" s="579"/>
      <c r="P1335" s="579"/>
      <c r="Q1335" s="66"/>
      <c r="R1335" s="66"/>
      <c r="S1335" s="66"/>
    </row>
    <row r="1336" spans="2:19" x14ac:dyDescent="0.2">
      <c r="B1336" s="245"/>
      <c r="C1336" s="245"/>
      <c r="D1336" s="245"/>
      <c r="E1336" s="245"/>
      <c r="F1336" s="245"/>
      <c r="G1336" s="579"/>
      <c r="H1336" s="245"/>
      <c r="I1336" s="245"/>
      <c r="J1336" s="245"/>
      <c r="K1336" s="245"/>
      <c r="L1336" s="245"/>
      <c r="N1336" s="579"/>
      <c r="O1336" s="579"/>
      <c r="P1336" s="579"/>
      <c r="Q1336" s="66"/>
      <c r="R1336" s="66"/>
      <c r="S1336" s="66"/>
    </row>
    <row r="1337" spans="2:19" x14ac:dyDescent="0.2">
      <c r="B1337" s="245"/>
      <c r="C1337" s="245"/>
      <c r="D1337" s="245"/>
      <c r="E1337" s="245"/>
      <c r="F1337" s="245"/>
      <c r="G1337" s="579"/>
      <c r="H1337" s="245"/>
      <c r="I1337" s="245"/>
      <c r="J1337" s="245"/>
      <c r="K1337" s="245"/>
      <c r="L1337" s="245"/>
      <c r="N1337" s="579"/>
      <c r="O1337" s="579"/>
      <c r="P1337" s="579"/>
      <c r="Q1337" s="66"/>
      <c r="R1337" s="66"/>
      <c r="S1337" s="66"/>
    </row>
    <row r="1338" spans="2:19" x14ac:dyDescent="0.2">
      <c r="B1338" s="245"/>
      <c r="C1338" s="245"/>
      <c r="D1338" s="245"/>
      <c r="E1338" s="245"/>
      <c r="F1338" s="245"/>
      <c r="G1338" s="579"/>
      <c r="H1338" s="245"/>
      <c r="I1338" s="245"/>
      <c r="J1338" s="245"/>
      <c r="K1338" s="245"/>
      <c r="L1338" s="245"/>
      <c r="N1338" s="579"/>
      <c r="O1338" s="579"/>
      <c r="P1338" s="579"/>
      <c r="Q1338" s="66"/>
      <c r="R1338" s="66"/>
      <c r="S1338" s="66"/>
    </row>
    <row r="1339" spans="2:19" x14ac:dyDescent="0.2">
      <c r="B1339" s="245"/>
      <c r="C1339" s="245"/>
      <c r="D1339" s="245"/>
      <c r="E1339" s="245"/>
      <c r="F1339" s="245"/>
      <c r="G1339" s="579"/>
      <c r="H1339" s="245"/>
      <c r="I1339" s="245"/>
      <c r="J1339" s="245"/>
      <c r="K1339" s="245"/>
      <c r="L1339" s="245"/>
      <c r="N1339" s="579"/>
      <c r="O1339" s="579"/>
      <c r="P1339" s="579"/>
      <c r="Q1339" s="66"/>
      <c r="R1339" s="66"/>
      <c r="S1339" s="66"/>
    </row>
    <row r="1340" spans="2:19" x14ac:dyDescent="0.2">
      <c r="B1340" s="245"/>
      <c r="C1340" s="245"/>
      <c r="D1340" s="245"/>
      <c r="E1340" s="245"/>
      <c r="F1340" s="245"/>
      <c r="G1340" s="579"/>
      <c r="H1340" s="245"/>
      <c r="I1340" s="245"/>
      <c r="J1340" s="245"/>
      <c r="K1340" s="245"/>
      <c r="L1340" s="245"/>
      <c r="N1340" s="579"/>
      <c r="O1340" s="579"/>
      <c r="P1340" s="579"/>
      <c r="Q1340" s="66"/>
      <c r="R1340" s="66"/>
      <c r="S1340" s="66"/>
    </row>
    <row r="1341" spans="2:19" x14ac:dyDescent="0.2">
      <c r="B1341" s="245"/>
      <c r="C1341" s="245"/>
      <c r="D1341" s="245"/>
      <c r="E1341" s="245"/>
      <c r="F1341" s="245"/>
      <c r="G1341" s="579"/>
      <c r="H1341" s="245"/>
      <c r="I1341" s="245"/>
      <c r="J1341" s="245"/>
      <c r="K1341" s="245"/>
      <c r="L1341" s="245"/>
      <c r="N1341" s="579"/>
      <c r="O1341" s="579"/>
      <c r="P1341" s="579"/>
      <c r="Q1341" s="66"/>
      <c r="R1341" s="66"/>
      <c r="S1341" s="66"/>
    </row>
    <row r="1342" spans="2:19" x14ac:dyDescent="0.2">
      <c r="B1342" s="245"/>
      <c r="C1342" s="245"/>
      <c r="D1342" s="245"/>
      <c r="E1342" s="245"/>
      <c r="F1342" s="245"/>
      <c r="G1342" s="579"/>
      <c r="H1342" s="245"/>
      <c r="I1342" s="245"/>
      <c r="J1342" s="245"/>
      <c r="K1342" s="245"/>
      <c r="L1342" s="245"/>
      <c r="N1342" s="579"/>
      <c r="O1342" s="579"/>
      <c r="P1342" s="579"/>
      <c r="Q1342" s="66"/>
      <c r="R1342" s="66"/>
      <c r="S1342" s="66"/>
    </row>
    <row r="1343" spans="2:19" x14ac:dyDescent="0.2">
      <c r="B1343" s="245"/>
      <c r="C1343" s="245"/>
      <c r="D1343" s="245"/>
      <c r="E1343" s="245"/>
      <c r="F1343" s="245"/>
      <c r="G1343" s="579"/>
      <c r="H1343" s="245"/>
      <c r="I1343" s="245"/>
      <c r="J1343" s="245"/>
      <c r="K1343" s="245"/>
      <c r="L1343" s="245"/>
      <c r="N1343" s="579"/>
      <c r="O1343" s="579"/>
      <c r="P1343" s="579"/>
      <c r="Q1343" s="66"/>
      <c r="R1343" s="66"/>
      <c r="S1343" s="66"/>
    </row>
    <row r="1344" spans="2:19" x14ac:dyDescent="0.2">
      <c r="B1344" s="245"/>
      <c r="C1344" s="245"/>
      <c r="D1344" s="245"/>
      <c r="E1344" s="245"/>
      <c r="F1344" s="245"/>
      <c r="G1344" s="579"/>
      <c r="H1344" s="245"/>
      <c r="I1344" s="245"/>
      <c r="J1344" s="245"/>
      <c r="K1344" s="245"/>
      <c r="L1344" s="245"/>
      <c r="N1344" s="579"/>
      <c r="O1344" s="579"/>
      <c r="P1344" s="579"/>
      <c r="Q1344" s="66"/>
      <c r="R1344" s="66"/>
      <c r="S1344" s="66"/>
    </row>
    <row r="1345" spans="2:19" x14ac:dyDescent="0.2">
      <c r="B1345" s="245"/>
      <c r="C1345" s="245"/>
      <c r="D1345" s="245"/>
      <c r="E1345" s="245"/>
      <c r="F1345" s="245"/>
      <c r="G1345" s="579"/>
      <c r="H1345" s="245"/>
      <c r="I1345" s="245"/>
      <c r="J1345" s="245"/>
      <c r="K1345" s="245"/>
      <c r="L1345" s="245"/>
      <c r="N1345" s="579"/>
      <c r="O1345" s="579"/>
      <c r="P1345" s="579"/>
      <c r="Q1345" s="66"/>
      <c r="R1345" s="66"/>
      <c r="S1345" s="66"/>
    </row>
    <row r="1346" spans="2:19" x14ac:dyDescent="0.2">
      <c r="B1346" s="245"/>
      <c r="C1346" s="245"/>
      <c r="D1346" s="245"/>
      <c r="E1346" s="245"/>
      <c r="F1346" s="245"/>
      <c r="G1346" s="579"/>
      <c r="H1346" s="245"/>
      <c r="I1346" s="245"/>
      <c r="J1346" s="245"/>
      <c r="K1346" s="245"/>
      <c r="L1346" s="245"/>
      <c r="N1346" s="579"/>
      <c r="O1346" s="579"/>
      <c r="P1346" s="579"/>
      <c r="Q1346" s="66"/>
      <c r="R1346" s="66"/>
      <c r="S1346" s="66"/>
    </row>
    <row r="1347" spans="2:19" x14ac:dyDescent="0.2">
      <c r="B1347" s="245"/>
      <c r="C1347" s="245"/>
      <c r="D1347" s="245"/>
      <c r="E1347" s="245"/>
      <c r="F1347" s="245"/>
      <c r="G1347" s="579"/>
      <c r="H1347" s="245"/>
      <c r="I1347" s="245"/>
      <c r="J1347" s="245"/>
      <c r="K1347" s="245"/>
      <c r="L1347" s="245"/>
      <c r="N1347" s="579"/>
      <c r="O1347" s="579"/>
      <c r="P1347" s="579"/>
      <c r="Q1347" s="66"/>
      <c r="R1347" s="66"/>
      <c r="S1347" s="66"/>
    </row>
    <row r="1348" spans="2:19" x14ac:dyDescent="0.2">
      <c r="B1348" s="245"/>
      <c r="C1348" s="245"/>
      <c r="D1348" s="245"/>
      <c r="E1348" s="245"/>
      <c r="F1348" s="245"/>
      <c r="G1348" s="579"/>
      <c r="H1348" s="245"/>
      <c r="I1348" s="245"/>
      <c r="J1348" s="245"/>
      <c r="K1348" s="245"/>
      <c r="L1348" s="245"/>
      <c r="N1348" s="579"/>
      <c r="O1348" s="579"/>
      <c r="P1348" s="579"/>
      <c r="Q1348" s="66"/>
      <c r="R1348" s="66"/>
      <c r="S1348" s="66"/>
    </row>
    <row r="1349" spans="2:19" x14ac:dyDescent="0.2">
      <c r="B1349" s="245"/>
      <c r="C1349" s="245"/>
      <c r="D1349" s="245"/>
      <c r="E1349" s="245"/>
      <c r="F1349" s="245"/>
      <c r="G1349" s="579"/>
      <c r="H1349" s="245"/>
      <c r="I1349" s="245"/>
      <c r="J1349" s="245"/>
      <c r="K1349" s="245"/>
      <c r="L1349" s="245"/>
      <c r="N1349" s="579"/>
      <c r="O1349" s="579"/>
      <c r="P1349" s="579"/>
      <c r="Q1349" s="66"/>
      <c r="R1349" s="66"/>
      <c r="S1349" s="66"/>
    </row>
    <row r="1350" spans="2:19" x14ac:dyDescent="0.2">
      <c r="B1350" s="245"/>
      <c r="C1350" s="245"/>
      <c r="D1350" s="245"/>
      <c r="E1350" s="245"/>
      <c r="F1350" s="245"/>
      <c r="G1350" s="579"/>
      <c r="H1350" s="245"/>
      <c r="I1350" s="245"/>
      <c r="J1350" s="245"/>
      <c r="K1350" s="245"/>
      <c r="L1350" s="245"/>
      <c r="N1350" s="579"/>
      <c r="O1350" s="579"/>
      <c r="P1350" s="579"/>
      <c r="Q1350" s="66"/>
      <c r="R1350" s="66"/>
      <c r="S1350" s="66"/>
    </row>
    <row r="1351" spans="2:19" x14ac:dyDescent="0.2">
      <c r="B1351" s="245"/>
      <c r="C1351" s="245"/>
      <c r="D1351" s="245"/>
      <c r="E1351" s="245"/>
      <c r="F1351" s="245"/>
      <c r="G1351" s="579"/>
      <c r="H1351" s="245"/>
      <c r="I1351" s="245"/>
      <c r="J1351" s="245"/>
      <c r="K1351" s="245"/>
      <c r="L1351" s="245"/>
      <c r="N1351" s="579"/>
      <c r="O1351" s="579"/>
      <c r="P1351" s="579"/>
      <c r="Q1351" s="66"/>
      <c r="R1351" s="66"/>
      <c r="S1351" s="66"/>
    </row>
    <row r="1352" spans="2:19" x14ac:dyDescent="0.2">
      <c r="B1352" s="245"/>
      <c r="C1352" s="245"/>
      <c r="D1352" s="245"/>
      <c r="E1352" s="245"/>
      <c r="F1352" s="245"/>
      <c r="G1352" s="579"/>
      <c r="H1352" s="245"/>
      <c r="I1352" s="245"/>
      <c r="J1352" s="245"/>
      <c r="K1352" s="245"/>
      <c r="L1352" s="245"/>
      <c r="N1352" s="579"/>
      <c r="O1352" s="579"/>
      <c r="P1352" s="579"/>
      <c r="Q1352" s="66"/>
      <c r="R1352" s="66"/>
      <c r="S1352" s="66"/>
    </row>
    <row r="1353" spans="2:19" x14ac:dyDescent="0.2">
      <c r="B1353" s="245"/>
      <c r="C1353" s="245"/>
      <c r="D1353" s="245"/>
      <c r="E1353" s="245"/>
      <c r="F1353" s="245"/>
      <c r="G1353" s="579"/>
      <c r="H1353" s="245"/>
      <c r="I1353" s="245"/>
      <c r="J1353" s="245"/>
      <c r="K1353" s="245"/>
      <c r="L1353" s="245"/>
      <c r="N1353" s="579"/>
      <c r="O1353" s="579"/>
      <c r="P1353" s="579"/>
      <c r="Q1353" s="66"/>
      <c r="R1353" s="66"/>
      <c r="S1353" s="66"/>
    </row>
    <row r="1354" spans="2:19" x14ac:dyDescent="0.2">
      <c r="B1354" s="245"/>
      <c r="C1354" s="245"/>
      <c r="D1354" s="245"/>
      <c r="E1354" s="245"/>
      <c r="F1354" s="245"/>
      <c r="G1354" s="579"/>
      <c r="H1354" s="245"/>
      <c r="I1354" s="245"/>
      <c r="J1354" s="245"/>
      <c r="K1354" s="245"/>
      <c r="L1354" s="245"/>
      <c r="N1354" s="579"/>
      <c r="O1354" s="579"/>
      <c r="P1354" s="579"/>
      <c r="Q1354" s="66"/>
      <c r="R1354" s="66"/>
      <c r="S1354" s="66"/>
    </row>
    <row r="1355" spans="2:19" x14ac:dyDescent="0.2">
      <c r="B1355" s="245"/>
      <c r="C1355" s="245"/>
      <c r="D1355" s="245"/>
      <c r="E1355" s="245"/>
      <c r="F1355" s="245"/>
      <c r="G1355" s="579"/>
      <c r="H1355" s="245"/>
      <c r="I1355" s="245"/>
      <c r="J1355" s="245"/>
      <c r="K1355" s="245"/>
      <c r="L1355" s="245"/>
      <c r="N1355" s="579"/>
      <c r="O1355" s="579"/>
      <c r="P1355" s="579"/>
      <c r="Q1355" s="66"/>
      <c r="R1355" s="66"/>
      <c r="S1355" s="66"/>
    </row>
    <row r="1356" spans="2:19" x14ac:dyDescent="0.2">
      <c r="B1356" s="245"/>
      <c r="C1356" s="245"/>
      <c r="D1356" s="245"/>
      <c r="E1356" s="245"/>
      <c r="F1356" s="245"/>
      <c r="G1356" s="579"/>
      <c r="H1356" s="245"/>
      <c r="I1356" s="245"/>
      <c r="J1356" s="245"/>
      <c r="K1356" s="245"/>
      <c r="L1356" s="245"/>
      <c r="N1356" s="579"/>
      <c r="O1356" s="579"/>
      <c r="P1356" s="579"/>
      <c r="Q1356" s="66"/>
      <c r="R1356" s="66"/>
      <c r="S1356" s="66"/>
    </row>
    <row r="1357" spans="2:19" x14ac:dyDescent="0.2">
      <c r="B1357" s="245"/>
      <c r="C1357" s="245"/>
      <c r="D1357" s="245"/>
      <c r="E1357" s="245"/>
      <c r="F1357" s="245"/>
      <c r="G1357" s="579"/>
      <c r="H1357" s="245"/>
      <c r="I1357" s="245"/>
      <c r="J1357" s="245"/>
      <c r="K1357" s="245"/>
      <c r="L1357" s="245"/>
      <c r="N1357" s="579"/>
      <c r="O1357" s="579"/>
      <c r="P1357" s="579"/>
      <c r="Q1357" s="66"/>
      <c r="R1357" s="66"/>
      <c r="S1357" s="66"/>
    </row>
    <row r="1358" spans="2:19" x14ac:dyDescent="0.2">
      <c r="B1358" s="245"/>
      <c r="C1358" s="245"/>
      <c r="D1358" s="245"/>
      <c r="E1358" s="245"/>
      <c r="F1358" s="245"/>
      <c r="G1358" s="579"/>
      <c r="H1358" s="245"/>
      <c r="I1358" s="245"/>
      <c r="J1358" s="245"/>
      <c r="K1358" s="245"/>
      <c r="L1358" s="245"/>
      <c r="N1358" s="579"/>
      <c r="O1358" s="579"/>
      <c r="P1358" s="579"/>
      <c r="Q1358" s="66"/>
      <c r="R1358" s="66"/>
      <c r="S1358" s="66"/>
    </row>
    <row r="1359" spans="2:19" x14ac:dyDescent="0.2">
      <c r="B1359" s="245"/>
      <c r="C1359" s="245"/>
      <c r="D1359" s="245"/>
      <c r="E1359" s="245"/>
      <c r="F1359" s="245"/>
      <c r="G1359" s="579"/>
      <c r="H1359" s="245"/>
      <c r="I1359" s="245"/>
      <c r="J1359" s="245"/>
      <c r="K1359" s="245"/>
      <c r="L1359" s="245"/>
      <c r="N1359" s="579"/>
      <c r="O1359" s="579"/>
      <c r="P1359" s="579"/>
      <c r="Q1359" s="66"/>
      <c r="R1359" s="66"/>
      <c r="S1359" s="66"/>
    </row>
    <row r="1360" spans="2:19" x14ac:dyDescent="0.2">
      <c r="B1360" s="245"/>
      <c r="C1360" s="245"/>
      <c r="D1360" s="245"/>
      <c r="E1360" s="245"/>
      <c r="F1360" s="245"/>
      <c r="G1360" s="579"/>
      <c r="H1360" s="245"/>
      <c r="I1360" s="245"/>
      <c r="J1360" s="245"/>
      <c r="K1360" s="245"/>
      <c r="L1360" s="245"/>
      <c r="N1360" s="579"/>
      <c r="O1360" s="579"/>
      <c r="P1360" s="579"/>
      <c r="Q1360" s="66"/>
      <c r="R1360" s="66"/>
      <c r="S1360" s="66"/>
    </row>
    <row r="1361" spans="2:19" x14ac:dyDescent="0.2">
      <c r="B1361" s="245"/>
      <c r="C1361" s="245"/>
      <c r="D1361" s="245"/>
      <c r="E1361" s="245"/>
      <c r="F1361" s="245"/>
      <c r="G1361" s="579"/>
      <c r="H1361" s="245"/>
      <c r="I1361" s="245"/>
      <c r="J1361" s="245"/>
      <c r="K1361" s="245"/>
      <c r="L1361" s="245"/>
      <c r="N1361" s="579"/>
      <c r="O1361" s="579"/>
      <c r="P1361" s="579"/>
      <c r="Q1361" s="66"/>
      <c r="R1361" s="66"/>
      <c r="S1361" s="66"/>
    </row>
    <row r="1362" spans="2:19" x14ac:dyDescent="0.2">
      <c r="B1362" s="245"/>
      <c r="C1362" s="245"/>
      <c r="D1362" s="245"/>
      <c r="E1362" s="245"/>
      <c r="F1362" s="245"/>
      <c r="G1362" s="579"/>
      <c r="H1362" s="245"/>
      <c r="I1362" s="245"/>
      <c r="J1362" s="245"/>
      <c r="K1362" s="245"/>
      <c r="L1362" s="245"/>
      <c r="N1362" s="579"/>
      <c r="O1362" s="579"/>
      <c r="P1362" s="579"/>
      <c r="Q1362" s="66"/>
      <c r="R1362" s="66"/>
      <c r="S1362" s="66"/>
    </row>
    <row r="1363" spans="2:19" x14ac:dyDescent="0.2">
      <c r="B1363" s="245"/>
      <c r="C1363" s="245"/>
      <c r="D1363" s="245"/>
      <c r="E1363" s="245"/>
      <c r="F1363" s="245"/>
      <c r="G1363" s="579"/>
      <c r="H1363" s="245"/>
      <c r="I1363" s="245"/>
      <c r="J1363" s="245"/>
      <c r="K1363" s="245"/>
      <c r="L1363" s="245"/>
      <c r="N1363" s="579"/>
      <c r="O1363" s="579"/>
      <c r="P1363" s="579"/>
      <c r="Q1363" s="66"/>
      <c r="R1363" s="66"/>
      <c r="S1363" s="66"/>
    </row>
    <row r="1364" spans="2:19" x14ac:dyDescent="0.2">
      <c r="B1364" s="245"/>
      <c r="C1364" s="245"/>
      <c r="D1364" s="245"/>
      <c r="E1364" s="245"/>
      <c r="F1364" s="245"/>
      <c r="G1364" s="579"/>
      <c r="H1364" s="245"/>
      <c r="I1364" s="245"/>
      <c r="J1364" s="245"/>
      <c r="K1364" s="245"/>
      <c r="L1364" s="245"/>
      <c r="N1364" s="579"/>
      <c r="O1364" s="579"/>
      <c r="P1364" s="579"/>
      <c r="Q1364" s="66"/>
      <c r="R1364" s="66"/>
      <c r="S1364" s="66"/>
    </row>
    <row r="1365" spans="2:19" x14ac:dyDescent="0.2">
      <c r="B1365" s="245"/>
      <c r="C1365" s="245"/>
      <c r="D1365" s="245"/>
      <c r="E1365" s="245"/>
      <c r="F1365" s="245"/>
      <c r="G1365" s="579"/>
      <c r="H1365" s="245"/>
      <c r="I1365" s="245"/>
      <c r="J1365" s="245"/>
      <c r="K1365" s="245"/>
      <c r="L1365" s="245"/>
      <c r="N1365" s="579"/>
      <c r="O1365" s="579"/>
      <c r="P1365" s="579"/>
      <c r="Q1365" s="66"/>
      <c r="R1365" s="66"/>
      <c r="S1365" s="66"/>
    </row>
    <row r="1366" spans="2:19" x14ac:dyDescent="0.2">
      <c r="B1366" s="245"/>
      <c r="C1366" s="245"/>
      <c r="D1366" s="245"/>
      <c r="E1366" s="245"/>
      <c r="F1366" s="245"/>
      <c r="G1366" s="579"/>
      <c r="H1366" s="245"/>
      <c r="I1366" s="245"/>
      <c r="J1366" s="245"/>
      <c r="K1366" s="245"/>
      <c r="L1366" s="245"/>
      <c r="N1366" s="579"/>
      <c r="O1366" s="579"/>
      <c r="P1366" s="579"/>
      <c r="Q1366" s="66"/>
      <c r="R1366" s="66"/>
      <c r="S1366" s="66"/>
    </row>
    <row r="1367" spans="2:19" x14ac:dyDescent="0.2">
      <c r="B1367" s="245"/>
      <c r="C1367" s="245"/>
      <c r="D1367" s="245"/>
      <c r="E1367" s="245"/>
      <c r="F1367" s="245"/>
      <c r="G1367" s="579"/>
      <c r="H1367" s="245"/>
      <c r="I1367" s="245"/>
      <c r="J1367" s="245"/>
      <c r="K1367" s="245"/>
      <c r="L1367" s="245"/>
      <c r="N1367" s="579"/>
      <c r="O1367" s="579"/>
      <c r="P1367" s="579"/>
      <c r="Q1367" s="66"/>
      <c r="R1367" s="66"/>
      <c r="S1367" s="66"/>
    </row>
    <row r="1368" spans="2:19" x14ac:dyDescent="0.2">
      <c r="B1368" s="245"/>
      <c r="C1368" s="245"/>
      <c r="D1368" s="245"/>
      <c r="E1368" s="245"/>
      <c r="F1368" s="245"/>
      <c r="G1368" s="579"/>
      <c r="H1368" s="245"/>
      <c r="I1368" s="245"/>
      <c r="J1368" s="245"/>
      <c r="K1368" s="245"/>
      <c r="L1368" s="245"/>
      <c r="N1368" s="579"/>
      <c r="O1368" s="579"/>
      <c r="P1368" s="579"/>
      <c r="Q1368" s="66"/>
      <c r="R1368" s="66"/>
      <c r="S1368" s="66"/>
    </row>
    <row r="1369" spans="2:19" x14ac:dyDescent="0.2">
      <c r="B1369" s="245"/>
      <c r="C1369" s="245"/>
      <c r="D1369" s="245"/>
      <c r="E1369" s="245"/>
      <c r="F1369" s="245"/>
      <c r="G1369" s="579"/>
      <c r="H1369" s="245"/>
      <c r="I1369" s="245"/>
      <c r="J1369" s="245"/>
      <c r="K1369" s="245"/>
      <c r="L1369" s="245"/>
      <c r="N1369" s="579"/>
      <c r="O1369" s="579"/>
      <c r="P1369" s="579"/>
      <c r="Q1369" s="66"/>
      <c r="R1369" s="66"/>
      <c r="S1369" s="66"/>
    </row>
    <row r="1370" spans="2:19" x14ac:dyDescent="0.2">
      <c r="B1370" s="245"/>
      <c r="C1370" s="245"/>
      <c r="D1370" s="245"/>
      <c r="E1370" s="245"/>
      <c r="F1370" s="245"/>
      <c r="G1370" s="579"/>
      <c r="H1370" s="245"/>
      <c r="I1370" s="245"/>
      <c r="J1370" s="245"/>
      <c r="K1370" s="245"/>
      <c r="L1370" s="245"/>
      <c r="N1370" s="579"/>
      <c r="O1370" s="579"/>
      <c r="P1370" s="579"/>
      <c r="Q1370" s="66"/>
      <c r="R1370" s="66"/>
      <c r="S1370" s="66"/>
    </row>
    <row r="1371" spans="2:19" x14ac:dyDescent="0.2">
      <c r="B1371" s="245"/>
      <c r="C1371" s="245"/>
      <c r="D1371" s="245"/>
      <c r="E1371" s="245"/>
      <c r="F1371" s="245"/>
      <c r="G1371" s="579"/>
      <c r="H1371" s="245"/>
      <c r="I1371" s="245"/>
      <c r="J1371" s="245"/>
      <c r="K1371" s="245"/>
      <c r="L1371" s="245"/>
      <c r="N1371" s="579"/>
      <c r="O1371" s="579"/>
      <c r="P1371" s="579"/>
      <c r="Q1371" s="66"/>
      <c r="R1371" s="66"/>
      <c r="S1371" s="66"/>
    </row>
    <row r="1372" spans="2:19" x14ac:dyDescent="0.2">
      <c r="B1372" s="245"/>
      <c r="C1372" s="245"/>
      <c r="D1372" s="245"/>
      <c r="E1372" s="245"/>
      <c r="F1372" s="245"/>
      <c r="G1372" s="579"/>
      <c r="H1372" s="245"/>
      <c r="I1372" s="245"/>
      <c r="J1372" s="245"/>
      <c r="K1372" s="245"/>
      <c r="L1372" s="245"/>
      <c r="N1372" s="579"/>
      <c r="O1372" s="579"/>
      <c r="P1372" s="579"/>
      <c r="Q1372" s="66"/>
      <c r="R1372" s="66"/>
      <c r="S1372" s="66"/>
    </row>
    <row r="1373" spans="2:19" x14ac:dyDescent="0.2">
      <c r="B1373" s="245"/>
      <c r="C1373" s="245"/>
      <c r="D1373" s="245"/>
      <c r="E1373" s="245"/>
      <c r="F1373" s="245"/>
      <c r="G1373" s="579"/>
      <c r="H1373" s="245"/>
      <c r="I1373" s="245"/>
      <c r="J1373" s="245"/>
      <c r="K1373" s="245"/>
      <c r="L1373" s="245"/>
      <c r="N1373" s="579"/>
      <c r="O1373" s="579"/>
      <c r="P1373" s="579"/>
      <c r="Q1373" s="66"/>
      <c r="R1373" s="66"/>
      <c r="S1373" s="66"/>
    </row>
    <row r="1374" spans="2:19" x14ac:dyDescent="0.2">
      <c r="B1374" s="245"/>
      <c r="C1374" s="245"/>
      <c r="D1374" s="245"/>
      <c r="E1374" s="245"/>
      <c r="F1374" s="245"/>
      <c r="G1374" s="579"/>
      <c r="H1374" s="245"/>
      <c r="I1374" s="245"/>
      <c r="J1374" s="245"/>
      <c r="K1374" s="245"/>
      <c r="L1374" s="245"/>
      <c r="N1374" s="579"/>
      <c r="O1374" s="579"/>
      <c r="P1374" s="579"/>
      <c r="Q1374" s="66"/>
      <c r="R1374" s="66"/>
      <c r="S1374" s="66"/>
    </row>
    <row r="1375" spans="2:19" x14ac:dyDescent="0.2">
      <c r="B1375" s="245"/>
      <c r="C1375" s="245"/>
      <c r="D1375" s="245"/>
      <c r="E1375" s="245"/>
      <c r="F1375" s="245"/>
      <c r="G1375" s="579"/>
      <c r="H1375" s="245"/>
      <c r="I1375" s="245"/>
      <c r="J1375" s="245"/>
      <c r="K1375" s="245"/>
      <c r="L1375" s="245"/>
      <c r="N1375" s="579"/>
      <c r="O1375" s="579"/>
      <c r="P1375" s="579"/>
      <c r="Q1375" s="66"/>
      <c r="R1375" s="66"/>
      <c r="S1375" s="66"/>
    </row>
    <row r="1376" spans="2:19" x14ac:dyDescent="0.2">
      <c r="B1376" s="245"/>
      <c r="C1376" s="245"/>
      <c r="D1376" s="245"/>
      <c r="E1376" s="245"/>
      <c r="F1376" s="245"/>
      <c r="G1376" s="579"/>
      <c r="H1376" s="245"/>
      <c r="I1376" s="245"/>
      <c r="J1376" s="245"/>
      <c r="K1376" s="245"/>
      <c r="L1376" s="245"/>
      <c r="N1376" s="579"/>
      <c r="O1376" s="579"/>
      <c r="P1376" s="579"/>
      <c r="Q1376" s="66"/>
      <c r="R1376" s="66"/>
      <c r="S1376" s="66"/>
    </row>
    <row r="1377" spans="2:19" x14ac:dyDescent="0.2">
      <c r="B1377" s="245"/>
      <c r="C1377" s="245"/>
      <c r="D1377" s="245"/>
      <c r="E1377" s="245"/>
      <c r="F1377" s="245"/>
      <c r="G1377" s="579"/>
      <c r="H1377" s="245"/>
      <c r="I1377" s="245"/>
      <c r="J1377" s="245"/>
      <c r="K1377" s="245"/>
      <c r="L1377" s="245"/>
      <c r="N1377" s="579"/>
      <c r="O1377" s="579"/>
      <c r="P1377" s="579"/>
      <c r="Q1377" s="66"/>
      <c r="R1377" s="66"/>
      <c r="S1377" s="66"/>
    </row>
    <row r="1378" spans="2:19" x14ac:dyDescent="0.2">
      <c r="B1378" s="245"/>
      <c r="C1378" s="245"/>
      <c r="D1378" s="245"/>
      <c r="E1378" s="245"/>
      <c r="F1378" s="245"/>
      <c r="G1378" s="579"/>
      <c r="H1378" s="245"/>
      <c r="I1378" s="245"/>
      <c r="J1378" s="245"/>
      <c r="K1378" s="245"/>
      <c r="L1378" s="245"/>
      <c r="N1378" s="579"/>
      <c r="O1378" s="579"/>
      <c r="P1378" s="579"/>
      <c r="Q1378" s="66"/>
      <c r="R1378" s="66"/>
      <c r="S1378" s="66"/>
    </row>
    <row r="1379" spans="2:19" x14ac:dyDescent="0.2">
      <c r="B1379" s="245"/>
      <c r="C1379" s="245"/>
      <c r="D1379" s="245"/>
      <c r="E1379" s="245"/>
      <c r="F1379" s="245"/>
      <c r="G1379" s="579"/>
      <c r="H1379" s="245"/>
      <c r="I1379" s="245"/>
      <c r="J1379" s="245"/>
      <c r="K1379" s="245"/>
      <c r="L1379" s="245"/>
      <c r="N1379" s="579"/>
      <c r="O1379" s="579"/>
      <c r="P1379" s="579"/>
      <c r="Q1379" s="66"/>
      <c r="R1379" s="66"/>
      <c r="S1379" s="66"/>
    </row>
    <row r="1380" spans="2:19" x14ac:dyDescent="0.2">
      <c r="B1380" s="245"/>
      <c r="C1380" s="245"/>
      <c r="D1380" s="245"/>
      <c r="E1380" s="245"/>
      <c r="F1380" s="245"/>
      <c r="G1380" s="579"/>
      <c r="H1380" s="245"/>
      <c r="I1380" s="245"/>
      <c r="J1380" s="245"/>
      <c r="K1380" s="245"/>
      <c r="L1380" s="245"/>
      <c r="N1380" s="579"/>
      <c r="O1380" s="579"/>
      <c r="P1380" s="579"/>
      <c r="Q1380" s="66"/>
      <c r="R1380" s="66"/>
      <c r="S1380" s="66"/>
    </row>
    <row r="1381" spans="2:19" x14ac:dyDescent="0.2">
      <c r="B1381" s="245"/>
      <c r="C1381" s="245"/>
      <c r="D1381" s="245"/>
      <c r="E1381" s="245"/>
      <c r="F1381" s="245"/>
      <c r="G1381" s="579"/>
      <c r="H1381" s="245"/>
      <c r="I1381" s="245"/>
      <c r="J1381" s="245"/>
      <c r="K1381" s="245"/>
      <c r="L1381" s="245"/>
      <c r="N1381" s="579"/>
      <c r="O1381" s="579"/>
      <c r="P1381" s="579"/>
      <c r="Q1381" s="66"/>
      <c r="R1381" s="66"/>
      <c r="S1381" s="66"/>
    </row>
    <row r="1382" spans="2:19" x14ac:dyDescent="0.2">
      <c r="B1382" s="245"/>
      <c r="C1382" s="245"/>
      <c r="D1382" s="245"/>
      <c r="E1382" s="245"/>
      <c r="F1382" s="245"/>
      <c r="G1382" s="579"/>
      <c r="H1382" s="245"/>
      <c r="I1382" s="245"/>
      <c r="J1382" s="245"/>
      <c r="K1382" s="245"/>
      <c r="L1382" s="245"/>
      <c r="N1382" s="579"/>
      <c r="O1382" s="579"/>
      <c r="P1382" s="579"/>
      <c r="Q1382" s="66"/>
      <c r="R1382" s="66"/>
      <c r="S1382" s="66"/>
    </row>
    <row r="1383" spans="2:19" x14ac:dyDescent="0.2">
      <c r="B1383" s="245"/>
      <c r="C1383" s="245"/>
      <c r="D1383" s="245"/>
      <c r="E1383" s="245"/>
      <c r="F1383" s="245"/>
      <c r="G1383" s="579"/>
      <c r="H1383" s="245"/>
      <c r="I1383" s="245"/>
      <c r="J1383" s="245"/>
      <c r="K1383" s="245"/>
      <c r="L1383" s="245"/>
      <c r="N1383" s="579"/>
      <c r="O1383" s="579"/>
      <c r="P1383" s="579"/>
      <c r="Q1383" s="66"/>
      <c r="R1383" s="66"/>
      <c r="S1383" s="66"/>
    </row>
    <row r="1384" spans="2:19" x14ac:dyDescent="0.2">
      <c r="B1384" s="245"/>
      <c r="C1384" s="245"/>
      <c r="D1384" s="245"/>
      <c r="E1384" s="245"/>
      <c r="F1384" s="245"/>
      <c r="G1384" s="579"/>
      <c r="H1384" s="245"/>
      <c r="I1384" s="245"/>
      <c r="J1384" s="245"/>
      <c r="K1384" s="245"/>
      <c r="L1384" s="245"/>
      <c r="N1384" s="579"/>
      <c r="O1384" s="579"/>
      <c r="P1384" s="579"/>
      <c r="Q1384" s="66"/>
      <c r="R1384" s="66"/>
      <c r="S1384" s="66"/>
    </row>
    <row r="1385" spans="2:19" x14ac:dyDescent="0.2">
      <c r="B1385" s="245"/>
      <c r="C1385" s="245"/>
      <c r="D1385" s="245"/>
      <c r="E1385" s="245"/>
      <c r="F1385" s="245"/>
      <c r="G1385" s="579"/>
      <c r="H1385" s="245"/>
      <c r="I1385" s="245"/>
      <c r="J1385" s="245"/>
      <c r="K1385" s="245"/>
      <c r="L1385" s="245"/>
      <c r="N1385" s="579"/>
      <c r="O1385" s="579"/>
      <c r="P1385" s="579"/>
      <c r="Q1385" s="66"/>
      <c r="R1385" s="66"/>
      <c r="S1385" s="66"/>
    </row>
    <row r="1386" spans="2:19" x14ac:dyDescent="0.2">
      <c r="B1386" s="245"/>
      <c r="C1386" s="245"/>
      <c r="D1386" s="245"/>
      <c r="E1386" s="245"/>
      <c r="F1386" s="245"/>
      <c r="G1386" s="579"/>
      <c r="H1386" s="245"/>
      <c r="I1386" s="245"/>
      <c r="J1386" s="245"/>
      <c r="K1386" s="245"/>
      <c r="L1386" s="245"/>
      <c r="N1386" s="579"/>
      <c r="O1386" s="579"/>
      <c r="P1386" s="579"/>
      <c r="Q1386" s="66"/>
      <c r="R1386" s="66"/>
      <c r="S1386" s="66"/>
    </row>
    <row r="1387" spans="2:19" x14ac:dyDescent="0.2">
      <c r="B1387" s="245"/>
      <c r="C1387" s="245"/>
      <c r="D1387" s="245"/>
      <c r="E1387" s="245"/>
      <c r="F1387" s="245"/>
      <c r="G1387" s="579"/>
      <c r="H1387" s="245"/>
      <c r="I1387" s="245"/>
      <c r="J1387" s="245"/>
      <c r="K1387" s="245"/>
      <c r="L1387" s="245"/>
      <c r="N1387" s="579"/>
      <c r="O1387" s="579"/>
      <c r="P1387" s="579"/>
      <c r="Q1387" s="66"/>
      <c r="R1387" s="66"/>
      <c r="S1387" s="66"/>
    </row>
    <row r="1388" spans="2:19" x14ac:dyDescent="0.2">
      <c r="B1388" s="245"/>
      <c r="C1388" s="245"/>
      <c r="D1388" s="245"/>
      <c r="E1388" s="245"/>
      <c r="F1388" s="245"/>
      <c r="G1388" s="579"/>
      <c r="H1388" s="245"/>
      <c r="I1388" s="245"/>
      <c r="J1388" s="245"/>
      <c r="K1388" s="245"/>
      <c r="L1388" s="245"/>
      <c r="N1388" s="579"/>
      <c r="O1388" s="579"/>
      <c r="P1388" s="579"/>
      <c r="Q1388" s="66"/>
      <c r="R1388" s="66"/>
      <c r="S1388" s="66"/>
    </row>
    <row r="1389" spans="2:19" x14ac:dyDescent="0.2">
      <c r="B1389" s="245"/>
      <c r="C1389" s="245"/>
      <c r="D1389" s="245"/>
      <c r="E1389" s="245"/>
      <c r="F1389" s="245"/>
      <c r="G1389" s="579"/>
      <c r="H1389" s="245"/>
      <c r="I1389" s="245"/>
      <c r="J1389" s="245"/>
      <c r="K1389" s="245"/>
      <c r="L1389" s="245"/>
      <c r="N1389" s="579"/>
      <c r="O1389" s="579"/>
      <c r="P1389" s="579"/>
      <c r="Q1389" s="66"/>
      <c r="R1389" s="66"/>
      <c r="S1389" s="66"/>
    </row>
    <row r="1390" spans="2:19" x14ac:dyDescent="0.2">
      <c r="B1390" s="245"/>
      <c r="C1390" s="245"/>
      <c r="D1390" s="245"/>
      <c r="E1390" s="245"/>
      <c r="F1390" s="245"/>
      <c r="G1390" s="579"/>
      <c r="H1390" s="245"/>
      <c r="I1390" s="245"/>
      <c r="J1390" s="245"/>
      <c r="K1390" s="245"/>
      <c r="L1390" s="245"/>
      <c r="N1390" s="579"/>
      <c r="O1390" s="579"/>
      <c r="P1390" s="579"/>
      <c r="Q1390" s="66"/>
      <c r="R1390" s="66"/>
      <c r="S1390" s="66"/>
    </row>
    <row r="1391" spans="2:19" x14ac:dyDescent="0.2">
      <c r="B1391" s="245"/>
      <c r="C1391" s="245"/>
      <c r="D1391" s="245"/>
      <c r="E1391" s="245"/>
      <c r="F1391" s="245"/>
      <c r="G1391" s="579"/>
      <c r="H1391" s="245"/>
      <c r="I1391" s="245"/>
      <c r="J1391" s="245"/>
      <c r="K1391" s="245"/>
      <c r="L1391" s="245"/>
      <c r="N1391" s="579"/>
      <c r="O1391" s="579"/>
      <c r="P1391" s="579"/>
      <c r="Q1391" s="66"/>
      <c r="R1391" s="66"/>
      <c r="S1391" s="66"/>
    </row>
    <row r="1392" spans="2:19" x14ac:dyDescent="0.2">
      <c r="B1392" s="245"/>
      <c r="C1392" s="245"/>
      <c r="D1392" s="245"/>
      <c r="E1392" s="245"/>
      <c r="F1392" s="245"/>
      <c r="G1392" s="579"/>
      <c r="H1392" s="245"/>
      <c r="I1392" s="245"/>
      <c r="J1392" s="245"/>
      <c r="K1392" s="245"/>
      <c r="L1392" s="245"/>
      <c r="N1392" s="579"/>
      <c r="O1392" s="579"/>
      <c r="P1392" s="579"/>
      <c r="Q1392" s="66"/>
      <c r="R1392" s="66"/>
      <c r="S1392" s="66"/>
    </row>
    <row r="1393" spans="2:19" x14ac:dyDescent="0.2">
      <c r="B1393" s="245"/>
      <c r="C1393" s="245"/>
      <c r="D1393" s="245"/>
      <c r="E1393" s="245"/>
      <c r="F1393" s="245"/>
      <c r="G1393" s="579"/>
      <c r="H1393" s="245"/>
      <c r="I1393" s="245"/>
      <c r="J1393" s="245"/>
      <c r="K1393" s="245"/>
      <c r="L1393" s="245"/>
      <c r="N1393" s="579"/>
      <c r="O1393" s="579"/>
      <c r="P1393" s="579"/>
      <c r="Q1393" s="66"/>
      <c r="R1393" s="66"/>
      <c r="S1393" s="66"/>
    </row>
    <row r="1394" spans="2:19" x14ac:dyDescent="0.2">
      <c r="B1394" s="245"/>
      <c r="C1394" s="245"/>
      <c r="D1394" s="245"/>
      <c r="E1394" s="245"/>
      <c r="F1394" s="245"/>
      <c r="G1394" s="579"/>
      <c r="H1394" s="245"/>
      <c r="I1394" s="245"/>
      <c r="J1394" s="245"/>
      <c r="K1394" s="245"/>
      <c r="L1394" s="245"/>
      <c r="N1394" s="579"/>
      <c r="O1394" s="579"/>
      <c r="P1394" s="579"/>
      <c r="Q1394" s="66"/>
      <c r="R1394" s="66"/>
      <c r="S1394" s="66"/>
    </row>
    <row r="1395" spans="2:19" x14ac:dyDescent="0.2">
      <c r="B1395" s="245"/>
      <c r="C1395" s="245"/>
      <c r="D1395" s="245"/>
      <c r="E1395" s="245"/>
      <c r="F1395" s="245"/>
      <c r="G1395" s="579"/>
      <c r="H1395" s="245"/>
      <c r="I1395" s="245"/>
      <c r="J1395" s="245"/>
      <c r="K1395" s="245"/>
      <c r="L1395" s="245"/>
      <c r="N1395" s="579"/>
      <c r="O1395" s="579"/>
      <c r="P1395" s="579"/>
      <c r="Q1395" s="66"/>
      <c r="R1395" s="66"/>
      <c r="S1395" s="66"/>
    </row>
    <row r="1396" spans="2:19" x14ac:dyDescent="0.2">
      <c r="B1396" s="245"/>
      <c r="C1396" s="245"/>
      <c r="D1396" s="245"/>
      <c r="E1396" s="245"/>
      <c r="F1396" s="245"/>
      <c r="G1396" s="579"/>
      <c r="H1396" s="245"/>
      <c r="I1396" s="245"/>
      <c r="J1396" s="245"/>
      <c r="K1396" s="245"/>
      <c r="L1396" s="245"/>
      <c r="N1396" s="579"/>
      <c r="O1396" s="579"/>
      <c r="P1396" s="579"/>
      <c r="Q1396" s="66"/>
      <c r="R1396" s="66"/>
      <c r="S1396" s="66"/>
    </row>
    <row r="1397" spans="2:19" x14ac:dyDescent="0.2">
      <c r="B1397" s="245"/>
      <c r="C1397" s="245"/>
      <c r="D1397" s="245"/>
      <c r="E1397" s="245"/>
      <c r="F1397" s="245"/>
      <c r="G1397" s="579"/>
      <c r="H1397" s="245"/>
      <c r="I1397" s="245"/>
      <c r="J1397" s="245"/>
      <c r="K1397" s="245"/>
      <c r="L1397" s="245"/>
      <c r="N1397" s="579"/>
      <c r="O1397" s="579"/>
      <c r="P1397" s="579"/>
      <c r="Q1397" s="66"/>
      <c r="R1397" s="66"/>
      <c r="S1397" s="66"/>
    </row>
    <row r="1398" spans="2:19" x14ac:dyDescent="0.2">
      <c r="B1398" s="245"/>
      <c r="C1398" s="245"/>
      <c r="D1398" s="245"/>
      <c r="E1398" s="245"/>
      <c r="F1398" s="245"/>
      <c r="G1398" s="579"/>
      <c r="H1398" s="245"/>
      <c r="I1398" s="245"/>
      <c r="J1398" s="245"/>
      <c r="K1398" s="245"/>
      <c r="L1398" s="245"/>
      <c r="N1398" s="579"/>
      <c r="O1398" s="579"/>
      <c r="P1398" s="579"/>
      <c r="Q1398" s="66"/>
      <c r="R1398" s="66"/>
      <c r="S1398" s="66"/>
    </row>
    <row r="1399" spans="2:19" x14ac:dyDescent="0.2">
      <c r="B1399" s="245"/>
      <c r="C1399" s="245"/>
      <c r="D1399" s="245"/>
      <c r="E1399" s="245"/>
      <c r="F1399" s="245"/>
      <c r="G1399" s="579"/>
      <c r="H1399" s="245"/>
      <c r="I1399" s="245"/>
      <c r="J1399" s="245"/>
      <c r="K1399" s="245"/>
      <c r="L1399" s="245"/>
      <c r="N1399" s="579"/>
      <c r="O1399" s="579"/>
      <c r="P1399" s="579"/>
      <c r="Q1399" s="66"/>
      <c r="R1399" s="66"/>
      <c r="S1399" s="66"/>
    </row>
    <row r="1400" spans="2:19" x14ac:dyDescent="0.2">
      <c r="B1400" s="245"/>
      <c r="C1400" s="245"/>
      <c r="D1400" s="245"/>
      <c r="E1400" s="245"/>
      <c r="F1400" s="245"/>
      <c r="G1400" s="579"/>
      <c r="H1400" s="245"/>
      <c r="I1400" s="245"/>
      <c r="J1400" s="245"/>
      <c r="K1400" s="245"/>
      <c r="L1400" s="245"/>
      <c r="N1400" s="579"/>
      <c r="O1400" s="579"/>
      <c r="P1400" s="579"/>
      <c r="Q1400" s="66"/>
      <c r="R1400" s="66"/>
      <c r="S1400" s="66"/>
    </row>
    <row r="1401" spans="2:19" x14ac:dyDescent="0.2">
      <c r="B1401" s="245"/>
      <c r="C1401" s="245"/>
      <c r="D1401" s="245"/>
      <c r="E1401" s="245"/>
      <c r="F1401" s="245"/>
      <c r="G1401" s="579"/>
      <c r="H1401" s="245"/>
      <c r="I1401" s="245"/>
      <c r="J1401" s="245"/>
      <c r="K1401" s="245"/>
      <c r="L1401" s="245"/>
      <c r="N1401" s="579"/>
      <c r="O1401" s="579"/>
      <c r="P1401" s="579"/>
      <c r="Q1401" s="66"/>
      <c r="R1401" s="66"/>
      <c r="S1401" s="66"/>
    </row>
    <row r="1402" spans="2:19" x14ac:dyDescent="0.2">
      <c r="B1402" s="245"/>
      <c r="C1402" s="245"/>
      <c r="D1402" s="245"/>
      <c r="E1402" s="245"/>
      <c r="F1402" s="245"/>
      <c r="G1402" s="579"/>
      <c r="H1402" s="245"/>
      <c r="I1402" s="245"/>
      <c r="J1402" s="245"/>
      <c r="K1402" s="245"/>
      <c r="L1402" s="245"/>
      <c r="N1402" s="579"/>
      <c r="O1402" s="579"/>
      <c r="P1402" s="579"/>
      <c r="Q1402" s="66"/>
      <c r="R1402" s="66"/>
      <c r="S1402" s="66"/>
    </row>
    <row r="1403" spans="2:19" x14ac:dyDescent="0.2">
      <c r="B1403" s="245"/>
      <c r="C1403" s="245"/>
      <c r="D1403" s="245"/>
      <c r="E1403" s="245"/>
      <c r="F1403" s="245"/>
      <c r="G1403" s="579"/>
      <c r="H1403" s="245"/>
      <c r="I1403" s="245"/>
      <c r="J1403" s="245"/>
      <c r="K1403" s="245"/>
      <c r="L1403" s="245"/>
      <c r="N1403" s="579"/>
      <c r="O1403" s="579"/>
      <c r="P1403" s="579"/>
      <c r="Q1403" s="66"/>
      <c r="R1403" s="66"/>
      <c r="S1403" s="66"/>
    </row>
    <row r="1404" spans="2:19" x14ac:dyDescent="0.2">
      <c r="B1404" s="245"/>
      <c r="C1404" s="245"/>
      <c r="D1404" s="245"/>
      <c r="E1404" s="245"/>
      <c r="F1404" s="245"/>
      <c r="G1404" s="579"/>
      <c r="H1404" s="245"/>
      <c r="I1404" s="245"/>
      <c r="J1404" s="245"/>
      <c r="K1404" s="245"/>
      <c r="L1404" s="245"/>
      <c r="N1404" s="579"/>
      <c r="O1404" s="579"/>
      <c r="P1404" s="579"/>
      <c r="Q1404" s="66"/>
      <c r="R1404" s="66"/>
      <c r="S1404" s="66"/>
    </row>
    <row r="1405" spans="2:19" x14ac:dyDescent="0.2">
      <c r="B1405" s="245"/>
      <c r="C1405" s="245"/>
      <c r="D1405" s="245"/>
      <c r="E1405" s="245"/>
      <c r="F1405" s="245"/>
      <c r="G1405" s="579"/>
      <c r="H1405" s="245"/>
      <c r="I1405" s="245"/>
      <c r="J1405" s="245"/>
      <c r="K1405" s="245"/>
      <c r="L1405" s="245"/>
      <c r="N1405" s="579"/>
      <c r="O1405" s="579"/>
      <c r="P1405" s="579"/>
      <c r="Q1405" s="66"/>
      <c r="R1405" s="66"/>
      <c r="S1405" s="66"/>
    </row>
    <row r="1406" spans="2:19" x14ac:dyDescent="0.2">
      <c r="B1406" s="245"/>
      <c r="C1406" s="245"/>
      <c r="D1406" s="245"/>
      <c r="E1406" s="245"/>
      <c r="F1406" s="245"/>
      <c r="G1406" s="579"/>
      <c r="H1406" s="245"/>
      <c r="I1406" s="245"/>
      <c r="J1406" s="245"/>
      <c r="K1406" s="245"/>
      <c r="L1406" s="245"/>
      <c r="N1406" s="579"/>
      <c r="O1406" s="579"/>
      <c r="P1406" s="579"/>
      <c r="Q1406" s="66"/>
      <c r="R1406" s="66"/>
      <c r="S1406" s="66"/>
    </row>
    <row r="1407" spans="2:19" x14ac:dyDescent="0.2">
      <c r="B1407" s="245"/>
      <c r="C1407" s="245"/>
      <c r="D1407" s="245"/>
      <c r="E1407" s="245"/>
      <c r="F1407" s="245"/>
      <c r="G1407" s="579"/>
      <c r="H1407" s="245"/>
      <c r="I1407" s="245"/>
      <c r="J1407" s="245"/>
      <c r="K1407" s="245"/>
      <c r="L1407" s="245"/>
      <c r="N1407" s="579"/>
      <c r="O1407" s="579"/>
      <c r="P1407" s="579"/>
      <c r="Q1407" s="66"/>
      <c r="R1407" s="66"/>
      <c r="S1407" s="66"/>
    </row>
    <row r="1408" spans="2:19" x14ac:dyDescent="0.2">
      <c r="B1408" s="245"/>
      <c r="C1408" s="245"/>
      <c r="D1408" s="245"/>
      <c r="E1408" s="245"/>
      <c r="F1408" s="245"/>
      <c r="G1408" s="579"/>
      <c r="H1408" s="245"/>
      <c r="I1408" s="245"/>
      <c r="J1408" s="245"/>
      <c r="K1408" s="245"/>
      <c r="L1408" s="245"/>
      <c r="N1408" s="579"/>
      <c r="O1408" s="579"/>
      <c r="P1408" s="579"/>
      <c r="Q1408" s="66"/>
      <c r="R1408" s="66"/>
      <c r="S1408" s="66"/>
    </row>
    <row r="1409" spans="2:19" x14ac:dyDescent="0.2">
      <c r="B1409" s="245"/>
      <c r="C1409" s="245"/>
      <c r="D1409" s="245"/>
      <c r="E1409" s="245"/>
      <c r="F1409" s="245"/>
      <c r="G1409" s="579"/>
      <c r="H1409" s="245"/>
      <c r="I1409" s="245"/>
      <c r="J1409" s="245"/>
      <c r="K1409" s="245"/>
      <c r="L1409" s="245"/>
      <c r="N1409" s="579"/>
      <c r="O1409" s="579"/>
      <c r="P1409" s="579"/>
      <c r="Q1409" s="66"/>
      <c r="R1409" s="66"/>
      <c r="S1409" s="66"/>
    </row>
    <row r="1410" spans="2:19" x14ac:dyDescent="0.2">
      <c r="B1410" s="245"/>
      <c r="C1410" s="245"/>
      <c r="D1410" s="245"/>
      <c r="E1410" s="245"/>
      <c r="F1410" s="245"/>
      <c r="G1410" s="579"/>
      <c r="H1410" s="245"/>
      <c r="I1410" s="245"/>
      <c r="J1410" s="245"/>
      <c r="K1410" s="245"/>
      <c r="L1410" s="245"/>
      <c r="N1410" s="579"/>
      <c r="O1410" s="579"/>
      <c r="P1410" s="579"/>
      <c r="Q1410" s="66"/>
      <c r="R1410" s="66"/>
      <c r="S1410" s="66"/>
    </row>
    <row r="1411" spans="2:19" x14ac:dyDescent="0.2">
      <c r="B1411" s="245"/>
      <c r="C1411" s="245"/>
      <c r="D1411" s="245"/>
      <c r="E1411" s="245"/>
      <c r="F1411" s="245"/>
      <c r="G1411" s="579"/>
      <c r="H1411" s="245"/>
      <c r="I1411" s="245"/>
      <c r="J1411" s="245"/>
      <c r="K1411" s="245"/>
      <c r="L1411" s="245"/>
      <c r="N1411" s="579"/>
      <c r="O1411" s="579"/>
      <c r="P1411" s="579"/>
      <c r="Q1411" s="66"/>
      <c r="R1411" s="66"/>
      <c r="S1411" s="66"/>
    </row>
    <row r="1412" spans="2:19" x14ac:dyDescent="0.2">
      <c r="B1412" s="245"/>
      <c r="C1412" s="245"/>
      <c r="D1412" s="245"/>
      <c r="E1412" s="245"/>
      <c r="F1412" s="245"/>
      <c r="G1412" s="579"/>
      <c r="H1412" s="245"/>
      <c r="I1412" s="245"/>
      <c r="J1412" s="245"/>
      <c r="K1412" s="245"/>
      <c r="L1412" s="245"/>
      <c r="N1412" s="579"/>
      <c r="O1412" s="579"/>
      <c r="P1412" s="579"/>
      <c r="Q1412" s="66"/>
      <c r="R1412" s="66"/>
      <c r="S1412" s="66"/>
    </row>
    <row r="1413" spans="2:19" x14ac:dyDescent="0.2">
      <c r="B1413" s="245"/>
      <c r="C1413" s="245"/>
      <c r="D1413" s="245"/>
      <c r="E1413" s="245"/>
      <c r="F1413" s="245"/>
      <c r="G1413" s="579"/>
      <c r="H1413" s="245"/>
      <c r="I1413" s="245"/>
      <c r="J1413" s="245"/>
      <c r="K1413" s="245"/>
      <c r="L1413" s="245"/>
      <c r="N1413" s="579"/>
      <c r="O1413" s="579"/>
      <c r="P1413" s="579"/>
      <c r="Q1413" s="66"/>
      <c r="R1413" s="66"/>
      <c r="S1413" s="66"/>
    </row>
    <row r="1414" spans="2:19" x14ac:dyDescent="0.2">
      <c r="B1414" s="245"/>
      <c r="C1414" s="245"/>
      <c r="D1414" s="245"/>
      <c r="E1414" s="245"/>
      <c r="F1414" s="245"/>
      <c r="G1414" s="579"/>
      <c r="H1414" s="245"/>
      <c r="I1414" s="245"/>
      <c r="J1414" s="245"/>
      <c r="K1414" s="245"/>
      <c r="L1414" s="245"/>
      <c r="N1414" s="579"/>
      <c r="O1414" s="579"/>
      <c r="P1414" s="579"/>
      <c r="Q1414" s="66"/>
      <c r="R1414" s="66"/>
      <c r="S1414" s="66"/>
    </row>
    <row r="1415" spans="2:19" x14ac:dyDescent="0.2">
      <c r="B1415" s="245"/>
      <c r="C1415" s="245"/>
      <c r="D1415" s="245"/>
      <c r="E1415" s="245"/>
      <c r="F1415" s="245"/>
      <c r="G1415" s="579"/>
      <c r="H1415" s="245"/>
      <c r="I1415" s="245"/>
      <c r="J1415" s="245"/>
      <c r="K1415" s="245"/>
      <c r="L1415" s="245"/>
      <c r="N1415" s="579"/>
      <c r="O1415" s="579"/>
      <c r="P1415" s="579"/>
      <c r="Q1415" s="66"/>
      <c r="R1415" s="66"/>
      <c r="S1415" s="66"/>
    </row>
    <row r="1416" spans="2:19" x14ac:dyDescent="0.2">
      <c r="B1416" s="245"/>
      <c r="C1416" s="245"/>
      <c r="D1416" s="245"/>
      <c r="E1416" s="245"/>
      <c r="F1416" s="245"/>
      <c r="G1416" s="579"/>
      <c r="H1416" s="245"/>
      <c r="I1416" s="245"/>
      <c r="J1416" s="245"/>
      <c r="K1416" s="245"/>
      <c r="L1416" s="245"/>
      <c r="N1416" s="579"/>
      <c r="O1416" s="579"/>
      <c r="P1416" s="579"/>
      <c r="Q1416" s="66"/>
      <c r="R1416" s="66"/>
      <c r="S1416" s="66"/>
    </row>
    <row r="1417" spans="2:19" x14ac:dyDescent="0.2">
      <c r="B1417" s="245"/>
      <c r="C1417" s="245"/>
      <c r="D1417" s="245"/>
      <c r="E1417" s="245"/>
      <c r="F1417" s="245"/>
      <c r="G1417" s="579"/>
      <c r="H1417" s="245"/>
      <c r="I1417" s="245"/>
      <c r="J1417" s="245"/>
      <c r="K1417" s="245"/>
      <c r="L1417" s="245"/>
      <c r="N1417" s="579"/>
      <c r="O1417" s="579"/>
      <c r="P1417" s="579"/>
      <c r="Q1417" s="66"/>
      <c r="R1417" s="66"/>
      <c r="S1417" s="66"/>
    </row>
    <row r="1418" spans="2:19" x14ac:dyDescent="0.2">
      <c r="B1418" s="245"/>
      <c r="C1418" s="245"/>
      <c r="D1418" s="245"/>
      <c r="E1418" s="245"/>
      <c r="F1418" s="245"/>
      <c r="G1418" s="579"/>
      <c r="H1418" s="245"/>
      <c r="I1418" s="245"/>
      <c r="J1418" s="245"/>
      <c r="K1418" s="245"/>
      <c r="L1418" s="245"/>
      <c r="N1418" s="579"/>
      <c r="O1418" s="579"/>
      <c r="P1418" s="579"/>
      <c r="Q1418" s="66"/>
      <c r="R1418" s="66"/>
      <c r="S1418" s="66"/>
    </row>
    <row r="1419" spans="2:19" x14ac:dyDescent="0.2">
      <c r="B1419" s="245"/>
      <c r="C1419" s="245"/>
      <c r="D1419" s="245"/>
      <c r="E1419" s="245"/>
      <c r="F1419" s="245"/>
      <c r="G1419" s="579"/>
      <c r="H1419" s="245"/>
      <c r="I1419" s="245"/>
      <c r="J1419" s="245"/>
      <c r="K1419" s="245"/>
      <c r="L1419" s="245"/>
      <c r="N1419" s="579"/>
      <c r="O1419" s="579"/>
      <c r="P1419" s="579"/>
      <c r="Q1419" s="66"/>
      <c r="R1419" s="66"/>
      <c r="S1419" s="66"/>
    </row>
    <row r="1420" spans="2:19" x14ac:dyDescent="0.2">
      <c r="B1420" s="245"/>
      <c r="C1420" s="245"/>
      <c r="D1420" s="245"/>
      <c r="E1420" s="245"/>
      <c r="F1420" s="245"/>
      <c r="G1420" s="579"/>
      <c r="H1420" s="245"/>
      <c r="I1420" s="245"/>
      <c r="J1420" s="245"/>
      <c r="K1420" s="245"/>
      <c r="L1420" s="245"/>
      <c r="N1420" s="579"/>
      <c r="O1420" s="579"/>
      <c r="P1420" s="579"/>
      <c r="Q1420" s="66"/>
      <c r="R1420" s="66"/>
      <c r="S1420" s="66"/>
    </row>
    <row r="1421" spans="2:19" x14ac:dyDescent="0.2">
      <c r="B1421" s="245"/>
      <c r="C1421" s="245"/>
      <c r="D1421" s="245"/>
      <c r="E1421" s="245"/>
      <c r="F1421" s="245"/>
      <c r="G1421" s="579"/>
      <c r="H1421" s="245"/>
      <c r="I1421" s="245"/>
      <c r="J1421" s="245"/>
      <c r="K1421" s="245"/>
      <c r="L1421" s="245"/>
      <c r="N1421" s="579"/>
      <c r="O1421" s="579"/>
      <c r="P1421" s="579"/>
      <c r="Q1421" s="66"/>
      <c r="R1421" s="66"/>
      <c r="S1421" s="66"/>
    </row>
    <row r="1422" spans="2:19" x14ac:dyDescent="0.2">
      <c r="B1422" s="245"/>
      <c r="C1422" s="245"/>
      <c r="D1422" s="245"/>
      <c r="E1422" s="245"/>
      <c r="F1422" s="245"/>
      <c r="G1422" s="579"/>
      <c r="H1422" s="245"/>
      <c r="I1422" s="245"/>
      <c r="J1422" s="245"/>
      <c r="K1422" s="245"/>
      <c r="L1422" s="245"/>
      <c r="N1422" s="579"/>
      <c r="O1422" s="579"/>
      <c r="P1422" s="579"/>
      <c r="Q1422" s="66"/>
      <c r="R1422" s="66"/>
      <c r="S1422" s="66"/>
    </row>
    <row r="1423" spans="2:19" x14ac:dyDescent="0.2">
      <c r="B1423" s="245"/>
      <c r="C1423" s="245"/>
      <c r="D1423" s="245"/>
      <c r="E1423" s="245"/>
      <c r="F1423" s="245"/>
      <c r="G1423" s="579"/>
      <c r="H1423" s="245"/>
      <c r="I1423" s="245"/>
      <c r="J1423" s="245"/>
      <c r="K1423" s="245"/>
      <c r="L1423" s="245"/>
      <c r="N1423" s="579"/>
      <c r="O1423" s="579"/>
      <c r="P1423" s="579"/>
      <c r="Q1423" s="66"/>
      <c r="R1423" s="66"/>
      <c r="S1423" s="66"/>
    </row>
    <row r="1424" spans="2:19" x14ac:dyDescent="0.2">
      <c r="B1424" s="245"/>
      <c r="C1424" s="245"/>
      <c r="D1424" s="245"/>
      <c r="E1424" s="245"/>
      <c r="F1424" s="245"/>
      <c r="G1424" s="579"/>
      <c r="H1424" s="245"/>
      <c r="I1424" s="245"/>
      <c r="J1424" s="245"/>
      <c r="K1424" s="245"/>
      <c r="L1424" s="245"/>
      <c r="N1424" s="579"/>
      <c r="O1424" s="579"/>
      <c r="P1424" s="579"/>
      <c r="Q1424" s="66"/>
      <c r="R1424" s="66"/>
      <c r="S1424" s="66"/>
    </row>
    <row r="1425" spans="2:19" x14ac:dyDescent="0.2">
      <c r="B1425" s="245"/>
      <c r="C1425" s="245"/>
      <c r="D1425" s="245"/>
      <c r="E1425" s="245"/>
      <c r="F1425" s="245"/>
      <c r="G1425" s="579"/>
      <c r="H1425" s="245"/>
      <c r="I1425" s="245"/>
      <c r="J1425" s="245"/>
      <c r="K1425" s="245"/>
      <c r="L1425" s="245"/>
      <c r="N1425" s="579"/>
      <c r="O1425" s="579"/>
      <c r="P1425" s="579"/>
      <c r="Q1425" s="66"/>
      <c r="R1425" s="66"/>
      <c r="S1425" s="66"/>
    </row>
    <row r="1426" spans="2:19" x14ac:dyDescent="0.2">
      <c r="B1426" s="245"/>
      <c r="C1426" s="245"/>
      <c r="D1426" s="245"/>
      <c r="E1426" s="245"/>
      <c r="F1426" s="245"/>
      <c r="G1426" s="579"/>
      <c r="H1426" s="245"/>
      <c r="I1426" s="245"/>
      <c r="J1426" s="245"/>
      <c r="K1426" s="245"/>
      <c r="L1426" s="245"/>
      <c r="N1426" s="579"/>
      <c r="O1426" s="579"/>
      <c r="P1426" s="579"/>
      <c r="Q1426" s="66"/>
      <c r="R1426" s="66"/>
      <c r="S1426" s="66"/>
    </row>
    <row r="1427" spans="2:19" x14ac:dyDescent="0.2">
      <c r="B1427" s="245"/>
      <c r="C1427" s="245"/>
      <c r="D1427" s="245"/>
      <c r="E1427" s="245"/>
      <c r="F1427" s="245"/>
      <c r="G1427" s="579"/>
      <c r="H1427" s="245"/>
      <c r="I1427" s="245"/>
      <c r="J1427" s="245"/>
      <c r="K1427" s="245"/>
      <c r="L1427" s="245"/>
      <c r="N1427" s="579"/>
      <c r="O1427" s="579"/>
      <c r="P1427" s="579"/>
      <c r="Q1427" s="66"/>
      <c r="R1427" s="66"/>
      <c r="S1427" s="66"/>
    </row>
    <row r="1428" spans="2:19" x14ac:dyDescent="0.2">
      <c r="B1428" s="245"/>
      <c r="C1428" s="245"/>
      <c r="D1428" s="245"/>
      <c r="E1428" s="245"/>
      <c r="F1428" s="245"/>
      <c r="G1428" s="579"/>
      <c r="H1428" s="245"/>
      <c r="I1428" s="245"/>
      <c r="J1428" s="245"/>
      <c r="K1428" s="245"/>
      <c r="L1428" s="245"/>
      <c r="N1428" s="579"/>
      <c r="O1428" s="579"/>
      <c r="P1428" s="579"/>
      <c r="Q1428" s="66"/>
      <c r="R1428" s="66"/>
      <c r="S1428" s="66"/>
    </row>
    <row r="1429" spans="2:19" x14ac:dyDescent="0.2">
      <c r="B1429" s="245"/>
      <c r="C1429" s="245"/>
      <c r="D1429" s="245"/>
      <c r="E1429" s="245"/>
      <c r="F1429" s="245"/>
      <c r="G1429" s="579"/>
      <c r="H1429" s="245"/>
      <c r="I1429" s="245"/>
      <c r="J1429" s="245"/>
      <c r="K1429" s="245"/>
      <c r="L1429" s="245"/>
      <c r="N1429" s="579"/>
      <c r="O1429" s="579"/>
      <c r="P1429" s="579"/>
      <c r="Q1429" s="66"/>
      <c r="R1429" s="66"/>
      <c r="S1429" s="66"/>
    </row>
    <row r="1430" spans="2:19" x14ac:dyDescent="0.2">
      <c r="B1430" s="245"/>
      <c r="C1430" s="245"/>
      <c r="D1430" s="245"/>
      <c r="E1430" s="245"/>
      <c r="F1430" s="245"/>
      <c r="G1430" s="579"/>
      <c r="H1430" s="245"/>
      <c r="I1430" s="245"/>
      <c r="J1430" s="245"/>
      <c r="K1430" s="245"/>
      <c r="L1430" s="245"/>
      <c r="N1430" s="579"/>
      <c r="O1430" s="579"/>
      <c r="P1430" s="579"/>
      <c r="Q1430" s="66"/>
      <c r="R1430" s="66"/>
      <c r="S1430" s="66"/>
    </row>
    <row r="1431" spans="2:19" x14ac:dyDescent="0.2">
      <c r="B1431" s="245"/>
      <c r="C1431" s="245"/>
      <c r="D1431" s="245"/>
      <c r="E1431" s="245"/>
      <c r="F1431" s="245"/>
      <c r="G1431" s="579"/>
      <c r="H1431" s="245"/>
      <c r="I1431" s="245"/>
      <c r="J1431" s="245"/>
      <c r="K1431" s="245"/>
      <c r="L1431" s="245"/>
      <c r="N1431" s="579"/>
      <c r="O1431" s="579"/>
      <c r="P1431" s="579"/>
      <c r="Q1431" s="66"/>
      <c r="R1431" s="66"/>
      <c r="S1431" s="66"/>
    </row>
    <row r="1432" spans="2:19" x14ac:dyDescent="0.2">
      <c r="B1432" s="245"/>
      <c r="C1432" s="245"/>
      <c r="D1432" s="245"/>
      <c r="E1432" s="245"/>
      <c r="F1432" s="245"/>
      <c r="G1432" s="579"/>
      <c r="H1432" s="245"/>
      <c r="I1432" s="245"/>
      <c r="J1432" s="245"/>
      <c r="K1432" s="245"/>
      <c r="L1432" s="245"/>
      <c r="N1432" s="579"/>
      <c r="O1432" s="579"/>
      <c r="P1432" s="579"/>
      <c r="Q1432" s="66"/>
      <c r="R1432" s="66"/>
      <c r="S1432" s="66"/>
    </row>
    <row r="1433" spans="2:19" x14ac:dyDescent="0.2">
      <c r="B1433" s="245"/>
      <c r="C1433" s="245"/>
      <c r="D1433" s="245"/>
      <c r="E1433" s="245"/>
      <c r="F1433" s="245"/>
      <c r="G1433" s="579"/>
      <c r="H1433" s="245"/>
      <c r="I1433" s="245"/>
      <c r="J1433" s="245"/>
      <c r="K1433" s="245"/>
      <c r="L1433" s="245"/>
      <c r="N1433" s="579"/>
      <c r="O1433" s="579"/>
      <c r="P1433" s="579"/>
      <c r="Q1433" s="66"/>
      <c r="R1433" s="66"/>
      <c r="S1433" s="66"/>
    </row>
    <row r="1434" spans="2:19" x14ac:dyDescent="0.2">
      <c r="B1434" s="245"/>
      <c r="C1434" s="245"/>
      <c r="D1434" s="245"/>
      <c r="E1434" s="245"/>
      <c r="F1434" s="245"/>
      <c r="G1434" s="579"/>
      <c r="H1434" s="245"/>
      <c r="I1434" s="245"/>
      <c r="J1434" s="245"/>
      <c r="K1434" s="245"/>
      <c r="L1434" s="245"/>
      <c r="N1434" s="579"/>
      <c r="O1434" s="579"/>
      <c r="P1434" s="579"/>
      <c r="Q1434" s="66"/>
      <c r="R1434" s="66"/>
      <c r="S1434" s="66"/>
    </row>
    <row r="1435" spans="2:19" x14ac:dyDescent="0.2">
      <c r="B1435" s="245"/>
      <c r="C1435" s="245"/>
      <c r="D1435" s="245"/>
      <c r="E1435" s="245"/>
      <c r="F1435" s="245"/>
      <c r="G1435" s="579"/>
      <c r="H1435" s="245"/>
      <c r="I1435" s="245"/>
      <c r="J1435" s="245"/>
      <c r="K1435" s="245"/>
      <c r="L1435" s="245"/>
      <c r="N1435" s="579"/>
      <c r="O1435" s="579"/>
      <c r="P1435" s="579"/>
      <c r="Q1435" s="66"/>
      <c r="R1435" s="66"/>
      <c r="S1435" s="66"/>
    </row>
    <row r="1436" spans="2:19" x14ac:dyDescent="0.2">
      <c r="B1436" s="245"/>
      <c r="C1436" s="245"/>
      <c r="D1436" s="245"/>
      <c r="E1436" s="245"/>
      <c r="F1436" s="245"/>
      <c r="G1436" s="579"/>
      <c r="H1436" s="245"/>
      <c r="I1436" s="245"/>
      <c r="J1436" s="245"/>
      <c r="K1436" s="245"/>
      <c r="L1436" s="245"/>
      <c r="N1436" s="579"/>
      <c r="O1436" s="579"/>
      <c r="P1436" s="579"/>
      <c r="Q1436" s="66"/>
      <c r="R1436" s="66"/>
      <c r="S1436" s="66"/>
    </row>
    <row r="1437" spans="2:19" x14ac:dyDescent="0.2">
      <c r="B1437" s="245"/>
      <c r="C1437" s="245"/>
      <c r="D1437" s="245"/>
      <c r="E1437" s="245"/>
      <c r="F1437" s="245"/>
      <c r="G1437" s="579"/>
      <c r="H1437" s="245"/>
      <c r="I1437" s="245"/>
      <c r="J1437" s="245"/>
      <c r="K1437" s="245"/>
      <c r="L1437" s="245"/>
      <c r="N1437" s="579"/>
      <c r="O1437" s="579"/>
      <c r="P1437" s="579"/>
      <c r="Q1437" s="66"/>
      <c r="R1437" s="66"/>
      <c r="S1437" s="66"/>
    </row>
    <row r="1438" spans="2:19" x14ac:dyDescent="0.2">
      <c r="B1438" s="245"/>
      <c r="C1438" s="245"/>
      <c r="D1438" s="245"/>
      <c r="E1438" s="245"/>
      <c r="F1438" s="245"/>
      <c r="G1438" s="579"/>
      <c r="H1438" s="245"/>
      <c r="I1438" s="245"/>
      <c r="J1438" s="245"/>
      <c r="K1438" s="245"/>
      <c r="L1438" s="245"/>
      <c r="N1438" s="579"/>
      <c r="O1438" s="579"/>
      <c r="P1438" s="579"/>
      <c r="Q1438" s="66"/>
      <c r="R1438" s="66"/>
      <c r="S1438" s="66"/>
    </row>
    <row r="1439" spans="2:19" x14ac:dyDescent="0.2">
      <c r="B1439" s="245"/>
      <c r="C1439" s="245"/>
      <c r="D1439" s="245"/>
      <c r="E1439" s="245"/>
      <c r="F1439" s="245"/>
      <c r="G1439" s="579"/>
      <c r="H1439" s="245"/>
      <c r="I1439" s="245"/>
      <c r="J1439" s="245"/>
      <c r="K1439" s="245"/>
      <c r="L1439" s="245"/>
      <c r="N1439" s="579"/>
      <c r="O1439" s="579"/>
      <c r="P1439" s="579"/>
      <c r="Q1439" s="66"/>
      <c r="R1439" s="66"/>
      <c r="S1439" s="66"/>
    </row>
    <row r="1440" spans="2:19" x14ac:dyDescent="0.2">
      <c r="B1440" s="245"/>
      <c r="C1440" s="245"/>
      <c r="D1440" s="245"/>
      <c r="E1440" s="245"/>
      <c r="F1440" s="245"/>
      <c r="G1440" s="579"/>
      <c r="H1440" s="245"/>
      <c r="I1440" s="245"/>
      <c r="J1440" s="245"/>
      <c r="K1440" s="245"/>
      <c r="L1440" s="245"/>
      <c r="N1440" s="579"/>
      <c r="O1440" s="579"/>
      <c r="P1440" s="579"/>
      <c r="Q1440" s="66"/>
      <c r="R1440" s="66"/>
      <c r="S1440" s="66"/>
    </row>
    <row r="1441" spans="2:19" x14ac:dyDescent="0.2">
      <c r="B1441" s="245"/>
      <c r="C1441" s="245"/>
      <c r="D1441" s="245"/>
      <c r="E1441" s="245"/>
      <c r="F1441" s="245"/>
      <c r="G1441" s="579"/>
      <c r="H1441" s="245"/>
      <c r="I1441" s="245"/>
      <c r="J1441" s="245"/>
      <c r="K1441" s="245"/>
      <c r="L1441" s="245"/>
      <c r="N1441" s="579"/>
      <c r="O1441" s="579"/>
      <c r="P1441" s="579"/>
      <c r="Q1441" s="66"/>
      <c r="R1441" s="66"/>
      <c r="S1441" s="66"/>
    </row>
    <row r="1442" spans="2:19" x14ac:dyDescent="0.2">
      <c r="B1442" s="245"/>
      <c r="C1442" s="245"/>
      <c r="D1442" s="245"/>
      <c r="E1442" s="245"/>
      <c r="F1442" s="245"/>
      <c r="G1442" s="579"/>
      <c r="H1442" s="245"/>
      <c r="I1442" s="245"/>
      <c r="J1442" s="245"/>
      <c r="K1442" s="245"/>
      <c r="L1442" s="245"/>
      <c r="N1442" s="579"/>
      <c r="O1442" s="579"/>
      <c r="P1442" s="579"/>
      <c r="Q1442" s="66"/>
      <c r="R1442" s="66"/>
      <c r="S1442" s="66"/>
    </row>
    <row r="1443" spans="2:19" x14ac:dyDescent="0.2">
      <c r="B1443" s="245"/>
      <c r="C1443" s="245"/>
      <c r="D1443" s="245"/>
      <c r="E1443" s="245"/>
      <c r="F1443" s="245"/>
      <c r="G1443" s="579"/>
      <c r="H1443" s="245"/>
      <c r="I1443" s="245"/>
      <c r="J1443" s="245"/>
      <c r="K1443" s="245"/>
      <c r="L1443" s="245"/>
      <c r="N1443" s="579"/>
      <c r="O1443" s="579"/>
      <c r="P1443" s="579"/>
      <c r="Q1443" s="66"/>
      <c r="R1443" s="66"/>
      <c r="S1443" s="66"/>
    </row>
    <row r="1444" spans="2:19" x14ac:dyDescent="0.2">
      <c r="B1444" s="245"/>
      <c r="C1444" s="245"/>
      <c r="D1444" s="245"/>
      <c r="E1444" s="245"/>
      <c r="F1444" s="245"/>
      <c r="G1444" s="579"/>
      <c r="H1444" s="245"/>
      <c r="I1444" s="245"/>
      <c r="J1444" s="245"/>
      <c r="K1444" s="245"/>
      <c r="L1444" s="245"/>
      <c r="N1444" s="579"/>
      <c r="O1444" s="579"/>
      <c r="P1444" s="579"/>
      <c r="Q1444" s="66"/>
      <c r="R1444" s="66"/>
      <c r="S1444" s="66"/>
    </row>
    <row r="1445" spans="2:19" x14ac:dyDescent="0.2">
      <c r="B1445" s="245"/>
      <c r="C1445" s="245"/>
      <c r="D1445" s="245"/>
      <c r="E1445" s="245"/>
      <c r="F1445" s="245"/>
      <c r="G1445" s="579"/>
      <c r="H1445" s="245"/>
      <c r="I1445" s="245"/>
      <c r="J1445" s="245"/>
      <c r="K1445" s="245"/>
      <c r="L1445" s="245"/>
      <c r="N1445" s="579"/>
      <c r="O1445" s="579"/>
      <c r="P1445" s="579"/>
      <c r="Q1445" s="66"/>
      <c r="R1445" s="66"/>
      <c r="S1445" s="66"/>
    </row>
    <row r="1446" spans="2:19" x14ac:dyDescent="0.2">
      <c r="B1446" s="245"/>
      <c r="C1446" s="245"/>
      <c r="D1446" s="245"/>
      <c r="E1446" s="245"/>
      <c r="F1446" s="245"/>
      <c r="G1446" s="579"/>
      <c r="H1446" s="245"/>
      <c r="I1446" s="245"/>
      <c r="J1446" s="245"/>
      <c r="K1446" s="245"/>
      <c r="L1446" s="245"/>
      <c r="N1446" s="579"/>
      <c r="O1446" s="579"/>
      <c r="P1446" s="579"/>
      <c r="Q1446" s="66"/>
      <c r="R1446" s="66"/>
      <c r="S1446" s="66"/>
    </row>
    <row r="1447" spans="2:19" x14ac:dyDescent="0.2">
      <c r="B1447" s="245"/>
      <c r="C1447" s="245"/>
      <c r="D1447" s="245"/>
      <c r="E1447" s="245"/>
      <c r="F1447" s="245"/>
      <c r="G1447" s="579"/>
      <c r="H1447" s="245"/>
      <c r="I1447" s="245"/>
      <c r="J1447" s="245"/>
      <c r="K1447" s="245"/>
      <c r="L1447" s="245"/>
      <c r="N1447" s="579"/>
      <c r="O1447" s="579"/>
      <c r="P1447" s="579"/>
      <c r="Q1447" s="66"/>
      <c r="R1447" s="66"/>
      <c r="S1447" s="66"/>
    </row>
    <row r="1448" spans="2:19" x14ac:dyDescent="0.2">
      <c r="B1448" s="245"/>
      <c r="C1448" s="245"/>
      <c r="D1448" s="245"/>
      <c r="E1448" s="245"/>
      <c r="F1448" s="245"/>
      <c r="G1448" s="579"/>
      <c r="H1448" s="245"/>
      <c r="I1448" s="245"/>
      <c r="J1448" s="245"/>
      <c r="K1448" s="245"/>
      <c r="L1448" s="245"/>
      <c r="N1448" s="579"/>
      <c r="O1448" s="579"/>
      <c r="P1448" s="579"/>
      <c r="Q1448" s="66"/>
      <c r="R1448" s="66"/>
      <c r="S1448" s="66"/>
    </row>
    <row r="1449" spans="2:19" x14ac:dyDescent="0.2">
      <c r="B1449" s="245"/>
      <c r="C1449" s="245"/>
      <c r="D1449" s="245"/>
      <c r="E1449" s="245"/>
      <c r="F1449" s="245"/>
      <c r="G1449" s="579"/>
      <c r="H1449" s="245"/>
      <c r="I1449" s="245"/>
      <c r="J1449" s="245"/>
      <c r="K1449" s="245"/>
      <c r="L1449" s="245"/>
      <c r="N1449" s="579"/>
      <c r="O1449" s="579"/>
      <c r="P1449" s="579"/>
      <c r="Q1449" s="66"/>
      <c r="R1449" s="66"/>
      <c r="S1449" s="66"/>
    </row>
    <row r="1450" spans="2:19" x14ac:dyDescent="0.2">
      <c r="B1450" s="245"/>
      <c r="C1450" s="245"/>
      <c r="D1450" s="245"/>
      <c r="E1450" s="245"/>
      <c r="F1450" s="245"/>
      <c r="G1450" s="579"/>
      <c r="H1450" s="245"/>
      <c r="I1450" s="245"/>
      <c r="J1450" s="245"/>
      <c r="K1450" s="245"/>
      <c r="L1450" s="245"/>
      <c r="N1450" s="579"/>
      <c r="O1450" s="579"/>
      <c r="P1450" s="579"/>
      <c r="Q1450" s="66"/>
      <c r="R1450" s="66"/>
      <c r="S1450" s="66"/>
    </row>
    <row r="1451" spans="2:19" x14ac:dyDescent="0.2">
      <c r="B1451" s="245"/>
      <c r="C1451" s="245"/>
      <c r="D1451" s="245"/>
      <c r="E1451" s="245"/>
      <c r="F1451" s="245"/>
      <c r="G1451" s="579"/>
      <c r="H1451" s="245"/>
      <c r="I1451" s="245"/>
      <c r="J1451" s="245"/>
      <c r="K1451" s="245"/>
      <c r="L1451" s="245"/>
      <c r="N1451" s="579"/>
      <c r="O1451" s="579"/>
      <c r="P1451" s="579"/>
      <c r="Q1451" s="66"/>
      <c r="R1451" s="66"/>
      <c r="S1451" s="66"/>
    </row>
    <row r="1452" spans="2:19" x14ac:dyDescent="0.2">
      <c r="B1452" s="245"/>
      <c r="C1452" s="245"/>
      <c r="D1452" s="245"/>
      <c r="E1452" s="245"/>
      <c r="F1452" s="245"/>
      <c r="G1452" s="579"/>
      <c r="H1452" s="245"/>
      <c r="I1452" s="245"/>
      <c r="J1452" s="245"/>
      <c r="K1452" s="245"/>
      <c r="L1452" s="245"/>
      <c r="N1452" s="579"/>
      <c r="O1452" s="579"/>
      <c r="P1452" s="579"/>
      <c r="Q1452" s="66"/>
      <c r="R1452" s="66"/>
      <c r="S1452" s="66"/>
    </row>
    <row r="1453" spans="2:19" x14ac:dyDescent="0.2">
      <c r="B1453" s="245"/>
      <c r="C1453" s="245"/>
      <c r="D1453" s="245"/>
      <c r="E1453" s="245"/>
      <c r="F1453" s="245"/>
      <c r="G1453" s="579"/>
      <c r="H1453" s="245"/>
      <c r="I1453" s="245"/>
      <c r="J1453" s="245"/>
      <c r="K1453" s="245"/>
      <c r="L1453" s="245"/>
      <c r="N1453" s="579"/>
      <c r="O1453" s="579"/>
      <c r="P1453" s="579"/>
      <c r="Q1453" s="66"/>
      <c r="R1453" s="66"/>
      <c r="S1453" s="66"/>
    </row>
    <row r="1454" spans="2:19" x14ac:dyDescent="0.2">
      <c r="B1454" s="245"/>
      <c r="C1454" s="245"/>
      <c r="D1454" s="245"/>
      <c r="E1454" s="245"/>
      <c r="F1454" s="245"/>
      <c r="G1454" s="579"/>
      <c r="H1454" s="245"/>
      <c r="I1454" s="245"/>
      <c r="J1454" s="245"/>
      <c r="K1454" s="245"/>
      <c r="L1454" s="245"/>
      <c r="N1454" s="579"/>
      <c r="O1454" s="579"/>
      <c r="P1454" s="579"/>
      <c r="Q1454" s="66"/>
      <c r="R1454" s="66"/>
      <c r="S1454" s="66"/>
    </row>
    <row r="1455" spans="2:19" x14ac:dyDescent="0.2">
      <c r="B1455" s="245"/>
      <c r="C1455" s="245"/>
      <c r="D1455" s="245"/>
      <c r="E1455" s="245"/>
      <c r="F1455" s="245"/>
      <c r="G1455" s="579"/>
      <c r="H1455" s="245"/>
      <c r="I1455" s="245"/>
      <c r="J1455" s="245"/>
      <c r="K1455" s="245"/>
      <c r="L1455" s="245"/>
      <c r="N1455" s="579"/>
      <c r="O1455" s="579"/>
      <c r="P1455" s="579"/>
      <c r="Q1455" s="66"/>
      <c r="R1455" s="66"/>
      <c r="S1455" s="66"/>
    </row>
    <row r="1456" spans="2:19" x14ac:dyDescent="0.2">
      <c r="B1456" s="245"/>
      <c r="C1456" s="245"/>
      <c r="D1456" s="245"/>
      <c r="E1456" s="245"/>
      <c r="F1456" s="245"/>
      <c r="G1456" s="579"/>
      <c r="H1456" s="245"/>
      <c r="I1456" s="245"/>
      <c r="J1456" s="245"/>
      <c r="K1456" s="245"/>
      <c r="L1456" s="245"/>
      <c r="N1456" s="579"/>
      <c r="O1456" s="579"/>
      <c r="P1456" s="579"/>
      <c r="Q1456" s="66"/>
      <c r="R1456" s="66"/>
      <c r="S1456" s="66"/>
    </row>
    <row r="1457" spans="2:19" x14ac:dyDescent="0.2">
      <c r="B1457" s="245"/>
      <c r="C1457" s="245"/>
      <c r="D1457" s="245"/>
      <c r="E1457" s="245"/>
      <c r="F1457" s="245"/>
      <c r="G1457" s="579"/>
      <c r="H1457" s="245"/>
      <c r="I1457" s="245"/>
      <c r="J1457" s="245"/>
      <c r="K1457" s="245"/>
      <c r="L1457" s="245"/>
      <c r="N1457" s="579"/>
      <c r="O1457" s="579"/>
      <c r="P1457" s="579"/>
      <c r="Q1457" s="66"/>
      <c r="R1457" s="66"/>
      <c r="S1457" s="66"/>
    </row>
    <row r="1458" spans="2:19" x14ac:dyDescent="0.2">
      <c r="B1458" s="245"/>
      <c r="C1458" s="245"/>
      <c r="D1458" s="245"/>
      <c r="E1458" s="245"/>
      <c r="F1458" s="245"/>
      <c r="G1458" s="579"/>
      <c r="H1458" s="245"/>
      <c r="I1458" s="245"/>
      <c r="J1458" s="245"/>
      <c r="K1458" s="245"/>
      <c r="L1458" s="245"/>
      <c r="N1458" s="579"/>
      <c r="O1458" s="579"/>
      <c r="P1458" s="579"/>
      <c r="Q1458" s="66"/>
      <c r="R1458" s="66"/>
      <c r="S1458" s="66"/>
    </row>
    <row r="1459" spans="2:19" x14ac:dyDescent="0.2">
      <c r="B1459" s="245"/>
      <c r="C1459" s="245"/>
      <c r="D1459" s="245"/>
      <c r="E1459" s="245"/>
      <c r="F1459" s="245"/>
      <c r="G1459" s="579"/>
      <c r="H1459" s="245"/>
      <c r="I1459" s="245"/>
      <c r="J1459" s="245"/>
      <c r="K1459" s="245"/>
      <c r="L1459" s="245"/>
      <c r="N1459" s="579"/>
      <c r="O1459" s="579"/>
      <c r="P1459" s="579"/>
      <c r="Q1459" s="66"/>
      <c r="R1459" s="66"/>
      <c r="S1459" s="66"/>
    </row>
    <row r="1460" spans="2:19" x14ac:dyDescent="0.2">
      <c r="B1460" s="245"/>
      <c r="C1460" s="245"/>
      <c r="D1460" s="245"/>
      <c r="E1460" s="245"/>
      <c r="F1460" s="245"/>
      <c r="G1460" s="579"/>
      <c r="H1460" s="245"/>
      <c r="I1460" s="245"/>
      <c r="J1460" s="245"/>
      <c r="K1460" s="245"/>
      <c r="L1460" s="245"/>
      <c r="N1460" s="579"/>
      <c r="O1460" s="579"/>
      <c r="P1460" s="579"/>
      <c r="Q1460" s="66"/>
      <c r="R1460" s="66"/>
      <c r="S1460" s="66"/>
    </row>
    <row r="1461" spans="2:19" x14ac:dyDescent="0.2">
      <c r="B1461" s="245"/>
      <c r="C1461" s="245"/>
      <c r="D1461" s="245"/>
      <c r="E1461" s="245"/>
      <c r="F1461" s="245"/>
      <c r="G1461" s="579"/>
      <c r="H1461" s="245"/>
      <c r="I1461" s="245"/>
      <c r="J1461" s="245"/>
      <c r="K1461" s="245"/>
      <c r="L1461" s="245"/>
      <c r="N1461" s="579"/>
      <c r="O1461" s="579"/>
      <c r="P1461" s="579"/>
      <c r="Q1461" s="66"/>
      <c r="R1461" s="66"/>
      <c r="S1461" s="66"/>
    </row>
    <row r="1462" spans="2:19" x14ac:dyDescent="0.2">
      <c r="B1462" s="245"/>
      <c r="C1462" s="245"/>
      <c r="D1462" s="245"/>
      <c r="E1462" s="245"/>
      <c r="F1462" s="245"/>
      <c r="G1462" s="579"/>
      <c r="H1462" s="245"/>
      <c r="I1462" s="245"/>
      <c r="J1462" s="245"/>
      <c r="K1462" s="245"/>
      <c r="L1462" s="245"/>
      <c r="N1462" s="579"/>
      <c r="O1462" s="579"/>
      <c r="P1462" s="579"/>
      <c r="Q1462" s="66"/>
      <c r="R1462" s="66"/>
      <c r="S1462" s="66"/>
    </row>
    <row r="1463" spans="2:19" x14ac:dyDescent="0.2">
      <c r="B1463" s="245"/>
      <c r="C1463" s="245"/>
      <c r="D1463" s="245"/>
      <c r="E1463" s="245"/>
      <c r="F1463" s="245"/>
      <c r="G1463" s="579"/>
      <c r="H1463" s="245"/>
      <c r="I1463" s="245"/>
      <c r="J1463" s="245"/>
      <c r="K1463" s="245"/>
      <c r="L1463" s="245"/>
      <c r="N1463" s="579"/>
      <c r="O1463" s="579"/>
      <c r="P1463" s="579"/>
      <c r="Q1463" s="66"/>
      <c r="R1463" s="66"/>
      <c r="S1463" s="66"/>
    </row>
    <row r="1464" spans="2:19" x14ac:dyDescent="0.2">
      <c r="B1464" s="245"/>
      <c r="C1464" s="245"/>
      <c r="D1464" s="245"/>
      <c r="E1464" s="245"/>
      <c r="F1464" s="245"/>
      <c r="G1464" s="579"/>
      <c r="H1464" s="245"/>
      <c r="I1464" s="245"/>
      <c r="J1464" s="245"/>
      <c r="K1464" s="245"/>
      <c r="L1464" s="245"/>
      <c r="N1464" s="579"/>
      <c r="O1464" s="579"/>
      <c r="P1464" s="579"/>
      <c r="Q1464" s="66"/>
      <c r="R1464" s="66"/>
      <c r="S1464" s="66"/>
    </row>
    <row r="1465" spans="2:19" x14ac:dyDescent="0.2">
      <c r="B1465" s="245"/>
      <c r="C1465" s="245"/>
      <c r="D1465" s="245"/>
      <c r="E1465" s="245"/>
      <c r="F1465" s="245"/>
      <c r="G1465" s="579"/>
      <c r="H1465" s="245"/>
      <c r="I1465" s="245"/>
      <c r="J1465" s="245"/>
      <c r="K1465" s="245"/>
      <c r="L1465" s="245"/>
      <c r="N1465" s="579"/>
      <c r="O1465" s="579"/>
      <c r="P1465" s="579"/>
      <c r="Q1465" s="66"/>
      <c r="R1465" s="66"/>
      <c r="S1465" s="66"/>
    </row>
    <row r="1466" spans="2:19" x14ac:dyDescent="0.2">
      <c r="B1466" s="245"/>
      <c r="C1466" s="245"/>
      <c r="D1466" s="245"/>
      <c r="E1466" s="245"/>
      <c r="F1466" s="245"/>
      <c r="G1466" s="579"/>
      <c r="H1466" s="245"/>
      <c r="I1466" s="245"/>
      <c r="J1466" s="245"/>
      <c r="K1466" s="245"/>
      <c r="L1466" s="245"/>
      <c r="N1466" s="579"/>
      <c r="O1466" s="579"/>
      <c r="P1466" s="579"/>
      <c r="Q1466" s="66"/>
      <c r="R1466" s="66"/>
      <c r="S1466" s="66"/>
    </row>
    <row r="1467" spans="2:19" x14ac:dyDescent="0.2">
      <c r="B1467" s="245"/>
      <c r="C1467" s="245"/>
      <c r="D1467" s="245"/>
      <c r="E1467" s="245"/>
      <c r="F1467" s="245"/>
      <c r="G1467" s="579"/>
      <c r="H1467" s="245"/>
      <c r="I1467" s="245"/>
      <c r="J1467" s="245"/>
      <c r="K1467" s="245"/>
      <c r="L1467" s="245"/>
      <c r="N1467" s="579"/>
      <c r="O1467" s="579"/>
      <c r="P1467" s="579"/>
      <c r="Q1467" s="66"/>
      <c r="R1467" s="66"/>
      <c r="S1467" s="66"/>
    </row>
    <row r="1468" spans="2:19" x14ac:dyDescent="0.2">
      <c r="B1468" s="245"/>
      <c r="C1468" s="245"/>
      <c r="D1468" s="245"/>
      <c r="E1468" s="245"/>
      <c r="F1468" s="245"/>
      <c r="G1468" s="579"/>
      <c r="H1468" s="245"/>
      <c r="I1468" s="245"/>
      <c r="J1468" s="245"/>
      <c r="K1468" s="245"/>
      <c r="L1468" s="245"/>
      <c r="N1468" s="579"/>
      <c r="O1468" s="579"/>
      <c r="P1468" s="579"/>
      <c r="Q1468" s="66"/>
      <c r="R1468" s="66"/>
      <c r="S1468" s="66"/>
    </row>
    <row r="1469" spans="2:19" x14ac:dyDescent="0.2">
      <c r="B1469" s="245"/>
      <c r="C1469" s="245"/>
      <c r="D1469" s="245"/>
      <c r="E1469" s="245"/>
      <c r="F1469" s="245"/>
      <c r="G1469" s="579"/>
      <c r="H1469" s="245"/>
      <c r="I1469" s="245"/>
      <c r="J1469" s="245"/>
      <c r="K1469" s="245"/>
      <c r="L1469" s="245"/>
      <c r="N1469" s="579"/>
      <c r="O1469" s="579"/>
      <c r="P1469" s="579"/>
      <c r="Q1469" s="66"/>
      <c r="R1469" s="66"/>
      <c r="S1469" s="66"/>
    </row>
    <row r="1470" spans="2:19" x14ac:dyDescent="0.2">
      <c r="B1470" s="245"/>
      <c r="C1470" s="245"/>
      <c r="D1470" s="245"/>
      <c r="E1470" s="245"/>
      <c r="F1470" s="245"/>
      <c r="G1470" s="579"/>
      <c r="H1470" s="245"/>
      <c r="I1470" s="245"/>
      <c r="J1470" s="245"/>
      <c r="K1470" s="245"/>
      <c r="L1470" s="245"/>
      <c r="N1470" s="579"/>
      <c r="O1470" s="579"/>
      <c r="P1470" s="579"/>
      <c r="Q1470" s="66"/>
      <c r="R1470" s="66"/>
      <c r="S1470" s="66"/>
    </row>
    <row r="1471" spans="2:19" x14ac:dyDescent="0.2">
      <c r="B1471" s="245"/>
      <c r="C1471" s="245"/>
      <c r="D1471" s="245"/>
      <c r="E1471" s="245"/>
      <c r="F1471" s="245"/>
      <c r="G1471" s="579"/>
      <c r="H1471" s="245"/>
      <c r="I1471" s="245"/>
      <c r="J1471" s="245"/>
      <c r="K1471" s="245"/>
      <c r="L1471" s="245"/>
      <c r="N1471" s="579"/>
      <c r="O1471" s="579"/>
      <c r="P1471" s="579"/>
      <c r="Q1471" s="66"/>
      <c r="R1471" s="66"/>
      <c r="S1471" s="66"/>
    </row>
    <row r="1472" spans="2:19" x14ac:dyDescent="0.2">
      <c r="B1472" s="245"/>
      <c r="C1472" s="245"/>
      <c r="D1472" s="245"/>
      <c r="E1472" s="245"/>
      <c r="F1472" s="245"/>
      <c r="G1472" s="579"/>
      <c r="H1472" s="245"/>
      <c r="I1472" s="245"/>
      <c r="J1472" s="245"/>
      <c r="K1472" s="245"/>
      <c r="L1472" s="245"/>
      <c r="N1472" s="579"/>
      <c r="O1472" s="579"/>
      <c r="P1472" s="579"/>
      <c r="Q1472" s="66"/>
      <c r="R1472" s="66"/>
      <c r="S1472" s="66"/>
    </row>
    <row r="1473" spans="2:19" x14ac:dyDescent="0.2">
      <c r="B1473" s="245"/>
      <c r="C1473" s="245"/>
      <c r="D1473" s="245"/>
      <c r="E1473" s="245"/>
      <c r="F1473" s="245"/>
      <c r="G1473" s="579"/>
      <c r="H1473" s="245"/>
      <c r="I1473" s="245"/>
      <c r="J1473" s="245"/>
      <c r="K1473" s="245"/>
      <c r="L1473" s="245"/>
      <c r="N1473" s="579"/>
      <c r="O1473" s="579"/>
      <c r="P1473" s="579"/>
      <c r="Q1473" s="66"/>
      <c r="R1473" s="66"/>
      <c r="S1473" s="66"/>
    </row>
    <row r="1474" spans="2:19" x14ac:dyDescent="0.2">
      <c r="B1474" s="245"/>
      <c r="C1474" s="245"/>
      <c r="D1474" s="245"/>
      <c r="E1474" s="245"/>
      <c r="F1474" s="245"/>
      <c r="G1474" s="579"/>
      <c r="H1474" s="245"/>
      <c r="I1474" s="245"/>
      <c r="J1474" s="245"/>
      <c r="K1474" s="245"/>
      <c r="L1474" s="245"/>
      <c r="N1474" s="579"/>
      <c r="O1474" s="579"/>
      <c r="P1474" s="579"/>
      <c r="Q1474" s="66"/>
      <c r="R1474" s="66"/>
      <c r="S1474" s="66"/>
    </row>
    <row r="1475" spans="2:19" x14ac:dyDescent="0.2">
      <c r="B1475" s="245"/>
      <c r="C1475" s="245"/>
      <c r="D1475" s="245"/>
      <c r="E1475" s="245"/>
      <c r="F1475" s="245"/>
      <c r="G1475" s="579"/>
      <c r="H1475" s="245"/>
      <c r="I1475" s="245"/>
      <c r="J1475" s="245"/>
      <c r="K1475" s="245"/>
      <c r="L1475" s="245"/>
      <c r="N1475" s="579"/>
      <c r="O1475" s="579"/>
      <c r="P1475" s="579"/>
      <c r="Q1475" s="66"/>
      <c r="R1475" s="66"/>
      <c r="S1475" s="66"/>
    </row>
    <row r="1476" spans="2:19" x14ac:dyDescent="0.2">
      <c r="B1476" s="245"/>
      <c r="C1476" s="245"/>
      <c r="D1476" s="245"/>
      <c r="E1476" s="245"/>
      <c r="F1476" s="245"/>
      <c r="G1476" s="579"/>
      <c r="H1476" s="245"/>
      <c r="I1476" s="245"/>
      <c r="J1476" s="245"/>
      <c r="K1476" s="245"/>
      <c r="L1476" s="245"/>
      <c r="N1476" s="579"/>
      <c r="O1476" s="579"/>
      <c r="P1476" s="579"/>
      <c r="Q1476" s="66"/>
      <c r="R1476" s="66"/>
      <c r="S1476" s="66"/>
    </row>
    <row r="1477" spans="2:19" x14ac:dyDescent="0.2">
      <c r="B1477" s="245"/>
      <c r="C1477" s="245"/>
      <c r="D1477" s="245"/>
      <c r="E1477" s="245"/>
      <c r="F1477" s="245"/>
      <c r="G1477" s="579"/>
      <c r="H1477" s="245"/>
      <c r="I1477" s="245"/>
      <c r="J1477" s="245"/>
      <c r="K1477" s="245"/>
      <c r="L1477" s="245"/>
      <c r="N1477" s="579"/>
      <c r="O1477" s="579"/>
      <c r="P1477" s="579"/>
      <c r="Q1477" s="66"/>
      <c r="R1477" s="66"/>
      <c r="S1477" s="66"/>
    </row>
    <row r="1478" spans="2:19" x14ac:dyDescent="0.2">
      <c r="B1478" s="245"/>
      <c r="C1478" s="245"/>
      <c r="D1478" s="245"/>
      <c r="E1478" s="245"/>
      <c r="F1478" s="245"/>
      <c r="G1478" s="579"/>
      <c r="H1478" s="245"/>
      <c r="I1478" s="245"/>
      <c r="J1478" s="245"/>
      <c r="K1478" s="245"/>
      <c r="L1478" s="245"/>
      <c r="N1478" s="579"/>
      <c r="O1478" s="579"/>
      <c r="P1478" s="579"/>
      <c r="Q1478" s="66"/>
      <c r="R1478" s="66"/>
      <c r="S1478" s="66"/>
    </row>
    <row r="1479" spans="2:19" x14ac:dyDescent="0.2">
      <c r="B1479" s="245"/>
      <c r="C1479" s="245"/>
      <c r="D1479" s="245"/>
      <c r="E1479" s="245"/>
      <c r="F1479" s="245"/>
      <c r="G1479" s="579"/>
      <c r="H1479" s="245"/>
      <c r="I1479" s="245"/>
      <c r="J1479" s="245"/>
      <c r="K1479" s="245"/>
      <c r="L1479" s="245"/>
      <c r="N1479" s="579"/>
      <c r="O1479" s="579"/>
      <c r="P1479" s="579"/>
      <c r="Q1479" s="66"/>
      <c r="R1479" s="66"/>
      <c r="S1479" s="66"/>
    </row>
    <row r="1480" spans="2:19" x14ac:dyDescent="0.2">
      <c r="B1480" s="245"/>
      <c r="C1480" s="245"/>
      <c r="D1480" s="245"/>
      <c r="E1480" s="245"/>
      <c r="F1480" s="245"/>
      <c r="G1480" s="579"/>
      <c r="H1480" s="245"/>
      <c r="I1480" s="245"/>
      <c r="J1480" s="245"/>
      <c r="K1480" s="245"/>
      <c r="L1480" s="245"/>
      <c r="N1480" s="579"/>
      <c r="O1480" s="579"/>
      <c r="P1480" s="579"/>
      <c r="Q1480" s="66"/>
      <c r="R1480" s="66"/>
      <c r="S1480" s="66"/>
    </row>
    <row r="1481" spans="2:19" x14ac:dyDescent="0.2">
      <c r="B1481" s="245"/>
      <c r="C1481" s="245"/>
      <c r="D1481" s="245"/>
      <c r="E1481" s="245"/>
      <c r="F1481" s="245"/>
      <c r="G1481" s="579"/>
      <c r="H1481" s="245"/>
      <c r="I1481" s="245"/>
      <c r="J1481" s="245"/>
      <c r="K1481" s="245"/>
      <c r="L1481" s="245"/>
      <c r="N1481" s="579"/>
      <c r="O1481" s="579"/>
      <c r="P1481" s="579"/>
      <c r="Q1481" s="66"/>
      <c r="R1481" s="66"/>
      <c r="S1481" s="66"/>
    </row>
    <row r="1482" spans="2:19" x14ac:dyDescent="0.2">
      <c r="B1482" s="245"/>
      <c r="C1482" s="245"/>
      <c r="D1482" s="245"/>
      <c r="E1482" s="245"/>
      <c r="F1482" s="245"/>
      <c r="G1482" s="579"/>
      <c r="H1482" s="245"/>
      <c r="I1482" s="245"/>
      <c r="J1482" s="245"/>
      <c r="K1482" s="245"/>
      <c r="L1482" s="245"/>
      <c r="N1482" s="579"/>
      <c r="O1482" s="579"/>
      <c r="P1482" s="579"/>
      <c r="Q1482" s="66"/>
      <c r="R1482" s="66"/>
      <c r="S1482" s="66"/>
    </row>
    <row r="1483" spans="2:19" x14ac:dyDescent="0.2">
      <c r="B1483" s="245"/>
      <c r="C1483" s="245"/>
      <c r="D1483" s="245"/>
      <c r="E1483" s="245"/>
      <c r="F1483" s="245"/>
      <c r="G1483" s="579"/>
      <c r="H1483" s="245"/>
      <c r="I1483" s="245"/>
      <c r="J1483" s="245"/>
      <c r="K1483" s="245"/>
      <c r="L1483" s="245"/>
      <c r="N1483" s="579"/>
      <c r="O1483" s="579"/>
      <c r="P1483" s="579"/>
      <c r="Q1483" s="66"/>
      <c r="R1483" s="66"/>
      <c r="S1483" s="66"/>
    </row>
    <row r="1484" spans="2:19" x14ac:dyDescent="0.2">
      <c r="B1484" s="245"/>
      <c r="C1484" s="245"/>
      <c r="D1484" s="245"/>
      <c r="E1484" s="245"/>
      <c r="F1484" s="245"/>
      <c r="G1484" s="579"/>
      <c r="H1484" s="245"/>
      <c r="I1484" s="245"/>
      <c r="J1484" s="245"/>
      <c r="K1484" s="245"/>
      <c r="L1484" s="245"/>
      <c r="N1484" s="579"/>
      <c r="O1484" s="579"/>
      <c r="P1484" s="579"/>
      <c r="Q1484" s="66"/>
      <c r="R1484" s="66"/>
      <c r="S1484" s="66"/>
    </row>
    <row r="1485" spans="2:19" x14ac:dyDescent="0.2">
      <c r="B1485" s="245"/>
      <c r="C1485" s="245"/>
      <c r="D1485" s="245"/>
      <c r="E1485" s="245"/>
      <c r="F1485" s="245"/>
      <c r="G1485" s="579"/>
      <c r="H1485" s="245"/>
      <c r="I1485" s="245"/>
      <c r="J1485" s="245"/>
      <c r="K1485" s="245"/>
      <c r="L1485" s="245"/>
      <c r="N1485" s="579"/>
      <c r="O1485" s="579"/>
      <c r="P1485" s="579"/>
      <c r="Q1485" s="66"/>
      <c r="R1485" s="66"/>
      <c r="S1485" s="66"/>
    </row>
    <row r="1486" spans="2:19" x14ac:dyDescent="0.2">
      <c r="B1486" s="245"/>
      <c r="C1486" s="245"/>
      <c r="D1486" s="245"/>
      <c r="E1486" s="245"/>
      <c r="F1486" s="245"/>
      <c r="G1486" s="579"/>
      <c r="H1486" s="245"/>
      <c r="I1486" s="245"/>
      <c r="J1486" s="245"/>
      <c r="K1486" s="245"/>
      <c r="L1486" s="245"/>
      <c r="N1486" s="579"/>
      <c r="O1486" s="579"/>
      <c r="P1486" s="579"/>
      <c r="Q1486" s="66"/>
      <c r="R1486" s="66"/>
      <c r="S1486" s="66"/>
    </row>
    <row r="1487" spans="2:19" x14ac:dyDescent="0.2">
      <c r="B1487" s="245"/>
      <c r="C1487" s="245"/>
      <c r="D1487" s="245"/>
      <c r="E1487" s="245"/>
      <c r="F1487" s="245"/>
      <c r="G1487" s="579"/>
      <c r="H1487" s="245"/>
      <c r="I1487" s="245"/>
      <c r="J1487" s="245"/>
      <c r="K1487" s="245"/>
      <c r="L1487" s="245"/>
      <c r="N1487" s="579"/>
      <c r="O1487" s="579"/>
      <c r="P1487" s="579"/>
      <c r="Q1487" s="66"/>
      <c r="R1487" s="66"/>
      <c r="S1487" s="66"/>
    </row>
    <row r="1488" spans="2:19" x14ac:dyDescent="0.2">
      <c r="B1488" s="245"/>
      <c r="C1488" s="245"/>
      <c r="D1488" s="245"/>
      <c r="E1488" s="245"/>
      <c r="F1488" s="245"/>
      <c r="G1488" s="579"/>
      <c r="H1488" s="245"/>
      <c r="I1488" s="245"/>
      <c r="J1488" s="245"/>
      <c r="K1488" s="245"/>
      <c r="L1488" s="245"/>
      <c r="N1488" s="579"/>
      <c r="O1488" s="579"/>
      <c r="P1488" s="579"/>
      <c r="Q1488" s="66"/>
      <c r="R1488" s="66"/>
      <c r="S1488" s="66"/>
    </row>
    <row r="1489" spans="2:19" x14ac:dyDescent="0.2">
      <c r="B1489" s="245"/>
      <c r="C1489" s="245"/>
      <c r="D1489" s="245"/>
      <c r="E1489" s="245"/>
      <c r="F1489" s="245"/>
      <c r="G1489" s="579"/>
      <c r="H1489" s="245"/>
      <c r="I1489" s="245"/>
      <c r="J1489" s="245"/>
      <c r="K1489" s="245"/>
      <c r="L1489" s="245"/>
      <c r="N1489" s="579"/>
      <c r="O1489" s="579"/>
      <c r="P1489" s="579"/>
      <c r="Q1489" s="66"/>
      <c r="R1489" s="66"/>
      <c r="S1489" s="66"/>
    </row>
    <row r="1490" spans="2:19" x14ac:dyDescent="0.2">
      <c r="B1490" s="245"/>
      <c r="C1490" s="245"/>
      <c r="D1490" s="245"/>
      <c r="E1490" s="245"/>
      <c r="F1490" s="245"/>
      <c r="G1490" s="579"/>
      <c r="H1490" s="245"/>
      <c r="I1490" s="245"/>
      <c r="J1490" s="245"/>
      <c r="K1490" s="245"/>
      <c r="L1490" s="245"/>
      <c r="N1490" s="579"/>
      <c r="O1490" s="579"/>
      <c r="P1490" s="579"/>
      <c r="Q1490" s="66"/>
      <c r="R1490" s="66"/>
      <c r="S1490" s="66"/>
    </row>
    <row r="1491" spans="2:19" x14ac:dyDescent="0.2">
      <c r="B1491" s="245"/>
      <c r="C1491" s="245"/>
      <c r="D1491" s="245"/>
      <c r="E1491" s="245"/>
      <c r="F1491" s="245"/>
      <c r="G1491" s="579"/>
      <c r="H1491" s="245"/>
      <c r="I1491" s="245"/>
      <c r="J1491" s="245"/>
      <c r="K1491" s="245"/>
      <c r="L1491" s="245"/>
      <c r="N1491" s="579"/>
      <c r="O1491" s="579"/>
      <c r="P1491" s="579"/>
      <c r="Q1491" s="66"/>
      <c r="R1491" s="66"/>
      <c r="S1491" s="66"/>
    </row>
    <row r="1492" spans="2:19" x14ac:dyDescent="0.2">
      <c r="B1492" s="245"/>
      <c r="C1492" s="245"/>
      <c r="D1492" s="245"/>
      <c r="E1492" s="245"/>
      <c r="F1492" s="245"/>
      <c r="G1492" s="579"/>
      <c r="H1492" s="245"/>
      <c r="I1492" s="245"/>
      <c r="J1492" s="245"/>
      <c r="K1492" s="245"/>
      <c r="L1492" s="245"/>
      <c r="N1492" s="579"/>
      <c r="O1492" s="579"/>
      <c r="P1492" s="579"/>
      <c r="Q1492" s="66"/>
      <c r="R1492" s="66"/>
      <c r="S1492" s="66"/>
    </row>
    <row r="1493" spans="2:19" x14ac:dyDescent="0.2">
      <c r="B1493" s="245"/>
      <c r="C1493" s="245"/>
      <c r="D1493" s="245"/>
      <c r="E1493" s="245"/>
      <c r="F1493" s="245"/>
      <c r="G1493" s="579"/>
      <c r="H1493" s="245"/>
      <c r="I1493" s="245"/>
      <c r="J1493" s="245"/>
      <c r="K1493" s="245"/>
      <c r="L1493" s="245"/>
      <c r="N1493" s="579"/>
      <c r="O1493" s="579"/>
      <c r="P1493" s="579"/>
      <c r="Q1493" s="66"/>
      <c r="R1493" s="66"/>
      <c r="S1493" s="66"/>
    </row>
    <row r="1494" spans="2:19" x14ac:dyDescent="0.2">
      <c r="B1494" s="245"/>
      <c r="C1494" s="245"/>
      <c r="D1494" s="245"/>
      <c r="E1494" s="245"/>
      <c r="F1494" s="245"/>
      <c r="G1494" s="579"/>
      <c r="H1494" s="245"/>
      <c r="I1494" s="245"/>
      <c r="J1494" s="245"/>
      <c r="K1494" s="245"/>
      <c r="L1494" s="245"/>
      <c r="N1494" s="579"/>
      <c r="O1494" s="579"/>
      <c r="P1494" s="579"/>
      <c r="Q1494" s="66"/>
      <c r="R1494" s="66"/>
      <c r="S1494" s="66"/>
    </row>
    <row r="1495" spans="2:19" x14ac:dyDescent="0.2">
      <c r="B1495" s="245"/>
      <c r="C1495" s="245"/>
      <c r="D1495" s="245"/>
      <c r="E1495" s="245"/>
      <c r="F1495" s="245"/>
      <c r="G1495" s="579"/>
      <c r="H1495" s="245"/>
      <c r="I1495" s="245"/>
      <c r="J1495" s="245"/>
      <c r="K1495" s="245"/>
      <c r="L1495" s="245"/>
      <c r="N1495" s="579"/>
      <c r="O1495" s="579"/>
      <c r="P1495" s="579"/>
      <c r="Q1495" s="66"/>
      <c r="R1495" s="66"/>
      <c r="S1495" s="66"/>
    </row>
    <row r="1496" spans="2:19" x14ac:dyDescent="0.2">
      <c r="B1496" s="245"/>
      <c r="C1496" s="245"/>
      <c r="D1496" s="245"/>
      <c r="E1496" s="245"/>
      <c r="F1496" s="245"/>
      <c r="G1496" s="579"/>
      <c r="H1496" s="245"/>
      <c r="I1496" s="245"/>
      <c r="J1496" s="245"/>
      <c r="K1496" s="245"/>
      <c r="L1496" s="245"/>
      <c r="N1496" s="579"/>
      <c r="O1496" s="579"/>
      <c r="P1496" s="579"/>
      <c r="Q1496" s="66"/>
      <c r="R1496" s="66"/>
      <c r="S1496" s="66"/>
    </row>
    <row r="1497" spans="2:19" x14ac:dyDescent="0.2">
      <c r="B1497" s="245"/>
      <c r="C1497" s="245"/>
      <c r="D1497" s="245"/>
      <c r="E1497" s="245"/>
      <c r="F1497" s="245"/>
      <c r="G1497" s="579"/>
      <c r="H1497" s="245"/>
      <c r="I1497" s="245"/>
      <c r="J1497" s="245"/>
      <c r="K1497" s="245"/>
      <c r="L1497" s="245"/>
      <c r="N1497" s="579"/>
      <c r="O1497" s="579"/>
      <c r="P1497" s="579"/>
      <c r="Q1497" s="66"/>
      <c r="R1497" s="66"/>
      <c r="S1497" s="66"/>
    </row>
    <row r="1498" spans="2:19" x14ac:dyDescent="0.2">
      <c r="B1498" s="245"/>
      <c r="C1498" s="245"/>
      <c r="D1498" s="245"/>
      <c r="E1498" s="245"/>
      <c r="F1498" s="245"/>
      <c r="G1498" s="579"/>
      <c r="H1498" s="245"/>
      <c r="I1498" s="245"/>
      <c r="J1498" s="245"/>
      <c r="K1498" s="245"/>
      <c r="L1498" s="245"/>
      <c r="N1498" s="579"/>
      <c r="O1498" s="579"/>
      <c r="P1498" s="579"/>
      <c r="Q1498" s="66"/>
      <c r="R1498" s="66"/>
      <c r="S1498" s="66"/>
    </row>
    <row r="1499" spans="2:19" x14ac:dyDescent="0.2">
      <c r="B1499" s="245"/>
      <c r="C1499" s="245"/>
      <c r="D1499" s="245"/>
      <c r="E1499" s="245"/>
      <c r="F1499" s="245"/>
      <c r="G1499" s="579"/>
      <c r="H1499" s="245"/>
      <c r="I1499" s="245"/>
      <c r="J1499" s="245"/>
      <c r="K1499" s="245"/>
      <c r="L1499" s="245"/>
      <c r="N1499" s="579"/>
      <c r="O1499" s="579"/>
      <c r="P1499" s="579"/>
      <c r="Q1499" s="66"/>
      <c r="R1499" s="66"/>
      <c r="S1499" s="66"/>
    </row>
    <row r="1500" spans="2:19" x14ac:dyDescent="0.2">
      <c r="B1500" s="245"/>
      <c r="C1500" s="245"/>
      <c r="D1500" s="245"/>
      <c r="E1500" s="245"/>
      <c r="F1500" s="245"/>
      <c r="G1500" s="579"/>
      <c r="H1500" s="245"/>
      <c r="I1500" s="245"/>
      <c r="J1500" s="245"/>
      <c r="K1500" s="245"/>
      <c r="L1500" s="245"/>
      <c r="N1500" s="579"/>
      <c r="O1500" s="579"/>
      <c r="P1500" s="579"/>
      <c r="Q1500" s="66"/>
      <c r="R1500" s="66"/>
      <c r="S1500" s="66"/>
    </row>
    <row r="1501" spans="2:19" x14ac:dyDescent="0.2">
      <c r="B1501" s="245"/>
      <c r="C1501" s="245"/>
      <c r="D1501" s="245"/>
      <c r="E1501" s="245"/>
      <c r="F1501" s="245"/>
      <c r="G1501" s="579"/>
      <c r="H1501" s="245"/>
      <c r="I1501" s="245"/>
      <c r="J1501" s="245"/>
      <c r="K1501" s="245"/>
      <c r="L1501" s="245"/>
      <c r="N1501" s="579"/>
      <c r="O1501" s="579"/>
      <c r="P1501" s="579"/>
      <c r="Q1501" s="66"/>
      <c r="R1501" s="66"/>
      <c r="S1501" s="66"/>
    </row>
    <row r="1502" spans="2:19" x14ac:dyDescent="0.2">
      <c r="B1502" s="245"/>
      <c r="C1502" s="245"/>
      <c r="D1502" s="245"/>
      <c r="E1502" s="245"/>
      <c r="F1502" s="245"/>
      <c r="G1502" s="579"/>
      <c r="H1502" s="245"/>
      <c r="I1502" s="245"/>
      <c r="J1502" s="245"/>
      <c r="K1502" s="245"/>
      <c r="L1502" s="245"/>
      <c r="N1502" s="579"/>
      <c r="O1502" s="579"/>
      <c r="P1502" s="579"/>
      <c r="Q1502" s="66"/>
      <c r="R1502" s="66"/>
      <c r="S1502" s="66"/>
    </row>
    <row r="1503" spans="2:19" x14ac:dyDescent="0.2">
      <c r="B1503" s="245"/>
      <c r="C1503" s="245"/>
      <c r="D1503" s="245"/>
      <c r="E1503" s="245"/>
      <c r="F1503" s="245"/>
      <c r="G1503" s="579"/>
      <c r="H1503" s="245"/>
      <c r="I1503" s="245"/>
      <c r="J1503" s="245"/>
      <c r="K1503" s="245"/>
      <c r="L1503" s="245"/>
      <c r="N1503" s="579"/>
      <c r="O1503" s="579"/>
      <c r="P1503" s="579"/>
      <c r="Q1503" s="66"/>
      <c r="R1503" s="66"/>
      <c r="S1503" s="66"/>
    </row>
    <row r="1504" spans="2:19" x14ac:dyDescent="0.2">
      <c r="B1504" s="245"/>
      <c r="C1504" s="245"/>
      <c r="D1504" s="245"/>
      <c r="E1504" s="245"/>
      <c r="F1504" s="245"/>
      <c r="G1504" s="579"/>
      <c r="H1504" s="245"/>
      <c r="I1504" s="245"/>
      <c r="J1504" s="245"/>
      <c r="K1504" s="245"/>
      <c r="L1504" s="245"/>
      <c r="N1504" s="579"/>
      <c r="O1504" s="579"/>
      <c r="P1504" s="579"/>
      <c r="Q1504" s="66"/>
      <c r="R1504" s="66"/>
      <c r="S1504" s="66"/>
    </row>
    <row r="1505" spans="2:19" x14ac:dyDescent="0.2">
      <c r="B1505" s="245"/>
      <c r="C1505" s="245"/>
      <c r="D1505" s="245"/>
      <c r="E1505" s="245"/>
      <c r="F1505" s="245"/>
      <c r="G1505" s="579"/>
      <c r="H1505" s="245"/>
      <c r="I1505" s="245"/>
      <c r="J1505" s="245"/>
      <c r="K1505" s="245"/>
      <c r="L1505" s="245"/>
      <c r="N1505" s="579"/>
      <c r="O1505" s="579"/>
      <c r="P1505" s="579"/>
      <c r="Q1505" s="66"/>
      <c r="R1505" s="66"/>
      <c r="S1505" s="66"/>
    </row>
    <row r="1506" spans="2:19" x14ac:dyDescent="0.2">
      <c r="B1506" s="245"/>
      <c r="C1506" s="245"/>
      <c r="D1506" s="245"/>
      <c r="E1506" s="245"/>
      <c r="F1506" s="245"/>
      <c r="G1506" s="579"/>
      <c r="H1506" s="245"/>
      <c r="I1506" s="245"/>
      <c r="J1506" s="245"/>
      <c r="K1506" s="245"/>
      <c r="L1506" s="245"/>
      <c r="N1506" s="579"/>
      <c r="O1506" s="579"/>
      <c r="P1506" s="579"/>
      <c r="Q1506" s="66"/>
      <c r="R1506" s="66"/>
      <c r="S1506" s="66"/>
    </row>
    <row r="1507" spans="2:19" x14ac:dyDescent="0.2">
      <c r="B1507" s="245"/>
      <c r="C1507" s="245"/>
      <c r="D1507" s="245"/>
      <c r="E1507" s="245"/>
      <c r="F1507" s="245"/>
      <c r="G1507" s="579"/>
      <c r="H1507" s="245"/>
      <c r="I1507" s="245"/>
      <c r="J1507" s="245"/>
      <c r="K1507" s="245"/>
      <c r="L1507" s="245"/>
      <c r="N1507" s="579"/>
      <c r="O1507" s="579"/>
      <c r="P1507" s="579"/>
      <c r="Q1507" s="66"/>
      <c r="R1507" s="66"/>
      <c r="S1507" s="66"/>
    </row>
    <row r="1508" spans="2:19" x14ac:dyDescent="0.2">
      <c r="B1508" s="245"/>
      <c r="C1508" s="245"/>
      <c r="D1508" s="245"/>
      <c r="E1508" s="245"/>
      <c r="F1508" s="245"/>
      <c r="G1508" s="579"/>
      <c r="H1508" s="245"/>
      <c r="I1508" s="245"/>
      <c r="J1508" s="245"/>
      <c r="K1508" s="245"/>
      <c r="L1508" s="245"/>
      <c r="N1508" s="579"/>
      <c r="O1508" s="579"/>
      <c r="P1508" s="579"/>
      <c r="Q1508" s="66"/>
      <c r="R1508" s="66"/>
      <c r="S1508" s="66"/>
    </row>
    <row r="1509" spans="2:19" x14ac:dyDescent="0.2">
      <c r="B1509" s="245"/>
      <c r="C1509" s="245"/>
      <c r="D1509" s="245"/>
      <c r="E1509" s="245"/>
      <c r="F1509" s="245"/>
      <c r="G1509" s="579"/>
      <c r="H1509" s="245"/>
      <c r="I1509" s="245"/>
      <c r="J1509" s="245"/>
      <c r="K1509" s="245"/>
      <c r="L1509" s="245"/>
      <c r="N1509" s="579"/>
      <c r="O1509" s="579"/>
      <c r="P1509" s="579"/>
      <c r="Q1509" s="66"/>
      <c r="R1509" s="66"/>
      <c r="S1509" s="66"/>
    </row>
    <row r="1510" spans="2:19" x14ac:dyDescent="0.2">
      <c r="B1510" s="245"/>
      <c r="C1510" s="245"/>
      <c r="D1510" s="245"/>
      <c r="E1510" s="245"/>
      <c r="F1510" s="245"/>
      <c r="G1510" s="579"/>
      <c r="H1510" s="245"/>
      <c r="I1510" s="245"/>
      <c r="J1510" s="245"/>
      <c r="K1510" s="245"/>
      <c r="L1510" s="245"/>
      <c r="N1510" s="579"/>
      <c r="O1510" s="579"/>
      <c r="P1510" s="579"/>
      <c r="Q1510" s="66"/>
      <c r="R1510" s="66"/>
      <c r="S1510" s="66"/>
    </row>
    <row r="1511" spans="2:19" x14ac:dyDescent="0.2">
      <c r="B1511" s="245"/>
      <c r="C1511" s="245"/>
      <c r="D1511" s="245"/>
      <c r="E1511" s="245"/>
      <c r="F1511" s="245"/>
      <c r="G1511" s="579"/>
      <c r="H1511" s="245"/>
      <c r="I1511" s="245"/>
      <c r="J1511" s="245"/>
      <c r="K1511" s="245"/>
      <c r="L1511" s="245"/>
      <c r="N1511" s="579"/>
      <c r="O1511" s="579"/>
      <c r="P1511" s="579"/>
      <c r="Q1511" s="66"/>
      <c r="R1511" s="66"/>
      <c r="S1511" s="66"/>
    </row>
    <row r="1512" spans="2:19" x14ac:dyDescent="0.2">
      <c r="B1512" s="245"/>
      <c r="C1512" s="245"/>
      <c r="D1512" s="245"/>
      <c r="E1512" s="245"/>
      <c r="F1512" s="245"/>
      <c r="G1512" s="579"/>
      <c r="H1512" s="245"/>
      <c r="I1512" s="245"/>
      <c r="J1512" s="245"/>
      <c r="K1512" s="245"/>
      <c r="L1512" s="245"/>
      <c r="N1512" s="579"/>
      <c r="O1512" s="579"/>
      <c r="P1512" s="579"/>
      <c r="Q1512" s="66"/>
      <c r="R1512" s="66"/>
      <c r="S1512" s="66"/>
    </row>
    <row r="1513" spans="2:19" x14ac:dyDescent="0.2">
      <c r="B1513" s="245"/>
      <c r="C1513" s="245"/>
      <c r="D1513" s="245"/>
      <c r="E1513" s="245"/>
      <c r="F1513" s="245"/>
      <c r="G1513" s="579"/>
      <c r="H1513" s="245"/>
      <c r="I1513" s="245"/>
      <c r="J1513" s="245"/>
      <c r="K1513" s="245"/>
      <c r="L1513" s="245"/>
      <c r="N1513" s="579"/>
      <c r="O1513" s="579"/>
      <c r="P1513" s="579"/>
      <c r="Q1513" s="66"/>
      <c r="R1513" s="66"/>
      <c r="S1513" s="66"/>
    </row>
    <row r="1514" spans="2:19" x14ac:dyDescent="0.2">
      <c r="B1514" s="245"/>
      <c r="C1514" s="245"/>
      <c r="D1514" s="245"/>
      <c r="E1514" s="245"/>
      <c r="F1514" s="245"/>
      <c r="G1514" s="579"/>
      <c r="H1514" s="245"/>
      <c r="I1514" s="245"/>
      <c r="J1514" s="245"/>
      <c r="K1514" s="245"/>
      <c r="L1514" s="245"/>
      <c r="N1514" s="579"/>
      <c r="O1514" s="579"/>
      <c r="P1514" s="579"/>
      <c r="Q1514" s="66"/>
      <c r="R1514" s="66"/>
      <c r="S1514" s="66"/>
    </row>
    <row r="1515" spans="2:19" x14ac:dyDescent="0.2">
      <c r="B1515" s="245"/>
      <c r="C1515" s="245"/>
      <c r="D1515" s="245"/>
      <c r="E1515" s="245"/>
      <c r="F1515" s="245"/>
      <c r="G1515" s="579"/>
      <c r="H1515" s="245"/>
      <c r="I1515" s="245"/>
      <c r="J1515" s="245"/>
      <c r="K1515" s="245"/>
      <c r="L1515" s="245"/>
      <c r="N1515" s="579"/>
      <c r="O1515" s="579"/>
      <c r="P1515" s="579"/>
      <c r="Q1515" s="66"/>
      <c r="R1515" s="66"/>
      <c r="S1515" s="66"/>
    </row>
    <row r="1516" spans="2:19" x14ac:dyDescent="0.2">
      <c r="B1516" s="245"/>
      <c r="C1516" s="245"/>
      <c r="D1516" s="245"/>
      <c r="E1516" s="245"/>
      <c r="F1516" s="245"/>
      <c r="G1516" s="579"/>
      <c r="H1516" s="245"/>
      <c r="I1516" s="245"/>
      <c r="J1516" s="245"/>
      <c r="K1516" s="245"/>
      <c r="L1516" s="245"/>
      <c r="N1516" s="579"/>
      <c r="O1516" s="579"/>
      <c r="P1516" s="579"/>
      <c r="Q1516" s="66"/>
      <c r="R1516" s="66"/>
      <c r="S1516" s="66"/>
    </row>
    <row r="1517" spans="2:19" x14ac:dyDescent="0.2">
      <c r="B1517" s="245"/>
      <c r="C1517" s="245"/>
      <c r="D1517" s="245"/>
      <c r="E1517" s="245"/>
      <c r="F1517" s="245"/>
      <c r="G1517" s="579"/>
      <c r="H1517" s="245"/>
      <c r="I1517" s="245"/>
      <c r="J1517" s="245"/>
      <c r="K1517" s="245"/>
      <c r="L1517" s="245"/>
      <c r="N1517" s="579"/>
      <c r="O1517" s="579"/>
      <c r="P1517" s="579"/>
      <c r="Q1517" s="66"/>
      <c r="R1517" s="66"/>
      <c r="S1517" s="66"/>
    </row>
    <row r="1518" spans="2:19" x14ac:dyDescent="0.2">
      <c r="B1518" s="245"/>
      <c r="C1518" s="245"/>
      <c r="D1518" s="245"/>
      <c r="E1518" s="245"/>
      <c r="F1518" s="245"/>
      <c r="G1518" s="579"/>
      <c r="H1518" s="245"/>
      <c r="I1518" s="245"/>
      <c r="J1518" s="245"/>
      <c r="K1518" s="245"/>
      <c r="L1518" s="245"/>
      <c r="N1518" s="579"/>
      <c r="O1518" s="579"/>
      <c r="P1518" s="579"/>
      <c r="Q1518" s="66"/>
      <c r="R1518" s="66"/>
      <c r="S1518" s="66"/>
    </row>
    <row r="1519" spans="2:19" x14ac:dyDescent="0.2">
      <c r="B1519" s="245"/>
      <c r="C1519" s="245"/>
      <c r="D1519" s="245"/>
      <c r="E1519" s="245"/>
      <c r="F1519" s="245"/>
      <c r="G1519" s="579"/>
      <c r="H1519" s="245"/>
      <c r="I1519" s="245"/>
      <c r="J1519" s="245"/>
      <c r="K1519" s="245"/>
      <c r="L1519" s="245"/>
      <c r="N1519" s="579"/>
      <c r="O1519" s="579"/>
      <c r="P1519" s="579"/>
      <c r="Q1519" s="66"/>
      <c r="R1519" s="66"/>
      <c r="S1519" s="66"/>
    </row>
    <row r="1520" spans="2:19" x14ac:dyDescent="0.2">
      <c r="B1520" s="245"/>
      <c r="C1520" s="245"/>
      <c r="D1520" s="245"/>
      <c r="E1520" s="245"/>
      <c r="F1520" s="245"/>
      <c r="G1520" s="579"/>
      <c r="H1520" s="245"/>
      <c r="I1520" s="245"/>
      <c r="J1520" s="245"/>
      <c r="K1520" s="245"/>
      <c r="L1520" s="245"/>
      <c r="N1520" s="579"/>
      <c r="O1520" s="579"/>
      <c r="P1520" s="579"/>
      <c r="Q1520" s="66"/>
      <c r="R1520" s="66"/>
      <c r="S1520" s="66"/>
    </row>
    <row r="1521" spans="2:19" x14ac:dyDescent="0.2">
      <c r="B1521" s="245"/>
      <c r="C1521" s="245"/>
      <c r="D1521" s="245"/>
      <c r="E1521" s="245"/>
      <c r="F1521" s="245"/>
      <c r="G1521" s="579"/>
      <c r="H1521" s="245"/>
      <c r="I1521" s="245"/>
      <c r="J1521" s="245"/>
      <c r="K1521" s="245"/>
      <c r="L1521" s="245"/>
      <c r="N1521" s="579"/>
      <c r="O1521" s="579"/>
      <c r="P1521" s="579"/>
      <c r="Q1521" s="66"/>
      <c r="R1521" s="66"/>
      <c r="S1521" s="66"/>
    </row>
    <row r="1522" spans="2:19" x14ac:dyDescent="0.2">
      <c r="B1522" s="245"/>
      <c r="C1522" s="245"/>
      <c r="D1522" s="245"/>
      <c r="E1522" s="245"/>
      <c r="F1522" s="245"/>
      <c r="G1522" s="579"/>
      <c r="H1522" s="245"/>
      <c r="I1522" s="245"/>
      <c r="J1522" s="245"/>
      <c r="K1522" s="245"/>
      <c r="L1522" s="245"/>
      <c r="N1522" s="579"/>
      <c r="O1522" s="579"/>
      <c r="P1522" s="579"/>
      <c r="Q1522" s="66"/>
      <c r="R1522" s="66"/>
      <c r="S1522" s="66"/>
    </row>
    <row r="1523" spans="2:19" x14ac:dyDescent="0.2">
      <c r="B1523" s="245"/>
      <c r="C1523" s="245"/>
      <c r="D1523" s="245"/>
      <c r="E1523" s="245"/>
      <c r="F1523" s="245"/>
      <c r="G1523" s="579"/>
      <c r="H1523" s="245"/>
      <c r="I1523" s="245"/>
      <c r="J1523" s="245"/>
      <c r="K1523" s="245"/>
      <c r="L1523" s="245"/>
      <c r="N1523" s="579"/>
      <c r="O1523" s="579"/>
      <c r="P1523" s="579"/>
      <c r="Q1523" s="66"/>
      <c r="R1523" s="66"/>
      <c r="S1523" s="66"/>
    </row>
    <row r="1524" spans="2:19" x14ac:dyDescent="0.2">
      <c r="B1524" s="245"/>
      <c r="C1524" s="245"/>
      <c r="D1524" s="245"/>
      <c r="E1524" s="245"/>
      <c r="F1524" s="245"/>
      <c r="G1524" s="579"/>
      <c r="H1524" s="245"/>
      <c r="I1524" s="245"/>
      <c r="J1524" s="245"/>
      <c r="K1524" s="245"/>
      <c r="L1524" s="245"/>
      <c r="N1524" s="579"/>
      <c r="O1524" s="579"/>
      <c r="P1524" s="579"/>
      <c r="Q1524" s="66"/>
      <c r="R1524" s="66"/>
      <c r="S1524" s="66"/>
    </row>
    <row r="1525" spans="2:19" x14ac:dyDescent="0.2">
      <c r="B1525" s="245"/>
      <c r="C1525" s="245"/>
      <c r="D1525" s="245"/>
      <c r="E1525" s="245"/>
      <c r="F1525" s="245"/>
      <c r="G1525" s="579"/>
      <c r="H1525" s="245"/>
      <c r="I1525" s="245"/>
      <c r="J1525" s="245"/>
      <c r="K1525" s="245"/>
      <c r="L1525" s="245"/>
      <c r="N1525" s="579"/>
      <c r="O1525" s="579"/>
      <c r="P1525" s="579"/>
      <c r="Q1525" s="66"/>
      <c r="R1525" s="66"/>
      <c r="S1525" s="66"/>
    </row>
    <row r="1526" spans="2:19" x14ac:dyDescent="0.2">
      <c r="B1526" s="245"/>
      <c r="C1526" s="245"/>
      <c r="D1526" s="245"/>
      <c r="E1526" s="245"/>
      <c r="F1526" s="245"/>
      <c r="G1526" s="579"/>
      <c r="H1526" s="245"/>
      <c r="I1526" s="245"/>
      <c r="J1526" s="245"/>
      <c r="K1526" s="245"/>
      <c r="L1526" s="245"/>
      <c r="N1526" s="579"/>
      <c r="O1526" s="579"/>
      <c r="P1526" s="579"/>
      <c r="Q1526" s="66"/>
      <c r="R1526" s="66"/>
      <c r="S1526" s="66"/>
    </row>
    <row r="1527" spans="2:19" x14ac:dyDescent="0.2">
      <c r="B1527" s="245"/>
      <c r="C1527" s="245"/>
      <c r="D1527" s="245"/>
      <c r="E1527" s="245"/>
      <c r="F1527" s="245"/>
      <c r="G1527" s="579"/>
      <c r="H1527" s="245"/>
      <c r="I1527" s="245"/>
      <c r="J1527" s="245"/>
      <c r="K1527" s="245"/>
      <c r="L1527" s="245"/>
      <c r="N1527" s="579"/>
      <c r="O1527" s="579"/>
      <c r="P1527" s="579"/>
      <c r="Q1527" s="66"/>
      <c r="R1527" s="66"/>
      <c r="S1527" s="66"/>
    </row>
    <row r="1528" spans="2:19" x14ac:dyDescent="0.2">
      <c r="B1528" s="245"/>
      <c r="C1528" s="245"/>
      <c r="D1528" s="245"/>
      <c r="E1528" s="245"/>
      <c r="F1528" s="245"/>
      <c r="G1528" s="579"/>
      <c r="H1528" s="245"/>
      <c r="I1528" s="245"/>
      <c r="J1528" s="245"/>
      <c r="K1528" s="245"/>
      <c r="L1528" s="245"/>
      <c r="N1528" s="579"/>
      <c r="O1528" s="579"/>
      <c r="P1528" s="579"/>
      <c r="Q1528" s="66"/>
      <c r="R1528" s="66"/>
      <c r="S1528" s="66"/>
    </row>
    <row r="1529" spans="2:19" x14ac:dyDescent="0.2">
      <c r="B1529" s="245"/>
      <c r="C1529" s="245"/>
      <c r="D1529" s="245"/>
      <c r="E1529" s="245"/>
      <c r="F1529" s="245"/>
      <c r="G1529" s="579"/>
      <c r="H1529" s="245"/>
      <c r="I1529" s="245"/>
      <c r="J1529" s="245"/>
      <c r="K1529" s="245"/>
      <c r="L1529" s="245"/>
      <c r="N1529" s="579"/>
      <c r="O1529" s="579"/>
      <c r="P1529" s="579"/>
      <c r="Q1529" s="66"/>
      <c r="R1529" s="66"/>
      <c r="S1529" s="66"/>
    </row>
    <row r="1530" spans="2:19" x14ac:dyDescent="0.2">
      <c r="B1530" s="245"/>
      <c r="C1530" s="245"/>
      <c r="D1530" s="245"/>
      <c r="E1530" s="245"/>
      <c r="F1530" s="245"/>
      <c r="G1530" s="579"/>
      <c r="H1530" s="245"/>
      <c r="I1530" s="245"/>
      <c r="J1530" s="245"/>
      <c r="K1530" s="245"/>
      <c r="L1530" s="245"/>
      <c r="N1530" s="579"/>
      <c r="O1530" s="579"/>
      <c r="P1530" s="579"/>
      <c r="Q1530" s="66"/>
      <c r="R1530" s="66"/>
      <c r="S1530" s="66"/>
    </row>
    <row r="1531" spans="2:19" x14ac:dyDescent="0.2">
      <c r="B1531" s="245"/>
      <c r="C1531" s="245"/>
      <c r="D1531" s="245"/>
      <c r="E1531" s="245"/>
      <c r="F1531" s="245"/>
      <c r="G1531" s="579"/>
      <c r="H1531" s="245"/>
      <c r="I1531" s="245"/>
      <c r="J1531" s="245"/>
      <c r="K1531" s="245"/>
      <c r="L1531" s="245"/>
      <c r="N1531" s="579"/>
      <c r="O1531" s="579"/>
      <c r="P1531" s="579"/>
      <c r="Q1531" s="66"/>
      <c r="R1531" s="66"/>
      <c r="S1531" s="66"/>
    </row>
    <row r="1532" spans="2:19" x14ac:dyDescent="0.2">
      <c r="B1532" s="245"/>
      <c r="C1532" s="245"/>
      <c r="D1532" s="245"/>
      <c r="E1532" s="245"/>
      <c r="F1532" s="245"/>
      <c r="G1532" s="579"/>
      <c r="H1532" s="245"/>
      <c r="I1532" s="245"/>
      <c r="J1532" s="245"/>
      <c r="K1532" s="245"/>
      <c r="L1532" s="245"/>
      <c r="N1532" s="579"/>
      <c r="O1532" s="579"/>
      <c r="P1532" s="579"/>
      <c r="Q1532" s="66"/>
      <c r="R1532" s="66"/>
      <c r="S1532" s="66"/>
    </row>
    <row r="1533" spans="2:19" x14ac:dyDescent="0.2">
      <c r="B1533" s="245"/>
      <c r="C1533" s="245"/>
      <c r="D1533" s="245"/>
      <c r="E1533" s="245"/>
      <c r="F1533" s="245"/>
      <c r="G1533" s="579"/>
      <c r="H1533" s="245"/>
      <c r="I1533" s="245"/>
      <c r="J1533" s="245"/>
      <c r="K1533" s="245"/>
      <c r="L1533" s="245"/>
      <c r="N1533" s="579"/>
      <c r="O1533" s="579"/>
      <c r="P1533" s="579"/>
      <c r="Q1533" s="66"/>
      <c r="R1533" s="66"/>
      <c r="S1533" s="66"/>
    </row>
    <row r="1534" spans="2:19" x14ac:dyDescent="0.2">
      <c r="B1534" s="245"/>
      <c r="C1534" s="245"/>
      <c r="D1534" s="245"/>
      <c r="E1534" s="245"/>
      <c r="F1534" s="245"/>
      <c r="G1534" s="579"/>
      <c r="H1534" s="245"/>
      <c r="I1534" s="245"/>
      <c r="J1534" s="245"/>
      <c r="K1534" s="245"/>
      <c r="L1534" s="245"/>
      <c r="N1534" s="579"/>
      <c r="O1534" s="579"/>
      <c r="P1534" s="579"/>
      <c r="Q1534" s="66"/>
      <c r="R1534" s="66"/>
      <c r="S1534" s="66"/>
    </row>
    <row r="1535" spans="2:19" x14ac:dyDescent="0.2">
      <c r="B1535" s="245"/>
      <c r="C1535" s="245"/>
      <c r="D1535" s="245"/>
      <c r="E1535" s="245"/>
      <c r="F1535" s="245"/>
      <c r="G1535" s="579"/>
      <c r="H1535" s="245"/>
      <c r="I1535" s="245"/>
      <c r="J1535" s="245"/>
      <c r="K1535" s="245"/>
      <c r="L1535" s="245"/>
      <c r="N1535" s="579"/>
      <c r="O1535" s="579"/>
      <c r="P1535" s="579"/>
      <c r="Q1535" s="66"/>
      <c r="R1535" s="66"/>
      <c r="S1535" s="66"/>
    </row>
    <row r="1536" spans="2:19" x14ac:dyDescent="0.2">
      <c r="B1536" s="245"/>
      <c r="C1536" s="245"/>
      <c r="D1536" s="245"/>
      <c r="E1536" s="245"/>
      <c r="F1536" s="245"/>
      <c r="G1536" s="579"/>
      <c r="H1536" s="245"/>
      <c r="I1536" s="245"/>
      <c r="J1536" s="245"/>
      <c r="K1536" s="245"/>
      <c r="L1536" s="245"/>
      <c r="N1536" s="579"/>
      <c r="O1536" s="579"/>
      <c r="P1536" s="579"/>
      <c r="Q1536" s="66"/>
      <c r="R1536" s="66"/>
      <c r="S1536" s="66"/>
    </row>
    <row r="1537" spans="2:19" x14ac:dyDescent="0.2">
      <c r="B1537" s="245"/>
      <c r="C1537" s="245"/>
      <c r="D1537" s="245"/>
      <c r="E1537" s="245"/>
      <c r="F1537" s="245"/>
      <c r="G1537" s="579"/>
      <c r="H1537" s="245"/>
      <c r="I1537" s="245"/>
      <c r="J1537" s="245"/>
      <c r="K1537" s="245"/>
      <c r="L1537" s="245"/>
      <c r="N1537" s="579"/>
      <c r="O1537" s="579"/>
      <c r="P1537" s="579"/>
      <c r="Q1537" s="66"/>
      <c r="R1537" s="66"/>
      <c r="S1537" s="66"/>
    </row>
    <row r="1538" spans="2:19" x14ac:dyDescent="0.2">
      <c r="B1538" s="245"/>
      <c r="C1538" s="245"/>
      <c r="D1538" s="245"/>
      <c r="E1538" s="245"/>
      <c r="F1538" s="245"/>
      <c r="G1538" s="579"/>
      <c r="H1538" s="245"/>
      <c r="I1538" s="245"/>
      <c r="J1538" s="245"/>
      <c r="K1538" s="245"/>
      <c r="L1538" s="245"/>
      <c r="N1538" s="579"/>
      <c r="O1538" s="579"/>
      <c r="P1538" s="579"/>
      <c r="Q1538" s="66"/>
      <c r="R1538" s="66"/>
      <c r="S1538" s="66"/>
    </row>
    <row r="1539" spans="2:19" x14ac:dyDescent="0.2">
      <c r="B1539" s="245"/>
      <c r="C1539" s="245"/>
      <c r="D1539" s="245"/>
      <c r="E1539" s="245"/>
      <c r="F1539" s="245"/>
      <c r="G1539" s="579"/>
      <c r="H1539" s="245"/>
      <c r="I1539" s="245"/>
      <c r="J1539" s="245"/>
      <c r="K1539" s="245"/>
      <c r="L1539" s="245"/>
      <c r="N1539" s="579"/>
      <c r="O1539" s="579"/>
      <c r="P1539" s="579"/>
      <c r="Q1539" s="66"/>
      <c r="R1539" s="66"/>
      <c r="S1539" s="66"/>
    </row>
    <row r="1540" spans="2:19" x14ac:dyDescent="0.2">
      <c r="B1540" s="245"/>
      <c r="C1540" s="245"/>
      <c r="D1540" s="245"/>
      <c r="E1540" s="245"/>
      <c r="F1540" s="245"/>
      <c r="G1540" s="579"/>
      <c r="H1540" s="245"/>
      <c r="I1540" s="245"/>
      <c r="J1540" s="245"/>
      <c r="K1540" s="245"/>
      <c r="L1540" s="245"/>
      <c r="N1540" s="579"/>
      <c r="O1540" s="579"/>
      <c r="P1540" s="579"/>
      <c r="Q1540" s="66"/>
      <c r="R1540" s="66"/>
      <c r="S1540" s="66"/>
    </row>
    <row r="1541" spans="2:19" x14ac:dyDescent="0.2">
      <c r="B1541" s="245"/>
      <c r="C1541" s="245"/>
      <c r="D1541" s="245"/>
      <c r="E1541" s="245"/>
      <c r="F1541" s="245"/>
      <c r="G1541" s="579"/>
      <c r="H1541" s="245"/>
      <c r="I1541" s="245"/>
      <c r="J1541" s="245"/>
      <c r="K1541" s="245"/>
      <c r="L1541" s="245"/>
      <c r="N1541" s="579"/>
      <c r="O1541" s="579"/>
      <c r="P1541" s="579"/>
      <c r="Q1541" s="66"/>
      <c r="R1541" s="66"/>
      <c r="S1541" s="66"/>
    </row>
    <row r="1542" spans="2:19" x14ac:dyDescent="0.2">
      <c r="B1542" s="245"/>
      <c r="C1542" s="245"/>
      <c r="D1542" s="245"/>
      <c r="E1542" s="245"/>
      <c r="F1542" s="245"/>
      <c r="G1542" s="579"/>
      <c r="H1542" s="245"/>
      <c r="I1542" s="245"/>
      <c r="J1542" s="245"/>
      <c r="K1542" s="245"/>
      <c r="L1542" s="245"/>
      <c r="N1542" s="579"/>
      <c r="O1542" s="579"/>
      <c r="P1542" s="579"/>
      <c r="Q1542" s="66"/>
      <c r="R1542" s="66"/>
      <c r="S1542" s="66"/>
    </row>
    <row r="1543" spans="2:19" x14ac:dyDescent="0.2">
      <c r="B1543" s="245"/>
      <c r="C1543" s="245"/>
      <c r="D1543" s="245"/>
      <c r="E1543" s="245"/>
      <c r="F1543" s="245"/>
      <c r="G1543" s="579"/>
      <c r="H1543" s="245"/>
      <c r="I1543" s="245"/>
      <c r="J1543" s="245"/>
      <c r="K1543" s="245"/>
      <c r="L1543" s="245"/>
      <c r="N1543" s="579"/>
      <c r="O1543" s="579"/>
      <c r="P1543" s="579"/>
      <c r="Q1543" s="66"/>
      <c r="R1543" s="66"/>
      <c r="S1543" s="66"/>
    </row>
    <row r="1544" spans="2:19" x14ac:dyDescent="0.2">
      <c r="B1544" s="245"/>
      <c r="C1544" s="245"/>
      <c r="D1544" s="245"/>
      <c r="E1544" s="245"/>
      <c r="F1544" s="245"/>
      <c r="G1544" s="579"/>
      <c r="H1544" s="245"/>
      <c r="I1544" s="245"/>
      <c r="J1544" s="245"/>
      <c r="K1544" s="245"/>
      <c r="L1544" s="245"/>
      <c r="N1544" s="579"/>
      <c r="O1544" s="579"/>
      <c r="P1544" s="579"/>
      <c r="Q1544" s="66"/>
      <c r="R1544" s="66"/>
      <c r="S1544" s="66"/>
    </row>
    <row r="1545" spans="2:19" x14ac:dyDescent="0.2">
      <c r="B1545" s="245"/>
      <c r="C1545" s="245"/>
      <c r="D1545" s="245"/>
      <c r="E1545" s="245"/>
      <c r="F1545" s="245"/>
      <c r="G1545" s="579"/>
      <c r="H1545" s="245"/>
      <c r="I1545" s="245"/>
      <c r="J1545" s="245"/>
      <c r="K1545" s="245"/>
      <c r="L1545" s="245"/>
      <c r="N1545" s="579"/>
      <c r="O1545" s="579"/>
      <c r="P1545" s="579"/>
      <c r="Q1545" s="66"/>
      <c r="R1545" s="66"/>
      <c r="S1545" s="66"/>
    </row>
    <row r="1546" spans="2:19" x14ac:dyDescent="0.2">
      <c r="B1546" s="245"/>
      <c r="C1546" s="245"/>
      <c r="D1546" s="245"/>
      <c r="E1546" s="245"/>
      <c r="F1546" s="245"/>
      <c r="G1546" s="579"/>
      <c r="H1546" s="245"/>
      <c r="I1546" s="245"/>
      <c r="J1546" s="245"/>
      <c r="K1546" s="245"/>
      <c r="L1546" s="245"/>
      <c r="N1546" s="579"/>
      <c r="O1546" s="579"/>
      <c r="P1546" s="579"/>
      <c r="Q1546" s="66"/>
      <c r="R1546" s="66"/>
      <c r="S1546" s="66"/>
    </row>
    <row r="1547" spans="2:19" x14ac:dyDescent="0.2">
      <c r="B1547" s="245"/>
      <c r="C1547" s="245"/>
      <c r="D1547" s="245"/>
      <c r="E1547" s="245"/>
      <c r="F1547" s="245"/>
      <c r="G1547" s="579"/>
      <c r="H1547" s="245"/>
      <c r="I1547" s="245"/>
      <c r="J1547" s="245"/>
      <c r="K1547" s="245"/>
      <c r="L1547" s="245"/>
      <c r="N1547" s="579"/>
      <c r="O1547" s="579"/>
      <c r="P1547" s="579"/>
      <c r="Q1547" s="66"/>
      <c r="R1547" s="66"/>
      <c r="S1547" s="66"/>
    </row>
    <row r="1548" spans="2:19" x14ac:dyDescent="0.2">
      <c r="B1548" s="245"/>
      <c r="C1548" s="245"/>
      <c r="D1548" s="245"/>
      <c r="E1548" s="245"/>
      <c r="F1548" s="245"/>
      <c r="G1548" s="579"/>
      <c r="H1548" s="245"/>
      <c r="I1548" s="245"/>
      <c r="J1548" s="245"/>
      <c r="K1548" s="245"/>
      <c r="L1548" s="245"/>
      <c r="N1548" s="579"/>
      <c r="O1548" s="579"/>
      <c r="P1548" s="579"/>
      <c r="Q1548" s="66"/>
      <c r="R1548" s="66"/>
      <c r="S1548" s="66"/>
    </row>
    <row r="1549" spans="2:19" x14ac:dyDescent="0.2">
      <c r="B1549" s="245"/>
      <c r="C1549" s="245"/>
      <c r="D1549" s="245"/>
      <c r="E1549" s="245"/>
      <c r="F1549" s="245"/>
      <c r="G1549" s="579"/>
      <c r="H1549" s="245"/>
      <c r="I1549" s="245"/>
      <c r="J1549" s="245"/>
      <c r="K1549" s="245"/>
      <c r="L1549" s="245"/>
      <c r="N1549" s="579"/>
      <c r="O1549" s="579"/>
      <c r="P1549" s="579"/>
      <c r="Q1549" s="66"/>
      <c r="R1549" s="66"/>
      <c r="S1549" s="66"/>
    </row>
    <row r="1550" spans="2:19" x14ac:dyDescent="0.2">
      <c r="B1550" s="245"/>
      <c r="C1550" s="245"/>
      <c r="D1550" s="245"/>
      <c r="E1550" s="245"/>
      <c r="F1550" s="245"/>
      <c r="G1550" s="579"/>
      <c r="H1550" s="245"/>
      <c r="I1550" s="245"/>
      <c r="J1550" s="245"/>
      <c r="K1550" s="245"/>
      <c r="L1550" s="245"/>
      <c r="N1550" s="579"/>
      <c r="O1550" s="579"/>
      <c r="P1550" s="579"/>
      <c r="Q1550" s="66"/>
      <c r="R1550" s="66"/>
      <c r="S1550" s="66"/>
    </row>
    <row r="1551" spans="2:19" x14ac:dyDescent="0.2">
      <c r="B1551" s="245"/>
      <c r="C1551" s="245"/>
      <c r="D1551" s="245"/>
      <c r="E1551" s="245"/>
      <c r="F1551" s="245"/>
      <c r="G1551" s="579"/>
      <c r="H1551" s="245"/>
      <c r="I1551" s="245"/>
      <c r="J1551" s="245"/>
      <c r="K1551" s="245"/>
      <c r="L1551" s="245"/>
      <c r="N1551" s="579"/>
      <c r="O1551" s="579"/>
      <c r="P1551" s="579"/>
      <c r="Q1551" s="66"/>
      <c r="R1551" s="66"/>
      <c r="S1551" s="66"/>
    </row>
    <row r="1552" spans="2:19" x14ac:dyDescent="0.2">
      <c r="B1552" s="245"/>
      <c r="C1552" s="245"/>
      <c r="D1552" s="245"/>
      <c r="E1552" s="245"/>
      <c r="F1552" s="245"/>
      <c r="G1552" s="579"/>
      <c r="H1552" s="245"/>
      <c r="I1552" s="245"/>
      <c r="J1552" s="245"/>
      <c r="K1552" s="245"/>
      <c r="L1552" s="245"/>
      <c r="N1552" s="579"/>
      <c r="O1552" s="579"/>
      <c r="P1552" s="579"/>
      <c r="Q1552" s="66"/>
      <c r="R1552" s="66"/>
      <c r="S1552" s="66"/>
    </row>
    <row r="1553" spans="2:19" x14ac:dyDescent="0.2">
      <c r="B1553" s="245"/>
      <c r="C1553" s="245"/>
      <c r="D1553" s="245"/>
      <c r="E1553" s="245"/>
      <c r="F1553" s="245"/>
      <c r="G1553" s="579"/>
      <c r="H1553" s="245"/>
      <c r="I1553" s="245"/>
      <c r="J1553" s="245"/>
      <c r="K1553" s="245"/>
      <c r="L1553" s="245"/>
      <c r="N1553" s="579"/>
      <c r="O1553" s="579"/>
      <c r="P1553" s="579"/>
      <c r="Q1553" s="66"/>
      <c r="R1553" s="66"/>
      <c r="S1553" s="66"/>
    </row>
    <row r="1554" spans="2:19" x14ac:dyDescent="0.2">
      <c r="B1554" s="245"/>
      <c r="C1554" s="245"/>
      <c r="D1554" s="245"/>
      <c r="E1554" s="245"/>
      <c r="F1554" s="245"/>
      <c r="G1554" s="579"/>
      <c r="H1554" s="245"/>
      <c r="I1554" s="245"/>
      <c r="J1554" s="245"/>
      <c r="K1554" s="245"/>
      <c r="L1554" s="245"/>
      <c r="N1554" s="579"/>
      <c r="O1554" s="579"/>
      <c r="P1554" s="579"/>
      <c r="Q1554" s="66"/>
      <c r="R1554" s="66"/>
      <c r="S1554" s="66"/>
    </row>
    <row r="1555" spans="2:19" x14ac:dyDescent="0.2">
      <c r="B1555" s="245"/>
      <c r="C1555" s="245"/>
      <c r="D1555" s="245"/>
      <c r="E1555" s="245"/>
      <c r="F1555" s="245"/>
      <c r="G1555" s="579"/>
      <c r="H1555" s="245"/>
      <c r="I1555" s="245"/>
      <c r="J1555" s="245"/>
      <c r="K1555" s="245"/>
      <c r="L1555" s="245"/>
      <c r="N1555" s="579"/>
      <c r="O1555" s="579"/>
      <c r="P1555" s="579"/>
      <c r="Q1555" s="66"/>
      <c r="R1555" s="66"/>
      <c r="S1555" s="66"/>
    </row>
    <row r="1556" spans="2:19" x14ac:dyDescent="0.2">
      <c r="B1556" s="245"/>
      <c r="C1556" s="245"/>
      <c r="D1556" s="245"/>
      <c r="E1556" s="245"/>
      <c r="F1556" s="245"/>
      <c r="G1556" s="579"/>
      <c r="H1556" s="245"/>
      <c r="I1556" s="245"/>
      <c r="J1556" s="245"/>
      <c r="K1556" s="245"/>
      <c r="L1556" s="245"/>
      <c r="N1556" s="579"/>
      <c r="O1556" s="579"/>
      <c r="P1556" s="579"/>
      <c r="Q1556" s="66"/>
      <c r="R1556" s="66"/>
      <c r="S1556" s="66"/>
    </row>
    <row r="1557" spans="2:19" x14ac:dyDescent="0.2">
      <c r="B1557" s="245"/>
      <c r="C1557" s="245"/>
      <c r="D1557" s="245"/>
      <c r="E1557" s="245"/>
      <c r="F1557" s="245"/>
      <c r="G1557" s="579"/>
      <c r="H1557" s="245"/>
      <c r="I1557" s="245"/>
      <c r="J1557" s="245"/>
      <c r="K1557" s="245"/>
      <c r="L1557" s="245"/>
      <c r="N1557" s="579"/>
      <c r="O1557" s="579"/>
      <c r="P1557" s="579"/>
      <c r="Q1557" s="66"/>
      <c r="R1557" s="66"/>
      <c r="S1557" s="66"/>
    </row>
    <row r="1558" spans="2:19" x14ac:dyDescent="0.2">
      <c r="B1558" s="245"/>
      <c r="C1558" s="245"/>
      <c r="D1558" s="245"/>
      <c r="E1558" s="245"/>
      <c r="F1558" s="245"/>
      <c r="G1558" s="579"/>
      <c r="H1558" s="245"/>
      <c r="I1558" s="245"/>
      <c r="J1558" s="245"/>
      <c r="K1558" s="245"/>
      <c r="L1558" s="245"/>
      <c r="N1558" s="579"/>
      <c r="O1558" s="579"/>
      <c r="P1558" s="579"/>
      <c r="Q1558" s="66"/>
      <c r="R1558" s="66"/>
      <c r="S1558" s="66"/>
    </row>
    <row r="1559" spans="2:19" x14ac:dyDescent="0.2">
      <c r="B1559" s="245"/>
      <c r="C1559" s="245"/>
      <c r="D1559" s="245"/>
      <c r="E1559" s="245"/>
      <c r="F1559" s="245"/>
      <c r="G1559" s="579"/>
      <c r="H1559" s="245"/>
      <c r="I1559" s="245"/>
      <c r="J1559" s="245"/>
      <c r="K1559" s="245"/>
      <c r="L1559" s="245"/>
      <c r="N1559" s="579"/>
      <c r="O1559" s="579"/>
      <c r="P1559" s="579"/>
      <c r="Q1559" s="66"/>
      <c r="R1559" s="66"/>
      <c r="S1559" s="66"/>
    </row>
    <row r="1560" spans="2:19" x14ac:dyDescent="0.2">
      <c r="B1560" s="245"/>
      <c r="C1560" s="245"/>
      <c r="D1560" s="245"/>
      <c r="E1560" s="245"/>
      <c r="F1560" s="245"/>
      <c r="G1560" s="579"/>
      <c r="H1560" s="245"/>
      <c r="I1560" s="245"/>
      <c r="J1560" s="245"/>
      <c r="K1560" s="245"/>
      <c r="L1560" s="245"/>
      <c r="N1560" s="579"/>
      <c r="O1560" s="579"/>
      <c r="P1560" s="579"/>
      <c r="Q1560" s="66"/>
      <c r="R1560" s="66"/>
      <c r="S1560" s="66"/>
    </row>
    <row r="1561" spans="2:19" x14ac:dyDescent="0.2">
      <c r="B1561" s="245"/>
      <c r="C1561" s="245"/>
      <c r="D1561" s="245"/>
      <c r="E1561" s="245"/>
      <c r="F1561" s="245"/>
      <c r="G1561" s="579"/>
      <c r="H1561" s="245"/>
      <c r="I1561" s="245"/>
      <c r="J1561" s="245"/>
      <c r="K1561" s="245"/>
      <c r="L1561" s="245"/>
      <c r="N1561" s="579"/>
      <c r="O1561" s="579"/>
      <c r="P1561" s="579"/>
      <c r="Q1561" s="66"/>
      <c r="R1561" s="66"/>
      <c r="S1561" s="66"/>
    </row>
    <row r="1562" spans="2:19" x14ac:dyDescent="0.2">
      <c r="B1562" s="245"/>
      <c r="C1562" s="245"/>
      <c r="D1562" s="245"/>
      <c r="E1562" s="245"/>
      <c r="F1562" s="245"/>
      <c r="G1562" s="579"/>
      <c r="H1562" s="245"/>
      <c r="I1562" s="245"/>
      <c r="J1562" s="245"/>
      <c r="K1562" s="245"/>
      <c r="L1562" s="245"/>
      <c r="N1562" s="579"/>
      <c r="O1562" s="579"/>
      <c r="P1562" s="579"/>
      <c r="Q1562" s="66"/>
      <c r="R1562" s="66"/>
      <c r="S1562" s="66"/>
    </row>
    <row r="1563" spans="2:19" x14ac:dyDescent="0.2">
      <c r="B1563" s="245"/>
      <c r="C1563" s="245"/>
      <c r="D1563" s="245"/>
      <c r="E1563" s="245"/>
      <c r="F1563" s="245"/>
      <c r="G1563" s="579"/>
      <c r="H1563" s="245"/>
      <c r="I1563" s="245"/>
      <c r="J1563" s="245"/>
      <c r="K1563" s="245"/>
      <c r="L1563" s="245"/>
      <c r="N1563" s="579"/>
      <c r="O1563" s="579"/>
      <c r="P1563" s="579"/>
      <c r="Q1563" s="66"/>
      <c r="R1563" s="66"/>
      <c r="S1563" s="66"/>
    </row>
    <row r="1564" spans="2:19" x14ac:dyDescent="0.2">
      <c r="B1564" s="245"/>
      <c r="C1564" s="245"/>
      <c r="D1564" s="245"/>
      <c r="E1564" s="245"/>
      <c r="F1564" s="245"/>
      <c r="G1564" s="579"/>
      <c r="H1564" s="245"/>
      <c r="I1564" s="245"/>
      <c r="J1564" s="245"/>
      <c r="K1564" s="245"/>
      <c r="L1564" s="245"/>
      <c r="N1564" s="579"/>
      <c r="O1564" s="579"/>
      <c r="P1564" s="579"/>
      <c r="Q1564" s="66"/>
      <c r="R1564" s="66"/>
      <c r="S1564" s="66"/>
    </row>
    <row r="1565" spans="2:19" x14ac:dyDescent="0.2">
      <c r="B1565" s="245"/>
      <c r="C1565" s="245"/>
      <c r="D1565" s="245"/>
      <c r="E1565" s="245"/>
      <c r="F1565" s="245"/>
      <c r="G1565" s="579"/>
      <c r="H1565" s="245"/>
      <c r="I1565" s="245"/>
      <c r="J1565" s="245"/>
      <c r="K1565" s="245"/>
      <c r="L1565" s="245"/>
      <c r="N1565" s="579"/>
      <c r="O1565" s="579"/>
      <c r="P1565" s="579"/>
      <c r="Q1565" s="66"/>
      <c r="R1565" s="66"/>
      <c r="S1565" s="66"/>
    </row>
    <row r="1566" spans="2:19" x14ac:dyDescent="0.2">
      <c r="B1566" s="245"/>
      <c r="C1566" s="245"/>
      <c r="D1566" s="245"/>
      <c r="E1566" s="245"/>
      <c r="F1566" s="245"/>
      <c r="G1566" s="579"/>
      <c r="H1566" s="245"/>
      <c r="I1566" s="245"/>
      <c r="J1566" s="245"/>
      <c r="K1566" s="245"/>
      <c r="L1566" s="245"/>
      <c r="N1566" s="579"/>
      <c r="O1566" s="579"/>
      <c r="P1566" s="579"/>
      <c r="Q1566" s="66"/>
      <c r="R1566" s="66"/>
      <c r="S1566" s="66"/>
    </row>
    <row r="1567" spans="2:19" x14ac:dyDescent="0.2">
      <c r="B1567" s="245"/>
      <c r="C1567" s="245"/>
      <c r="D1567" s="245"/>
      <c r="E1567" s="245"/>
      <c r="F1567" s="245"/>
      <c r="G1567" s="579"/>
      <c r="H1567" s="245"/>
      <c r="I1567" s="245"/>
      <c r="J1567" s="245"/>
      <c r="K1567" s="245"/>
      <c r="L1567" s="245"/>
      <c r="N1567" s="579"/>
      <c r="O1567" s="579"/>
      <c r="P1567" s="579"/>
      <c r="Q1567" s="66"/>
      <c r="R1567" s="66"/>
      <c r="S1567" s="66"/>
    </row>
    <row r="1568" spans="2:19" x14ac:dyDescent="0.2">
      <c r="B1568" s="245"/>
      <c r="C1568" s="245"/>
      <c r="D1568" s="245"/>
      <c r="E1568" s="245"/>
      <c r="F1568" s="245"/>
      <c r="G1568" s="579"/>
      <c r="H1568" s="245"/>
      <c r="I1568" s="245"/>
      <c r="J1568" s="245"/>
      <c r="K1568" s="245"/>
      <c r="L1568" s="245"/>
      <c r="N1568" s="579"/>
      <c r="O1568" s="579"/>
      <c r="P1568" s="579"/>
      <c r="Q1568" s="66"/>
      <c r="R1568" s="66"/>
      <c r="S1568" s="66"/>
    </row>
    <row r="1569" spans="2:19" x14ac:dyDescent="0.2">
      <c r="B1569" s="245"/>
      <c r="C1569" s="245"/>
      <c r="D1569" s="245"/>
      <c r="E1569" s="245"/>
      <c r="F1569" s="245"/>
      <c r="G1569" s="579"/>
      <c r="H1569" s="245"/>
      <c r="I1569" s="245"/>
      <c r="J1569" s="245"/>
      <c r="K1569" s="245"/>
      <c r="L1569" s="245"/>
      <c r="N1569" s="579"/>
      <c r="O1569" s="579"/>
      <c r="P1569" s="579"/>
      <c r="Q1569" s="66"/>
      <c r="R1569" s="66"/>
      <c r="S1569" s="66"/>
    </row>
    <row r="1570" spans="2:19" x14ac:dyDescent="0.2">
      <c r="B1570" s="245"/>
      <c r="C1570" s="245"/>
      <c r="D1570" s="245"/>
      <c r="E1570" s="245"/>
      <c r="F1570" s="245"/>
      <c r="G1570" s="579"/>
      <c r="H1570" s="245"/>
      <c r="I1570" s="245"/>
      <c r="J1570" s="245"/>
      <c r="K1570" s="245"/>
      <c r="L1570" s="245"/>
      <c r="N1570" s="579"/>
      <c r="O1570" s="579"/>
      <c r="P1570" s="579"/>
      <c r="Q1570" s="66"/>
      <c r="R1570" s="66"/>
      <c r="S1570" s="66"/>
    </row>
    <row r="1571" spans="2:19" x14ac:dyDescent="0.2">
      <c r="B1571" s="245"/>
      <c r="C1571" s="245"/>
      <c r="D1571" s="245"/>
      <c r="E1571" s="245"/>
      <c r="F1571" s="245"/>
      <c r="G1571" s="579"/>
      <c r="H1571" s="245"/>
      <c r="I1571" s="245"/>
      <c r="J1571" s="245"/>
      <c r="K1571" s="245"/>
      <c r="L1571" s="245"/>
      <c r="N1571" s="579"/>
      <c r="O1571" s="579"/>
      <c r="P1571" s="579"/>
      <c r="Q1571" s="66"/>
      <c r="R1571" s="66"/>
      <c r="S1571" s="66"/>
    </row>
    <row r="1572" spans="2:19" x14ac:dyDescent="0.2">
      <c r="B1572" s="245"/>
      <c r="C1572" s="245"/>
      <c r="D1572" s="245"/>
      <c r="E1572" s="245"/>
      <c r="F1572" s="245"/>
      <c r="G1572" s="579"/>
      <c r="H1572" s="245"/>
      <c r="I1572" s="245"/>
      <c r="J1572" s="245"/>
      <c r="K1572" s="245"/>
      <c r="L1572" s="245"/>
      <c r="N1572" s="579"/>
      <c r="O1572" s="579"/>
      <c r="P1572" s="579"/>
      <c r="Q1572" s="66"/>
      <c r="R1572" s="66"/>
      <c r="S1572" s="66"/>
    </row>
    <row r="1573" spans="2:19" x14ac:dyDescent="0.2">
      <c r="B1573" s="245"/>
      <c r="C1573" s="245"/>
      <c r="D1573" s="245"/>
      <c r="E1573" s="245"/>
      <c r="F1573" s="245"/>
      <c r="G1573" s="579"/>
      <c r="H1573" s="245"/>
      <c r="I1573" s="245"/>
      <c r="J1573" s="245"/>
      <c r="K1573" s="245"/>
      <c r="L1573" s="245"/>
      <c r="N1573" s="579"/>
      <c r="O1573" s="579"/>
      <c r="P1573" s="579"/>
      <c r="Q1573" s="66"/>
      <c r="R1573" s="66"/>
      <c r="S1573" s="66"/>
    </row>
    <row r="1574" spans="2:19" x14ac:dyDescent="0.2">
      <c r="B1574" s="245"/>
      <c r="C1574" s="245"/>
      <c r="D1574" s="245"/>
      <c r="E1574" s="245"/>
      <c r="F1574" s="245"/>
      <c r="G1574" s="579"/>
      <c r="H1574" s="245"/>
      <c r="I1574" s="245"/>
      <c r="J1574" s="245"/>
      <c r="K1574" s="245"/>
      <c r="L1574" s="245"/>
      <c r="N1574" s="579"/>
      <c r="O1574" s="579"/>
      <c r="P1574" s="579"/>
      <c r="Q1574" s="66"/>
      <c r="R1574" s="66"/>
      <c r="S1574" s="66"/>
    </row>
    <row r="1575" spans="2:19" x14ac:dyDescent="0.2">
      <c r="B1575" s="245"/>
      <c r="C1575" s="245"/>
      <c r="D1575" s="245"/>
      <c r="E1575" s="245"/>
      <c r="F1575" s="245"/>
      <c r="G1575" s="579"/>
      <c r="H1575" s="245"/>
      <c r="I1575" s="245"/>
      <c r="J1575" s="245"/>
      <c r="K1575" s="245"/>
      <c r="L1575" s="245"/>
      <c r="N1575" s="579"/>
      <c r="O1575" s="579"/>
      <c r="P1575" s="579"/>
      <c r="Q1575" s="66"/>
      <c r="R1575" s="66"/>
      <c r="S1575" s="66"/>
    </row>
    <row r="1576" spans="2:19" x14ac:dyDescent="0.2">
      <c r="B1576" s="245"/>
      <c r="C1576" s="245"/>
      <c r="D1576" s="245"/>
      <c r="E1576" s="245"/>
      <c r="F1576" s="245"/>
      <c r="G1576" s="579"/>
      <c r="H1576" s="245"/>
      <c r="I1576" s="245"/>
      <c r="J1576" s="245"/>
      <c r="K1576" s="245"/>
      <c r="L1576" s="245"/>
      <c r="N1576" s="579"/>
      <c r="O1576" s="579"/>
      <c r="P1576" s="579"/>
      <c r="Q1576" s="66"/>
      <c r="R1576" s="66"/>
      <c r="S1576" s="66"/>
    </row>
    <row r="1577" spans="2:19" x14ac:dyDescent="0.2">
      <c r="B1577" s="245"/>
      <c r="C1577" s="245"/>
      <c r="D1577" s="245"/>
      <c r="E1577" s="245"/>
      <c r="F1577" s="245"/>
      <c r="G1577" s="579"/>
      <c r="H1577" s="245"/>
      <c r="I1577" s="245"/>
      <c r="J1577" s="245"/>
      <c r="K1577" s="245"/>
      <c r="L1577" s="245"/>
      <c r="N1577" s="579"/>
      <c r="O1577" s="579"/>
      <c r="P1577" s="579"/>
      <c r="Q1577" s="66"/>
      <c r="R1577" s="66"/>
      <c r="S1577" s="66"/>
    </row>
    <row r="1578" spans="2:19" x14ac:dyDescent="0.2">
      <c r="B1578" s="245"/>
      <c r="C1578" s="245"/>
      <c r="D1578" s="245"/>
      <c r="E1578" s="245"/>
      <c r="F1578" s="245"/>
      <c r="G1578" s="579"/>
      <c r="H1578" s="245"/>
      <c r="I1578" s="245"/>
      <c r="J1578" s="245"/>
      <c r="K1578" s="245"/>
      <c r="L1578" s="245"/>
      <c r="N1578" s="579"/>
      <c r="O1578" s="579"/>
      <c r="P1578" s="579"/>
      <c r="Q1578" s="66"/>
      <c r="R1578" s="66"/>
      <c r="S1578" s="66"/>
    </row>
    <row r="1579" spans="2:19" x14ac:dyDescent="0.2">
      <c r="B1579" s="245"/>
      <c r="C1579" s="245"/>
      <c r="D1579" s="245"/>
      <c r="E1579" s="245"/>
      <c r="F1579" s="245"/>
      <c r="G1579" s="579"/>
      <c r="H1579" s="245"/>
      <c r="I1579" s="245"/>
      <c r="J1579" s="245"/>
      <c r="K1579" s="245"/>
      <c r="L1579" s="245"/>
      <c r="N1579" s="579"/>
      <c r="O1579" s="579"/>
      <c r="P1579" s="579"/>
      <c r="Q1579" s="66"/>
      <c r="R1579" s="66"/>
      <c r="S1579" s="66"/>
    </row>
    <row r="1580" spans="2:19" x14ac:dyDescent="0.2">
      <c r="B1580" s="245"/>
      <c r="C1580" s="245"/>
      <c r="D1580" s="245"/>
      <c r="E1580" s="245"/>
      <c r="F1580" s="245"/>
      <c r="G1580" s="579"/>
      <c r="H1580" s="245"/>
      <c r="I1580" s="245"/>
      <c r="J1580" s="245"/>
      <c r="K1580" s="245"/>
      <c r="L1580" s="245"/>
      <c r="N1580" s="579"/>
      <c r="O1580" s="579"/>
      <c r="P1580" s="579"/>
      <c r="Q1580" s="66"/>
      <c r="R1580" s="66"/>
      <c r="S1580" s="66"/>
    </row>
    <row r="1581" spans="2:19" x14ac:dyDescent="0.2">
      <c r="B1581" s="245"/>
      <c r="C1581" s="245"/>
      <c r="D1581" s="245"/>
      <c r="E1581" s="245"/>
      <c r="F1581" s="245"/>
      <c r="G1581" s="579"/>
      <c r="H1581" s="245"/>
      <c r="I1581" s="245"/>
      <c r="J1581" s="245"/>
      <c r="K1581" s="245"/>
      <c r="L1581" s="245"/>
      <c r="N1581" s="579"/>
      <c r="O1581" s="579"/>
      <c r="P1581" s="579"/>
      <c r="Q1581" s="66"/>
      <c r="R1581" s="66"/>
      <c r="S1581" s="66"/>
    </row>
    <row r="1582" spans="2:19" x14ac:dyDescent="0.2">
      <c r="B1582" s="245"/>
      <c r="C1582" s="245"/>
      <c r="D1582" s="245"/>
      <c r="E1582" s="245"/>
      <c r="F1582" s="245"/>
      <c r="G1582" s="579"/>
      <c r="H1582" s="245"/>
      <c r="I1582" s="245"/>
      <c r="J1582" s="245"/>
      <c r="K1582" s="245"/>
      <c r="L1582" s="245"/>
      <c r="N1582" s="579"/>
      <c r="O1582" s="579"/>
      <c r="P1582" s="579"/>
      <c r="Q1582" s="66"/>
      <c r="R1582" s="66"/>
      <c r="S1582" s="66"/>
    </row>
    <row r="1583" spans="2:19" x14ac:dyDescent="0.2">
      <c r="B1583" s="245"/>
      <c r="C1583" s="245"/>
      <c r="D1583" s="245"/>
      <c r="E1583" s="245"/>
      <c r="F1583" s="245"/>
      <c r="G1583" s="579"/>
      <c r="H1583" s="245"/>
      <c r="I1583" s="245"/>
      <c r="J1583" s="245"/>
      <c r="K1583" s="245"/>
      <c r="L1583" s="245"/>
      <c r="N1583" s="579"/>
      <c r="O1583" s="579"/>
      <c r="P1583" s="579"/>
      <c r="Q1583" s="66"/>
      <c r="R1583" s="66"/>
      <c r="S1583" s="66"/>
    </row>
    <row r="1584" spans="2:19" x14ac:dyDescent="0.2">
      <c r="B1584" s="245"/>
      <c r="C1584" s="245"/>
      <c r="D1584" s="245"/>
      <c r="E1584" s="245"/>
      <c r="F1584" s="245"/>
      <c r="G1584" s="579"/>
      <c r="H1584" s="245"/>
      <c r="I1584" s="245"/>
      <c r="J1584" s="245"/>
      <c r="K1584" s="245"/>
      <c r="L1584" s="245"/>
      <c r="N1584" s="579"/>
      <c r="O1584" s="579"/>
      <c r="P1584" s="579"/>
      <c r="Q1584" s="66"/>
      <c r="R1584" s="66"/>
      <c r="S1584" s="66"/>
    </row>
    <row r="1585" spans="2:19" x14ac:dyDescent="0.2">
      <c r="B1585" s="245"/>
      <c r="C1585" s="245"/>
      <c r="D1585" s="245"/>
      <c r="E1585" s="245"/>
      <c r="F1585" s="245"/>
      <c r="G1585" s="579"/>
      <c r="H1585" s="245"/>
      <c r="I1585" s="245"/>
      <c r="J1585" s="245"/>
      <c r="K1585" s="245"/>
      <c r="L1585" s="245"/>
      <c r="N1585" s="579"/>
      <c r="O1585" s="579"/>
      <c r="P1585" s="579"/>
      <c r="Q1585" s="66"/>
      <c r="R1585" s="66"/>
      <c r="S1585" s="66"/>
    </row>
    <row r="1586" spans="2:19" x14ac:dyDescent="0.2">
      <c r="B1586" s="245"/>
      <c r="C1586" s="245"/>
      <c r="D1586" s="245"/>
      <c r="E1586" s="245"/>
      <c r="F1586" s="245"/>
      <c r="G1586" s="579"/>
      <c r="H1586" s="245"/>
      <c r="I1586" s="245"/>
      <c r="J1586" s="245"/>
      <c r="K1586" s="245"/>
      <c r="L1586" s="245"/>
      <c r="N1586" s="579"/>
      <c r="O1586" s="579"/>
      <c r="P1586" s="579"/>
      <c r="Q1586" s="66"/>
      <c r="R1586" s="66"/>
      <c r="S1586" s="66"/>
    </row>
    <row r="1587" spans="2:19" x14ac:dyDescent="0.2">
      <c r="B1587" s="245"/>
      <c r="C1587" s="245"/>
      <c r="D1587" s="245"/>
      <c r="E1587" s="245"/>
      <c r="F1587" s="245"/>
      <c r="G1587" s="579"/>
      <c r="H1587" s="245"/>
      <c r="I1587" s="245"/>
      <c r="J1587" s="245"/>
      <c r="K1587" s="245"/>
      <c r="L1587" s="245"/>
      <c r="N1587" s="579"/>
      <c r="O1587" s="579"/>
      <c r="P1587" s="579"/>
      <c r="Q1587" s="66"/>
      <c r="R1587" s="66"/>
      <c r="S1587" s="66"/>
    </row>
    <row r="1588" spans="2:19" x14ac:dyDescent="0.2">
      <c r="B1588" s="245"/>
      <c r="C1588" s="245"/>
      <c r="D1588" s="245"/>
      <c r="E1588" s="245"/>
      <c r="F1588" s="245"/>
      <c r="G1588" s="579"/>
      <c r="H1588" s="245"/>
      <c r="I1588" s="245"/>
      <c r="J1588" s="245"/>
      <c r="K1588" s="245"/>
      <c r="L1588" s="245"/>
      <c r="N1588" s="579"/>
      <c r="O1588" s="579"/>
      <c r="P1588" s="579"/>
      <c r="Q1588" s="66"/>
      <c r="R1588" s="66"/>
      <c r="S1588" s="66"/>
    </row>
    <row r="1589" spans="2:19" x14ac:dyDescent="0.2">
      <c r="B1589" s="245"/>
      <c r="C1589" s="245"/>
      <c r="D1589" s="245"/>
      <c r="E1589" s="245"/>
      <c r="F1589" s="245"/>
      <c r="G1589" s="579"/>
      <c r="H1589" s="245"/>
      <c r="I1589" s="245"/>
      <c r="J1589" s="245"/>
      <c r="K1589" s="245"/>
      <c r="L1589" s="245"/>
      <c r="N1589" s="579"/>
      <c r="O1589" s="579"/>
      <c r="P1589" s="579"/>
      <c r="Q1589" s="66"/>
      <c r="R1589" s="66"/>
      <c r="S1589" s="66"/>
    </row>
    <row r="1590" spans="2:19" x14ac:dyDescent="0.2">
      <c r="B1590" s="245"/>
      <c r="C1590" s="245"/>
      <c r="D1590" s="245"/>
      <c r="E1590" s="245"/>
      <c r="F1590" s="245"/>
      <c r="G1590" s="579"/>
      <c r="H1590" s="245"/>
      <c r="I1590" s="245"/>
      <c r="J1590" s="245"/>
      <c r="K1590" s="245"/>
      <c r="L1590" s="245"/>
      <c r="N1590" s="579"/>
      <c r="O1590" s="579"/>
      <c r="P1590" s="579"/>
      <c r="Q1590" s="66"/>
      <c r="R1590" s="66"/>
      <c r="S1590" s="66"/>
    </row>
    <row r="1591" spans="2:19" x14ac:dyDescent="0.2">
      <c r="B1591" s="245"/>
      <c r="C1591" s="245"/>
      <c r="D1591" s="245"/>
      <c r="E1591" s="245"/>
      <c r="F1591" s="245"/>
      <c r="G1591" s="579"/>
      <c r="H1591" s="245"/>
      <c r="I1591" s="245"/>
      <c r="J1591" s="245"/>
      <c r="K1591" s="245"/>
      <c r="L1591" s="245"/>
      <c r="N1591" s="579"/>
      <c r="O1591" s="579"/>
      <c r="P1591" s="579"/>
      <c r="Q1591" s="66"/>
      <c r="R1591" s="66"/>
      <c r="S1591" s="66"/>
    </row>
    <row r="1592" spans="2:19" x14ac:dyDescent="0.2">
      <c r="B1592" s="245"/>
      <c r="C1592" s="245"/>
      <c r="D1592" s="245"/>
      <c r="E1592" s="245"/>
      <c r="F1592" s="245"/>
      <c r="G1592" s="579"/>
      <c r="H1592" s="245"/>
      <c r="I1592" s="245"/>
      <c r="J1592" s="245"/>
      <c r="K1592" s="245"/>
      <c r="L1592" s="245"/>
      <c r="N1592" s="579"/>
      <c r="O1592" s="579"/>
      <c r="P1592" s="579"/>
      <c r="Q1592" s="66"/>
      <c r="R1592" s="66"/>
      <c r="S1592" s="66"/>
    </row>
    <row r="1593" spans="2:19" x14ac:dyDescent="0.2">
      <c r="B1593" s="245"/>
      <c r="C1593" s="245"/>
      <c r="D1593" s="245"/>
      <c r="E1593" s="245"/>
      <c r="F1593" s="245"/>
      <c r="G1593" s="579"/>
      <c r="H1593" s="245"/>
      <c r="I1593" s="245"/>
      <c r="J1593" s="245"/>
      <c r="K1593" s="245"/>
      <c r="L1593" s="245"/>
      <c r="N1593" s="579"/>
      <c r="O1593" s="579"/>
      <c r="P1593" s="579"/>
      <c r="Q1593" s="66"/>
      <c r="R1593" s="66"/>
      <c r="S1593" s="66"/>
    </row>
    <row r="1594" spans="2:19" x14ac:dyDescent="0.2">
      <c r="B1594" s="245"/>
      <c r="C1594" s="245"/>
      <c r="D1594" s="245"/>
      <c r="E1594" s="245"/>
      <c r="F1594" s="245"/>
      <c r="G1594" s="579"/>
      <c r="H1594" s="245"/>
      <c r="I1594" s="245"/>
      <c r="J1594" s="245"/>
      <c r="K1594" s="245"/>
      <c r="L1594" s="245"/>
      <c r="N1594" s="579"/>
      <c r="O1594" s="579"/>
      <c r="P1594" s="579"/>
      <c r="Q1594" s="66"/>
      <c r="R1594" s="66"/>
      <c r="S1594" s="66"/>
    </row>
    <row r="1595" spans="2:19" x14ac:dyDescent="0.2">
      <c r="B1595" s="245"/>
      <c r="C1595" s="245"/>
      <c r="D1595" s="245"/>
      <c r="E1595" s="245"/>
      <c r="F1595" s="245"/>
      <c r="G1595" s="579"/>
      <c r="H1595" s="245"/>
      <c r="I1595" s="245"/>
      <c r="J1595" s="245"/>
      <c r="K1595" s="245"/>
      <c r="L1595" s="245"/>
      <c r="N1595" s="579"/>
      <c r="O1595" s="579"/>
      <c r="P1595" s="579"/>
      <c r="Q1595" s="66"/>
      <c r="R1595" s="66"/>
      <c r="S1595" s="66"/>
    </row>
    <row r="1596" spans="2:19" x14ac:dyDescent="0.2">
      <c r="B1596" s="245"/>
      <c r="C1596" s="245"/>
      <c r="D1596" s="245"/>
      <c r="E1596" s="245"/>
      <c r="F1596" s="245"/>
      <c r="G1596" s="579"/>
      <c r="H1596" s="245"/>
      <c r="I1596" s="245"/>
      <c r="J1596" s="245"/>
      <c r="K1596" s="245"/>
      <c r="L1596" s="245"/>
      <c r="N1596" s="579"/>
      <c r="O1596" s="579"/>
      <c r="P1596" s="579"/>
      <c r="Q1596" s="66"/>
      <c r="R1596" s="66"/>
      <c r="S1596" s="66"/>
    </row>
    <row r="1597" spans="2:19" x14ac:dyDescent="0.2">
      <c r="B1597" s="245"/>
      <c r="C1597" s="245"/>
      <c r="D1597" s="245"/>
      <c r="E1597" s="245"/>
      <c r="F1597" s="245"/>
      <c r="G1597" s="579"/>
      <c r="H1597" s="245"/>
      <c r="I1597" s="245"/>
      <c r="J1597" s="245"/>
      <c r="K1597" s="245"/>
      <c r="L1597" s="245"/>
      <c r="N1597" s="579"/>
      <c r="O1597" s="579"/>
      <c r="P1597" s="579"/>
      <c r="Q1597" s="66"/>
      <c r="R1597" s="66"/>
      <c r="S1597" s="66"/>
    </row>
    <row r="1598" spans="2:19" x14ac:dyDescent="0.2">
      <c r="B1598" s="245"/>
      <c r="C1598" s="245"/>
      <c r="D1598" s="245"/>
      <c r="E1598" s="245"/>
      <c r="F1598" s="245"/>
      <c r="G1598" s="579"/>
      <c r="H1598" s="245"/>
      <c r="I1598" s="245"/>
      <c r="J1598" s="245"/>
      <c r="K1598" s="245"/>
      <c r="L1598" s="245"/>
      <c r="N1598" s="579"/>
      <c r="O1598" s="579"/>
      <c r="P1598" s="579"/>
      <c r="Q1598" s="66"/>
      <c r="R1598" s="66"/>
      <c r="S1598" s="66"/>
    </row>
    <row r="1599" spans="2:19" x14ac:dyDescent="0.2">
      <c r="B1599" s="245"/>
      <c r="C1599" s="245"/>
      <c r="D1599" s="245"/>
      <c r="E1599" s="245"/>
      <c r="F1599" s="245"/>
      <c r="G1599" s="579"/>
      <c r="H1599" s="245"/>
      <c r="I1599" s="245"/>
      <c r="J1599" s="245"/>
      <c r="K1599" s="245"/>
      <c r="L1599" s="245"/>
      <c r="N1599" s="579"/>
      <c r="O1599" s="579"/>
      <c r="P1599" s="579"/>
      <c r="Q1599" s="66"/>
      <c r="R1599" s="66"/>
      <c r="S1599" s="66"/>
    </row>
    <row r="1600" spans="2:19" x14ac:dyDescent="0.2">
      <c r="B1600" s="245"/>
      <c r="C1600" s="245"/>
      <c r="D1600" s="245"/>
      <c r="E1600" s="245"/>
      <c r="F1600" s="245"/>
      <c r="G1600" s="579"/>
      <c r="H1600" s="245"/>
      <c r="I1600" s="245"/>
      <c r="J1600" s="245"/>
      <c r="K1600" s="245"/>
      <c r="L1600" s="245"/>
      <c r="N1600" s="579"/>
      <c r="O1600" s="579"/>
      <c r="P1600" s="579"/>
      <c r="Q1600" s="66"/>
      <c r="R1600" s="66"/>
      <c r="S1600" s="66"/>
    </row>
    <row r="1601" spans="2:19" x14ac:dyDescent="0.2">
      <c r="B1601" s="245"/>
      <c r="C1601" s="245"/>
      <c r="D1601" s="245"/>
      <c r="E1601" s="245"/>
      <c r="F1601" s="245"/>
      <c r="G1601" s="579"/>
      <c r="H1601" s="245"/>
      <c r="I1601" s="245"/>
      <c r="J1601" s="245"/>
      <c r="K1601" s="245"/>
      <c r="L1601" s="245"/>
      <c r="N1601" s="579"/>
      <c r="O1601" s="579"/>
      <c r="P1601" s="579"/>
      <c r="Q1601" s="66"/>
      <c r="R1601" s="66"/>
      <c r="S1601" s="66"/>
    </row>
    <row r="1602" spans="2:19" x14ac:dyDescent="0.2">
      <c r="B1602" s="245"/>
      <c r="C1602" s="245"/>
      <c r="D1602" s="245"/>
      <c r="E1602" s="245"/>
      <c r="F1602" s="245"/>
      <c r="G1602" s="579"/>
      <c r="H1602" s="245"/>
      <c r="I1602" s="245"/>
      <c r="J1602" s="245"/>
      <c r="K1602" s="245"/>
      <c r="L1602" s="245"/>
      <c r="N1602" s="579"/>
      <c r="O1602" s="579"/>
      <c r="P1602" s="579"/>
      <c r="Q1602" s="66"/>
      <c r="R1602" s="66"/>
      <c r="S1602" s="66"/>
    </row>
    <row r="1603" spans="2:19" x14ac:dyDescent="0.2">
      <c r="B1603" s="245"/>
      <c r="C1603" s="245"/>
      <c r="D1603" s="245"/>
      <c r="E1603" s="245"/>
      <c r="F1603" s="245"/>
      <c r="G1603" s="579"/>
      <c r="H1603" s="245"/>
      <c r="I1603" s="245"/>
      <c r="J1603" s="245"/>
      <c r="K1603" s="245"/>
      <c r="L1603" s="245"/>
      <c r="N1603" s="579"/>
      <c r="O1603" s="579"/>
      <c r="P1603" s="579"/>
      <c r="Q1603" s="66"/>
      <c r="R1603" s="66"/>
      <c r="S1603" s="66"/>
    </row>
    <row r="1604" spans="2:19" x14ac:dyDescent="0.2">
      <c r="B1604" s="245"/>
      <c r="C1604" s="245"/>
      <c r="D1604" s="245"/>
      <c r="E1604" s="245"/>
      <c r="F1604" s="245"/>
      <c r="G1604" s="579"/>
      <c r="H1604" s="245"/>
      <c r="I1604" s="245"/>
      <c r="J1604" s="245"/>
      <c r="K1604" s="245"/>
      <c r="L1604" s="245"/>
      <c r="N1604" s="579"/>
      <c r="O1604" s="579"/>
      <c r="P1604" s="579"/>
      <c r="Q1604" s="66"/>
      <c r="R1604" s="66"/>
      <c r="S1604" s="66"/>
    </row>
    <row r="1605" spans="2:19" x14ac:dyDescent="0.2">
      <c r="B1605" s="245"/>
      <c r="C1605" s="245"/>
      <c r="D1605" s="245"/>
      <c r="E1605" s="245"/>
      <c r="F1605" s="245"/>
      <c r="G1605" s="579"/>
      <c r="H1605" s="245"/>
      <c r="I1605" s="245"/>
      <c r="J1605" s="245"/>
      <c r="K1605" s="245"/>
      <c r="L1605" s="245"/>
      <c r="N1605" s="579"/>
      <c r="O1605" s="579"/>
      <c r="P1605" s="579"/>
      <c r="Q1605" s="66"/>
      <c r="R1605" s="66"/>
      <c r="S1605" s="66"/>
    </row>
    <row r="1606" spans="2:19" x14ac:dyDescent="0.2">
      <c r="B1606" s="245"/>
      <c r="C1606" s="245"/>
      <c r="D1606" s="245"/>
      <c r="E1606" s="245"/>
      <c r="F1606" s="245"/>
      <c r="G1606" s="579"/>
      <c r="H1606" s="245"/>
      <c r="I1606" s="245"/>
      <c r="J1606" s="245"/>
      <c r="K1606" s="245"/>
      <c r="L1606" s="245"/>
      <c r="N1606" s="579"/>
      <c r="O1606" s="579"/>
      <c r="P1606" s="579"/>
      <c r="Q1606" s="66"/>
      <c r="R1606" s="66"/>
      <c r="S1606" s="66"/>
    </row>
    <row r="1607" spans="2:19" x14ac:dyDescent="0.2">
      <c r="B1607" s="245"/>
      <c r="C1607" s="245"/>
      <c r="D1607" s="245"/>
      <c r="E1607" s="245"/>
      <c r="F1607" s="245"/>
      <c r="G1607" s="579"/>
      <c r="H1607" s="245"/>
      <c r="I1607" s="245"/>
      <c r="J1607" s="245"/>
      <c r="K1607" s="245"/>
      <c r="L1607" s="245"/>
      <c r="N1607" s="579"/>
      <c r="O1607" s="579"/>
      <c r="P1607" s="579"/>
      <c r="Q1607" s="66"/>
      <c r="R1607" s="66"/>
      <c r="S1607" s="66"/>
    </row>
    <row r="1608" spans="2:19" x14ac:dyDescent="0.2">
      <c r="B1608" s="245"/>
      <c r="C1608" s="245"/>
      <c r="D1608" s="245"/>
      <c r="E1608" s="245"/>
      <c r="F1608" s="245"/>
      <c r="G1608" s="579"/>
      <c r="H1608" s="245"/>
      <c r="I1608" s="245"/>
      <c r="J1608" s="245"/>
      <c r="K1608" s="245"/>
      <c r="L1608" s="245"/>
      <c r="N1608" s="579"/>
      <c r="O1608" s="579"/>
      <c r="P1608" s="579"/>
      <c r="Q1608" s="66"/>
      <c r="R1608" s="66"/>
      <c r="S1608" s="66"/>
    </row>
    <row r="1609" spans="2:19" x14ac:dyDescent="0.2">
      <c r="B1609" s="245"/>
      <c r="C1609" s="245"/>
      <c r="D1609" s="245"/>
      <c r="E1609" s="245"/>
      <c r="F1609" s="245"/>
      <c r="G1609" s="579"/>
      <c r="H1609" s="245"/>
      <c r="I1609" s="245"/>
      <c r="J1609" s="245"/>
      <c r="K1609" s="245"/>
      <c r="L1609" s="245"/>
      <c r="N1609" s="579"/>
      <c r="O1609" s="579"/>
      <c r="P1609" s="579"/>
      <c r="Q1609" s="66"/>
      <c r="R1609" s="66"/>
      <c r="S1609" s="66"/>
    </row>
    <row r="1610" spans="2:19" x14ac:dyDescent="0.2">
      <c r="B1610" s="245"/>
      <c r="C1610" s="245"/>
      <c r="D1610" s="245"/>
      <c r="E1610" s="245"/>
      <c r="F1610" s="245"/>
      <c r="G1610" s="579"/>
      <c r="H1610" s="245"/>
      <c r="I1610" s="245"/>
      <c r="J1610" s="245"/>
      <c r="K1610" s="245"/>
      <c r="L1610" s="245"/>
      <c r="N1610" s="579"/>
      <c r="O1610" s="579"/>
      <c r="P1610" s="579"/>
      <c r="Q1610" s="66"/>
      <c r="R1610" s="66"/>
      <c r="S1610" s="66"/>
    </row>
    <row r="1611" spans="2:19" x14ac:dyDescent="0.2">
      <c r="B1611" s="245"/>
      <c r="C1611" s="245"/>
      <c r="D1611" s="245"/>
      <c r="E1611" s="245"/>
      <c r="F1611" s="245"/>
      <c r="G1611" s="579"/>
      <c r="H1611" s="245"/>
      <c r="I1611" s="245"/>
      <c r="J1611" s="245"/>
      <c r="K1611" s="245"/>
      <c r="L1611" s="245"/>
      <c r="N1611" s="579"/>
      <c r="O1611" s="579"/>
      <c r="P1611" s="579"/>
      <c r="Q1611" s="66"/>
      <c r="R1611" s="66"/>
      <c r="S1611" s="66"/>
    </row>
    <row r="1612" spans="2:19" x14ac:dyDescent="0.2">
      <c r="B1612" s="245"/>
      <c r="C1612" s="245"/>
      <c r="D1612" s="245"/>
      <c r="E1612" s="245"/>
      <c r="F1612" s="245"/>
      <c r="G1612" s="579"/>
      <c r="H1612" s="245"/>
      <c r="I1612" s="245"/>
      <c r="J1612" s="245"/>
      <c r="K1612" s="245"/>
      <c r="L1612" s="245"/>
      <c r="N1612" s="579"/>
      <c r="O1612" s="579"/>
      <c r="P1612" s="579"/>
      <c r="Q1612" s="66"/>
      <c r="R1612" s="66"/>
      <c r="S1612" s="66"/>
    </row>
    <row r="1613" spans="2:19" x14ac:dyDescent="0.2">
      <c r="B1613" s="245"/>
      <c r="C1613" s="245"/>
      <c r="D1613" s="245"/>
      <c r="E1613" s="245"/>
      <c r="F1613" s="245"/>
      <c r="G1613" s="579"/>
      <c r="H1613" s="245"/>
      <c r="I1613" s="245"/>
      <c r="J1613" s="245"/>
      <c r="K1613" s="245"/>
      <c r="L1613" s="245"/>
      <c r="N1613" s="579"/>
      <c r="O1613" s="579"/>
      <c r="P1613" s="579"/>
      <c r="Q1613" s="66"/>
      <c r="R1613" s="66"/>
      <c r="S1613" s="66"/>
    </row>
    <row r="1614" spans="2:19" x14ac:dyDescent="0.2">
      <c r="B1614" s="245"/>
      <c r="C1614" s="245"/>
      <c r="D1614" s="245"/>
      <c r="E1614" s="245"/>
      <c r="F1614" s="245"/>
      <c r="G1614" s="579"/>
      <c r="H1614" s="245"/>
      <c r="I1614" s="245"/>
      <c r="J1614" s="245"/>
      <c r="K1614" s="245"/>
      <c r="L1614" s="245"/>
      <c r="N1614" s="579"/>
      <c r="O1614" s="579"/>
      <c r="P1614" s="579"/>
      <c r="Q1614" s="66"/>
      <c r="R1614" s="66"/>
      <c r="S1614" s="66"/>
    </row>
    <row r="1615" spans="2:19" x14ac:dyDescent="0.2">
      <c r="B1615" s="245"/>
      <c r="C1615" s="245"/>
      <c r="D1615" s="245"/>
      <c r="E1615" s="245"/>
      <c r="F1615" s="245"/>
      <c r="G1615" s="579"/>
      <c r="H1615" s="245"/>
      <c r="I1615" s="245"/>
      <c r="J1615" s="245"/>
      <c r="K1615" s="245"/>
      <c r="L1615" s="245"/>
      <c r="N1615" s="579"/>
      <c r="O1615" s="579"/>
      <c r="P1615" s="579"/>
      <c r="Q1615" s="66"/>
      <c r="R1615" s="66"/>
      <c r="S1615" s="66"/>
    </row>
    <row r="1616" spans="2:19" x14ac:dyDescent="0.2">
      <c r="B1616" s="245"/>
      <c r="C1616" s="245"/>
      <c r="D1616" s="245"/>
      <c r="E1616" s="245"/>
      <c r="F1616" s="245"/>
      <c r="G1616" s="579"/>
      <c r="H1616" s="245"/>
      <c r="I1616" s="245"/>
      <c r="J1616" s="245"/>
      <c r="K1616" s="245"/>
      <c r="L1616" s="245"/>
      <c r="N1616" s="579"/>
      <c r="O1616" s="579"/>
      <c r="P1616" s="579"/>
      <c r="Q1616" s="66"/>
      <c r="R1616" s="66"/>
      <c r="S1616" s="66"/>
    </row>
    <row r="1617" spans="2:19" x14ac:dyDescent="0.2">
      <c r="B1617" s="245"/>
      <c r="C1617" s="245"/>
      <c r="D1617" s="245"/>
      <c r="E1617" s="245"/>
      <c r="F1617" s="245"/>
      <c r="G1617" s="579"/>
      <c r="H1617" s="245"/>
      <c r="I1617" s="245"/>
      <c r="J1617" s="245"/>
      <c r="K1617" s="245"/>
      <c r="L1617" s="245"/>
      <c r="N1617" s="579"/>
      <c r="O1617" s="579"/>
      <c r="P1617" s="579"/>
      <c r="Q1617" s="66"/>
      <c r="R1617" s="66"/>
      <c r="S1617" s="66"/>
    </row>
    <row r="1618" spans="2:19" x14ac:dyDescent="0.2">
      <c r="B1618" s="245"/>
      <c r="C1618" s="245"/>
      <c r="D1618" s="245"/>
      <c r="E1618" s="245"/>
      <c r="F1618" s="245"/>
      <c r="G1618" s="579"/>
      <c r="H1618" s="245"/>
      <c r="I1618" s="245"/>
      <c r="J1618" s="245"/>
      <c r="K1618" s="245"/>
      <c r="L1618" s="245"/>
      <c r="N1618" s="579"/>
      <c r="O1618" s="579"/>
      <c r="P1618" s="579"/>
      <c r="Q1618" s="66"/>
      <c r="R1618" s="66"/>
      <c r="S1618" s="66"/>
    </row>
    <row r="1619" spans="2:19" x14ac:dyDescent="0.2">
      <c r="B1619" s="245"/>
      <c r="C1619" s="245"/>
      <c r="D1619" s="245"/>
      <c r="E1619" s="245"/>
      <c r="F1619" s="245"/>
      <c r="G1619" s="579"/>
      <c r="H1619" s="245"/>
      <c r="I1619" s="245"/>
      <c r="J1619" s="245"/>
      <c r="K1619" s="245"/>
      <c r="L1619" s="245"/>
      <c r="N1619" s="579"/>
      <c r="O1619" s="579"/>
      <c r="P1619" s="579"/>
      <c r="Q1619" s="66"/>
      <c r="R1619" s="66"/>
      <c r="S1619" s="66"/>
    </row>
    <row r="1620" spans="2:19" x14ac:dyDescent="0.2">
      <c r="B1620" s="245"/>
      <c r="C1620" s="245"/>
      <c r="D1620" s="245"/>
      <c r="E1620" s="245"/>
      <c r="F1620" s="245"/>
      <c r="G1620" s="579"/>
      <c r="H1620" s="245"/>
      <c r="I1620" s="245"/>
      <c r="J1620" s="245"/>
      <c r="K1620" s="245"/>
      <c r="L1620" s="245"/>
      <c r="N1620" s="579"/>
      <c r="O1620" s="579"/>
      <c r="P1620" s="579"/>
      <c r="Q1620" s="66"/>
      <c r="R1620" s="66"/>
      <c r="S1620" s="66"/>
    </row>
    <row r="1621" spans="2:19" x14ac:dyDescent="0.2">
      <c r="B1621" s="245"/>
      <c r="C1621" s="245"/>
      <c r="D1621" s="245"/>
      <c r="E1621" s="245"/>
      <c r="F1621" s="245"/>
      <c r="G1621" s="579"/>
      <c r="H1621" s="245"/>
      <c r="I1621" s="245"/>
      <c r="J1621" s="245"/>
      <c r="K1621" s="245"/>
      <c r="L1621" s="245"/>
      <c r="N1621" s="579"/>
      <c r="O1621" s="579"/>
      <c r="P1621" s="579"/>
      <c r="Q1621" s="66"/>
      <c r="R1621" s="66"/>
      <c r="S1621" s="66"/>
    </row>
    <row r="1622" spans="2:19" x14ac:dyDescent="0.2">
      <c r="B1622" s="245"/>
      <c r="C1622" s="245"/>
      <c r="D1622" s="245"/>
      <c r="E1622" s="245"/>
      <c r="F1622" s="245"/>
      <c r="G1622" s="579"/>
      <c r="H1622" s="245"/>
      <c r="I1622" s="245"/>
      <c r="J1622" s="245"/>
      <c r="K1622" s="245"/>
      <c r="L1622" s="245"/>
      <c r="N1622" s="579"/>
      <c r="O1622" s="579"/>
      <c r="P1622" s="579"/>
      <c r="Q1622" s="66"/>
      <c r="R1622" s="66"/>
      <c r="S1622" s="66"/>
    </row>
    <row r="1623" spans="2:19" x14ac:dyDescent="0.2">
      <c r="B1623" s="245"/>
      <c r="C1623" s="245"/>
      <c r="D1623" s="245"/>
      <c r="E1623" s="245"/>
      <c r="F1623" s="245"/>
      <c r="G1623" s="579"/>
      <c r="H1623" s="245"/>
      <c r="I1623" s="245"/>
      <c r="J1623" s="245"/>
      <c r="K1623" s="245"/>
      <c r="L1623" s="245"/>
      <c r="N1623" s="579"/>
      <c r="O1623" s="579"/>
      <c r="P1623" s="579"/>
      <c r="Q1623" s="66"/>
      <c r="R1623" s="66"/>
      <c r="S1623" s="66"/>
    </row>
    <row r="1624" spans="2:19" x14ac:dyDescent="0.2">
      <c r="B1624" s="245"/>
      <c r="C1624" s="245"/>
      <c r="D1624" s="245"/>
      <c r="E1624" s="245"/>
      <c r="F1624" s="245"/>
      <c r="G1624" s="579"/>
      <c r="H1624" s="245"/>
      <c r="I1624" s="245"/>
      <c r="J1624" s="245"/>
      <c r="K1624" s="245"/>
      <c r="L1624" s="245"/>
      <c r="N1624" s="579"/>
      <c r="O1624" s="579"/>
      <c r="P1624" s="579"/>
      <c r="Q1624" s="66"/>
      <c r="R1624" s="66"/>
      <c r="S1624" s="66"/>
    </row>
    <row r="1625" spans="2:19" x14ac:dyDescent="0.2">
      <c r="B1625" s="245"/>
      <c r="C1625" s="245"/>
      <c r="D1625" s="245"/>
      <c r="E1625" s="245"/>
      <c r="F1625" s="245"/>
      <c r="G1625" s="579"/>
      <c r="H1625" s="245"/>
      <c r="I1625" s="245"/>
      <c r="J1625" s="245"/>
      <c r="K1625" s="245"/>
      <c r="L1625" s="245"/>
      <c r="N1625" s="579"/>
      <c r="O1625" s="579"/>
      <c r="P1625" s="579"/>
      <c r="Q1625" s="66"/>
      <c r="R1625" s="66"/>
      <c r="S1625" s="66"/>
    </row>
    <row r="1626" spans="2:19" x14ac:dyDescent="0.2">
      <c r="B1626" s="245"/>
      <c r="C1626" s="245"/>
      <c r="D1626" s="245"/>
      <c r="E1626" s="245"/>
      <c r="F1626" s="245"/>
      <c r="G1626" s="579"/>
      <c r="H1626" s="245"/>
      <c r="I1626" s="245"/>
      <c r="J1626" s="245"/>
      <c r="K1626" s="245"/>
      <c r="L1626" s="245"/>
      <c r="N1626" s="579"/>
      <c r="O1626" s="579"/>
      <c r="P1626" s="579"/>
      <c r="Q1626" s="66"/>
      <c r="R1626" s="66"/>
      <c r="S1626" s="66"/>
    </row>
    <row r="1627" spans="2:19" x14ac:dyDescent="0.2">
      <c r="B1627" s="245"/>
      <c r="C1627" s="245"/>
      <c r="D1627" s="245"/>
      <c r="E1627" s="245"/>
      <c r="F1627" s="245"/>
      <c r="G1627" s="579"/>
      <c r="H1627" s="245"/>
      <c r="I1627" s="245"/>
      <c r="J1627" s="245"/>
      <c r="K1627" s="245"/>
      <c r="L1627" s="245"/>
      <c r="N1627" s="579"/>
      <c r="O1627" s="579"/>
      <c r="P1627" s="579"/>
      <c r="Q1627" s="66"/>
      <c r="R1627" s="66"/>
      <c r="S1627" s="66"/>
    </row>
    <row r="1628" spans="2:19" x14ac:dyDescent="0.2">
      <c r="B1628" s="245"/>
      <c r="C1628" s="245"/>
      <c r="D1628" s="245"/>
      <c r="E1628" s="245"/>
      <c r="F1628" s="245"/>
      <c r="G1628" s="579"/>
      <c r="H1628" s="245"/>
      <c r="I1628" s="245"/>
      <c r="J1628" s="245"/>
      <c r="K1628" s="245"/>
      <c r="L1628" s="245"/>
      <c r="N1628" s="579"/>
      <c r="O1628" s="579"/>
      <c r="P1628" s="579"/>
      <c r="Q1628" s="66"/>
      <c r="R1628" s="66"/>
      <c r="S1628" s="66"/>
    </row>
    <row r="1629" spans="2:19" x14ac:dyDescent="0.2">
      <c r="B1629" s="245"/>
      <c r="C1629" s="245"/>
      <c r="D1629" s="245"/>
      <c r="E1629" s="245"/>
      <c r="F1629" s="245"/>
      <c r="G1629" s="579"/>
      <c r="H1629" s="245"/>
      <c r="I1629" s="245"/>
      <c r="J1629" s="245"/>
      <c r="K1629" s="245"/>
      <c r="L1629" s="245"/>
      <c r="N1629" s="579"/>
      <c r="O1629" s="579"/>
      <c r="P1629" s="579"/>
      <c r="Q1629" s="66"/>
      <c r="R1629" s="66"/>
      <c r="S1629" s="66"/>
    </row>
    <row r="1630" spans="2:19" x14ac:dyDescent="0.2">
      <c r="B1630" s="245"/>
      <c r="C1630" s="245"/>
      <c r="D1630" s="245"/>
      <c r="E1630" s="245"/>
      <c r="F1630" s="245"/>
      <c r="G1630" s="579"/>
      <c r="H1630" s="245"/>
      <c r="I1630" s="245"/>
      <c r="J1630" s="245"/>
      <c r="K1630" s="245"/>
      <c r="L1630" s="245"/>
      <c r="N1630" s="579"/>
      <c r="O1630" s="579"/>
      <c r="P1630" s="579"/>
      <c r="Q1630" s="66"/>
      <c r="R1630" s="66"/>
      <c r="S1630" s="66"/>
    </row>
    <row r="1631" spans="2:19" x14ac:dyDescent="0.2">
      <c r="B1631" s="245"/>
      <c r="C1631" s="245"/>
      <c r="D1631" s="245"/>
      <c r="E1631" s="245"/>
      <c r="F1631" s="245"/>
      <c r="G1631" s="579"/>
      <c r="H1631" s="245"/>
      <c r="I1631" s="245"/>
      <c r="J1631" s="245"/>
      <c r="K1631" s="245"/>
      <c r="L1631" s="245"/>
      <c r="N1631" s="579"/>
      <c r="O1631" s="579"/>
      <c r="P1631" s="579"/>
      <c r="Q1631" s="66"/>
      <c r="R1631" s="66"/>
      <c r="S1631" s="66"/>
    </row>
    <row r="1632" spans="2:19" x14ac:dyDescent="0.2">
      <c r="B1632" s="245"/>
      <c r="C1632" s="245"/>
      <c r="D1632" s="245"/>
      <c r="E1632" s="245"/>
      <c r="F1632" s="245"/>
      <c r="G1632" s="579"/>
      <c r="H1632" s="245"/>
      <c r="I1632" s="245"/>
      <c r="J1632" s="245"/>
      <c r="K1632" s="245"/>
      <c r="L1632" s="245"/>
      <c r="N1632" s="579"/>
      <c r="O1632" s="579"/>
      <c r="P1632" s="579"/>
      <c r="Q1632" s="66"/>
      <c r="R1632" s="66"/>
      <c r="S1632" s="66"/>
    </row>
    <row r="1633" spans="2:19" x14ac:dyDescent="0.2">
      <c r="B1633" s="245"/>
      <c r="C1633" s="245"/>
      <c r="D1633" s="245"/>
      <c r="E1633" s="245"/>
      <c r="F1633" s="245"/>
      <c r="G1633" s="579"/>
      <c r="H1633" s="245"/>
      <c r="I1633" s="245"/>
      <c r="J1633" s="245"/>
      <c r="K1633" s="245"/>
      <c r="L1633" s="245"/>
      <c r="N1633" s="579"/>
      <c r="O1633" s="579"/>
      <c r="P1633" s="579"/>
      <c r="Q1633" s="66"/>
      <c r="R1633" s="66"/>
      <c r="S1633" s="66"/>
    </row>
    <row r="1634" spans="2:19" x14ac:dyDescent="0.2">
      <c r="B1634" s="245"/>
      <c r="C1634" s="245"/>
      <c r="D1634" s="245"/>
      <c r="E1634" s="245"/>
      <c r="F1634" s="245"/>
      <c r="G1634" s="579"/>
      <c r="H1634" s="245"/>
      <c r="I1634" s="245"/>
      <c r="J1634" s="245"/>
      <c r="K1634" s="245"/>
      <c r="L1634" s="245"/>
      <c r="N1634" s="579"/>
      <c r="O1634" s="579"/>
      <c r="P1634" s="579"/>
      <c r="Q1634" s="66"/>
      <c r="R1634" s="66"/>
      <c r="S1634" s="66"/>
    </row>
    <row r="1635" spans="2:19" x14ac:dyDescent="0.2">
      <c r="B1635" s="245"/>
      <c r="C1635" s="245"/>
      <c r="D1635" s="245"/>
      <c r="E1635" s="245"/>
      <c r="F1635" s="245"/>
      <c r="G1635" s="579"/>
      <c r="H1635" s="245"/>
      <c r="I1635" s="245"/>
      <c r="J1635" s="245"/>
      <c r="K1635" s="245"/>
      <c r="L1635" s="245"/>
      <c r="N1635" s="579"/>
      <c r="O1635" s="579"/>
      <c r="P1635" s="579"/>
      <c r="Q1635" s="66"/>
      <c r="R1635" s="66"/>
      <c r="S1635" s="66"/>
    </row>
    <row r="1636" spans="2:19" x14ac:dyDescent="0.2">
      <c r="B1636" s="245"/>
      <c r="C1636" s="245"/>
      <c r="D1636" s="245"/>
      <c r="E1636" s="245"/>
      <c r="F1636" s="245"/>
      <c r="G1636" s="579"/>
      <c r="H1636" s="245"/>
      <c r="I1636" s="245"/>
      <c r="J1636" s="245"/>
      <c r="K1636" s="245"/>
      <c r="L1636" s="245"/>
      <c r="N1636" s="579"/>
      <c r="O1636" s="579"/>
      <c r="P1636" s="579"/>
      <c r="Q1636" s="66"/>
      <c r="R1636" s="66"/>
      <c r="S1636" s="66"/>
    </row>
    <row r="1637" spans="2:19" x14ac:dyDescent="0.2">
      <c r="B1637" s="245"/>
      <c r="C1637" s="245"/>
      <c r="D1637" s="245"/>
      <c r="E1637" s="245"/>
      <c r="F1637" s="245"/>
      <c r="G1637" s="579"/>
      <c r="H1637" s="245"/>
      <c r="I1637" s="245"/>
      <c r="J1637" s="245"/>
      <c r="K1637" s="245"/>
      <c r="L1637" s="245"/>
      <c r="N1637" s="579"/>
      <c r="O1637" s="579"/>
      <c r="P1637" s="579"/>
      <c r="Q1637" s="66"/>
      <c r="R1637" s="66"/>
      <c r="S1637" s="66"/>
    </row>
    <row r="1638" spans="2:19" x14ac:dyDescent="0.2">
      <c r="B1638" s="245"/>
      <c r="C1638" s="245"/>
      <c r="D1638" s="245"/>
      <c r="E1638" s="245"/>
      <c r="F1638" s="245"/>
      <c r="G1638" s="579"/>
      <c r="H1638" s="245"/>
      <c r="I1638" s="245"/>
      <c r="J1638" s="245"/>
      <c r="K1638" s="245"/>
      <c r="L1638" s="245"/>
      <c r="N1638" s="579"/>
      <c r="O1638" s="579"/>
      <c r="P1638" s="579"/>
      <c r="Q1638" s="66"/>
      <c r="R1638" s="66"/>
      <c r="S1638" s="66"/>
    </row>
    <row r="1639" spans="2:19" x14ac:dyDescent="0.2">
      <c r="B1639" s="245"/>
      <c r="C1639" s="245"/>
      <c r="D1639" s="245"/>
      <c r="E1639" s="245"/>
      <c r="F1639" s="245"/>
      <c r="G1639" s="579"/>
      <c r="H1639" s="245"/>
      <c r="I1639" s="245"/>
      <c r="J1639" s="245"/>
      <c r="K1639" s="245"/>
      <c r="L1639" s="245"/>
      <c r="N1639" s="579"/>
      <c r="O1639" s="579"/>
      <c r="P1639" s="579"/>
      <c r="Q1639" s="66"/>
      <c r="R1639" s="66"/>
      <c r="S1639" s="66"/>
    </row>
    <row r="1640" spans="2:19" x14ac:dyDescent="0.2">
      <c r="B1640" s="245"/>
      <c r="C1640" s="245"/>
      <c r="D1640" s="245"/>
      <c r="E1640" s="245"/>
      <c r="F1640" s="245"/>
      <c r="G1640" s="579"/>
      <c r="H1640" s="245"/>
      <c r="I1640" s="245"/>
      <c r="J1640" s="245"/>
      <c r="K1640" s="245"/>
      <c r="L1640" s="245"/>
      <c r="N1640" s="579"/>
      <c r="O1640" s="579"/>
      <c r="P1640" s="579"/>
      <c r="Q1640" s="66"/>
      <c r="R1640" s="66"/>
      <c r="S1640" s="66"/>
    </row>
    <row r="1641" spans="2:19" x14ac:dyDescent="0.2">
      <c r="B1641" s="245"/>
      <c r="C1641" s="245"/>
      <c r="D1641" s="245"/>
      <c r="E1641" s="245"/>
      <c r="F1641" s="245"/>
      <c r="G1641" s="579"/>
      <c r="H1641" s="245"/>
      <c r="I1641" s="245"/>
      <c r="J1641" s="245"/>
      <c r="K1641" s="245"/>
      <c r="L1641" s="245"/>
      <c r="N1641" s="579"/>
      <c r="O1641" s="579"/>
      <c r="P1641" s="579"/>
      <c r="Q1641" s="66"/>
      <c r="R1641" s="66"/>
      <c r="S1641" s="66"/>
    </row>
    <row r="1642" spans="2:19" x14ac:dyDescent="0.2">
      <c r="B1642" s="245"/>
      <c r="C1642" s="245"/>
      <c r="D1642" s="245"/>
      <c r="E1642" s="245"/>
      <c r="F1642" s="245"/>
      <c r="G1642" s="579"/>
      <c r="H1642" s="245"/>
      <c r="I1642" s="245"/>
      <c r="J1642" s="245"/>
      <c r="K1642" s="245"/>
      <c r="L1642" s="245"/>
      <c r="N1642" s="579"/>
      <c r="O1642" s="579"/>
      <c r="P1642" s="579"/>
      <c r="Q1642" s="66"/>
      <c r="R1642" s="66"/>
      <c r="S1642" s="66"/>
    </row>
    <row r="1643" spans="2:19" x14ac:dyDescent="0.2">
      <c r="B1643" s="245"/>
      <c r="C1643" s="245"/>
      <c r="D1643" s="245"/>
      <c r="E1643" s="245"/>
      <c r="F1643" s="245"/>
      <c r="G1643" s="579"/>
      <c r="H1643" s="245"/>
      <c r="I1643" s="245"/>
      <c r="J1643" s="245"/>
      <c r="K1643" s="245"/>
      <c r="L1643" s="245"/>
      <c r="N1643" s="579"/>
      <c r="O1643" s="579"/>
      <c r="P1643" s="579"/>
      <c r="Q1643" s="66"/>
      <c r="R1643" s="66"/>
      <c r="S1643" s="66"/>
    </row>
    <row r="1644" spans="2:19" x14ac:dyDescent="0.2">
      <c r="B1644" s="245"/>
      <c r="C1644" s="245"/>
      <c r="D1644" s="245"/>
      <c r="E1644" s="245"/>
      <c r="F1644" s="245"/>
      <c r="G1644" s="579"/>
      <c r="H1644" s="245"/>
      <c r="I1644" s="245"/>
      <c r="J1644" s="245"/>
      <c r="K1644" s="245"/>
      <c r="L1644" s="245"/>
      <c r="N1644" s="579"/>
      <c r="O1644" s="579"/>
      <c r="P1644" s="579"/>
      <c r="Q1644" s="66"/>
      <c r="R1644" s="66"/>
      <c r="S1644" s="66"/>
    </row>
    <row r="1645" spans="2:19" x14ac:dyDescent="0.2">
      <c r="B1645" s="245"/>
      <c r="C1645" s="245"/>
      <c r="D1645" s="245"/>
      <c r="E1645" s="245"/>
      <c r="F1645" s="245"/>
      <c r="G1645" s="579"/>
      <c r="H1645" s="245"/>
      <c r="I1645" s="245"/>
      <c r="J1645" s="245"/>
      <c r="K1645" s="245"/>
      <c r="L1645" s="245"/>
      <c r="N1645" s="579"/>
      <c r="O1645" s="579"/>
      <c r="P1645" s="579"/>
      <c r="Q1645" s="66"/>
      <c r="R1645" s="66"/>
      <c r="S1645" s="66"/>
    </row>
    <row r="1646" spans="2:19" x14ac:dyDescent="0.2">
      <c r="B1646" s="245"/>
      <c r="C1646" s="245"/>
      <c r="D1646" s="245"/>
      <c r="E1646" s="245"/>
      <c r="F1646" s="245"/>
      <c r="G1646" s="579"/>
      <c r="H1646" s="245"/>
      <c r="I1646" s="245"/>
      <c r="J1646" s="245"/>
      <c r="K1646" s="245"/>
      <c r="L1646" s="245"/>
      <c r="N1646" s="579"/>
      <c r="O1646" s="579"/>
      <c r="P1646" s="579"/>
      <c r="Q1646" s="66"/>
      <c r="R1646" s="66"/>
      <c r="S1646" s="66"/>
    </row>
    <row r="1647" spans="2:19" x14ac:dyDescent="0.2">
      <c r="B1647" s="245"/>
      <c r="C1647" s="245"/>
      <c r="D1647" s="245"/>
      <c r="E1647" s="245"/>
      <c r="F1647" s="245"/>
      <c r="G1647" s="579"/>
      <c r="H1647" s="245"/>
      <c r="I1647" s="245"/>
      <c r="J1647" s="245"/>
      <c r="K1647" s="245"/>
      <c r="L1647" s="245"/>
      <c r="N1647" s="579"/>
      <c r="O1647" s="579"/>
      <c r="P1647" s="579"/>
      <c r="Q1647" s="66"/>
      <c r="R1647" s="66"/>
      <c r="S1647" s="66"/>
    </row>
    <row r="1648" spans="2:19" x14ac:dyDescent="0.2">
      <c r="B1648" s="245"/>
      <c r="C1648" s="245"/>
      <c r="D1648" s="245"/>
      <c r="E1648" s="245"/>
      <c r="F1648" s="245"/>
      <c r="G1648" s="579"/>
      <c r="H1648" s="245"/>
      <c r="I1648" s="245"/>
      <c r="J1648" s="245"/>
      <c r="K1648" s="245"/>
      <c r="L1648" s="245"/>
      <c r="N1648" s="579"/>
      <c r="O1648" s="579"/>
      <c r="P1648" s="579"/>
      <c r="Q1648" s="66"/>
      <c r="R1648" s="66"/>
      <c r="S1648" s="66"/>
    </row>
    <row r="1649" spans="2:19" x14ac:dyDescent="0.2">
      <c r="B1649" s="245"/>
      <c r="C1649" s="245"/>
      <c r="D1649" s="245"/>
      <c r="E1649" s="245"/>
      <c r="F1649" s="245"/>
      <c r="G1649" s="579"/>
      <c r="H1649" s="245"/>
      <c r="I1649" s="245"/>
      <c r="J1649" s="245"/>
      <c r="K1649" s="245"/>
      <c r="L1649" s="245"/>
      <c r="N1649" s="579"/>
      <c r="O1649" s="579"/>
      <c r="P1649" s="579"/>
      <c r="Q1649" s="66"/>
      <c r="R1649" s="66"/>
      <c r="S1649" s="66"/>
    </row>
    <row r="1650" spans="2:19" x14ac:dyDescent="0.2">
      <c r="B1650" s="245"/>
      <c r="C1650" s="245"/>
      <c r="D1650" s="245"/>
      <c r="E1650" s="245"/>
      <c r="F1650" s="245"/>
      <c r="G1650" s="579"/>
      <c r="H1650" s="245"/>
      <c r="I1650" s="245"/>
      <c r="J1650" s="245"/>
      <c r="K1650" s="245"/>
      <c r="L1650" s="245"/>
      <c r="N1650" s="579"/>
      <c r="O1650" s="579"/>
      <c r="P1650" s="579"/>
      <c r="Q1650" s="66"/>
      <c r="R1650" s="66"/>
      <c r="S1650" s="66"/>
    </row>
    <row r="1651" spans="2:19" x14ac:dyDescent="0.2">
      <c r="B1651" s="245"/>
      <c r="C1651" s="245"/>
      <c r="D1651" s="245"/>
      <c r="E1651" s="245"/>
      <c r="F1651" s="245"/>
      <c r="G1651" s="579"/>
      <c r="H1651" s="245"/>
      <c r="I1651" s="245"/>
      <c r="J1651" s="245"/>
      <c r="K1651" s="245"/>
      <c r="L1651" s="245"/>
      <c r="N1651" s="579"/>
      <c r="O1651" s="579"/>
      <c r="P1651" s="579"/>
      <c r="Q1651" s="66"/>
      <c r="R1651" s="66"/>
      <c r="S1651" s="66"/>
    </row>
    <row r="1652" spans="2:19" x14ac:dyDescent="0.2">
      <c r="B1652" s="245"/>
      <c r="C1652" s="245"/>
      <c r="D1652" s="245"/>
      <c r="E1652" s="245"/>
      <c r="F1652" s="245"/>
      <c r="G1652" s="579"/>
      <c r="H1652" s="245"/>
      <c r="I1652" s="245"/>
      <c r="J1652" s="245"/>
      <c r="K1652" s="245"/>
      <c r="L1652" s="245"/>
      <c r="N1652" s="579"/>
      <c r="O1652" s="579"/>
      <c r="P1652" s="579"/>
      <c r="Q1652" s="66"/>
      <c r="R1652" s="66"/>
      <c r="S1652" s="66"/>
    </row>
    <row r="1653" spans="2:19" x14ac:dyDescent="0.2">
      <c r="B1653" s="245"/>
      <c r="C1653" s="245"/>
      <c r="D1653" s="245"/>
      <c r="E1653" s="245"/>
      <c r="F1653" s="245"/>
      <c r="G1653" s="579"/>
      <c r="H1653" s="245"/>
      <c r="I1653" s="245"/>
      <c r="J1653" s="245"/>
      <c r="K1653" s="245"/>
      <c r="L1653" s="245"/>
      <c r="N1653" s="579"/>
      <c r="O1653" s="579"/>
      <c r="P1653" s="579"/>
      <c r="Q1653" s="66"/>
      <c r="R1653" s="66"/>
      <c r="S1653" s="66"/>
    </row>
    <row r="1654" spans="2:19" x14ac:dyDescent="0.2">
      <c r="B1654" s="245"/>
      <c r="C1654" s="245"/>
      <c r="D1654" s="245"/>
      <c r="E1654" s="245"/>
      <c r="F1654" s="245"/>
      <c r="G1654" s="579"/>
      <c r="H1654" s="245"/>
      <c r="I1654" s="245"/>
      <c r="J1654" s="245"/>
      <c r="K1654" s="245"/>
      <c r="L1654" s="245"/>
      <c r="N1654" s="579"/>
      <c r="O1654" s="579"/>
      <c r="P1654" s="579"/>
      <c r="Q1654" s="66"/>
      <c r="R1654" s="66"/>
      <c r="S1654" s="66"/>
    </row>
    <row r="1655" spans="2:19" x14ac:dyDescent="0.2">
      <c r="B1655" s="245"/>
      <c r="C1655" s="245"/>
      <c r="D1655" s="245"/>
      <c r="E1655" s="245"/>
      <c r="F1655" s="245"/>
      <c r="G1655" s="579"/>
      <c r="H1655" s="245"/>
      <c r="I1655" s="245"/>
      <c r="J1655" s="245"/>
      <c r="K1655" s="245"/>
      <c r="L1655" s="245"/>
      <c r="N1655" s="579"/>
      <c r="O1655" s="579"/>
      <c r="P1655" s="579"/>
      <c r="Q1655" s="66"/>
      <c r="R1655" s="66"/>
      <c r="S1655" s="66"/>
    </row>
    <row r="1656" spans="2:19" x14ac:dyDescent="0.2">
      <c r="B1656" s="245"/>
      <c r="C1656" s="245"/>
      <c r="D1656" s="245"/>
      <c r="E1656" s="245"/>
      <c r="F1656" s="245"/>
      <c r="G1656" s="579"/>
      <c r="H1656" s="245"/>
      <c r="I1656" s="245"/>
      <c r="J1656" s="245"/>
      <c r="K1656" s="245"/>
      <c r="L1656" s="245"/>
      <c r="N1656" s="579"/>
      <c r="O1656" s="579"/>
      <c r="P1656" s="579"/>
      <c r="Q1656" s="66"/>
      <c r="R1656" s="66"/>
      <c r="S1656" s="66"/>
    </row>
    <row r="1657" spans="2:19" x14ac:dyDescent="0.2">
      <c r="B1657" s="245"/>
      <c r="C1657" s="245"/>
      <c r="D1657" s="245"/>
      <c r="E1657" s="245"/>
      <c r="F1657" s="245"/>
      <c r="G1657" s="579"/>
      <c r="H1657" s="245"/>
      <c r="I1657" s="245"/>
      <c r="J1657" s="245"/>
      <c r="K1657" s="245"/>
      <c r="L1657" s="245"/>
      <c r="N1657" s="579"/>
      <c r="O1657" s="579"/>
      <c r="P1657" s="579"/>
      <c r="Q1657" s="66"/>
      <c r="R1657" s="66"/>
      <c r="S1657" s="66"/>
    </row>
    <row r="1658" spans="2:19" x14ac:dyDescent="0.2">
      <c r="B1658" s="245"/>
      <c r="C1658" s="245"/>
      <c r="D1658" s="245"/>
      <c r="E1658" s="245"/>
      <c r="F1658" s="245"/>
      <c r="G1658" s="579"/>
      <c r="H1658" s="245"/>
      <c r="I1658" s="245"/>
      <c r="J1658" s="245"/>
      <c r="K1658" s="245"/>
      <c r="L1658" s="245"/>
      <c r="N1658" s="579"/>
      <c r="O1658" s="579"/>
      <c r="P1658" s="579"/>
      <c r="Q1658" s="66"/>
      <c r="R1658" s="66"/>
      <c r="S1658" s="66"/>
    </row>
    <row r="1659" spans="2:19" x14ac:dyDescent="0.2">
      <c r="B1659" s="245"/>
      <c r="C1659" s="245"/>
      <c r="D1659" s="245"/>
      <c r="E1659" s="245"/>
      <c r="F1659" s="245"/>
      <c r="G1659" s="579"/>
      <c r="H1659" s="245"/>
      <c r="I1659" s="245"/>
      <c r="J1659" s="245"/>
      <c r="K1659" s="245"/>
      <c r="L1659" s="245"/>
      <c r="N1659" s="579"/>
      <c r="O1659" s="579"/>
      <c r="P1659" s="579"/>
      <c r="Q1659" s="66"/>
      <c r="R1659" s="66"/>
      <c r="S1659" s="66"/>
    </row>
    <row r="1660" spans="2:19" x14ac:dyDescent="0.2">
      <c r="B1660" s="245"/>
      <c r="C1660" s="245"/>
      <c r="D1660" s="245"/>
      <c r="E1660" s="245"/>
      <c r="F1660" s="245"/>
      <c r="G1660" s="579"/>
      <c r="H1660" s="245"/>
      <c r="I1660" s="245"/>
      <c r="J1660" s="245"/>
      <c r="K1660" s="245"/>
      <c r="L1660" s="245"/>
      <c r="N1660" s="579"/>
      <c r="O1660" s="579"/>
      <c r="P1660" s="579"/>
      <c r="Q1660" s="66"/>
      <c r="R1660" s="66"/>
      <c r="S1660" s="66"/>
    </row>
    <row r="1661" spans="2:19" x14ac:dyDescent="0.2">
      <c r="B1661" s="245"/>
      <c r="C1661" s="245"/>
      <c r="D1661" s="245"/>
      <c r="E1661" s="245"/>
      <c r="F1661" s="245"/>
      <c r="G1661" s="579"/>
      <c r="H1661" s="245"/>
      <c r="I1661" s="245"/>
      <c r="J1661" s="245"/>
      <c r="K1661" s="245"/>
      <c r="L1661" s="245"/>
      <c r="N1661" s="579"/>
      <c r="O1661" s="579"/>
      <c r="P1661" s="579"/>
      <c r="Q1661" s="66"/>
      <c r="R1661" s="66"/>
      <c r="S1661" s="66"/>
    </row>
    <row r="1662" spans="2:19" x14ac:dyDescent="0.2">
      <c r="B1662" s="245"/>
      <c r="C1662" s="245"/>
      <c r="D1662" s="245"/>
      <c r="E1662" s="245"/>
      <c r="F1662" s="245"/>
      <c r="G1662" s="579"/>
      <c r="H1662" s="245"/>
      <c r="I1662" s="245"/>
      <c r="J1662" s="245"/>
      <c r="K1662" s="245"/>
      <c r="L1662" s="245"/>
      <c r="N1662" s="579"/>
      <c r="O1662" s="579"/>
      <c r="P1662" s="579"/>
      <c r="Q1662" s="66"/>
      <c r="R1662" s="66"/>
      <c r="S1662" s="66"/>
    </row>
    <row r="1663" spans="2:19" x14ac:dyDescent="0.2">
      <c r="B1663" s="245"/>
      <c r="C1663" s="245"/>
      <c r="D1663" s="245"/>
      <c r="E1663" s="245"/>
      <c r="F1663" s="245"/>
      <c r="G1663" s="579"/>
      <c r="H1663" s="245"/>
      <c r="I1663" s="245"/>
      <c r="J1663" s="245"/>
      <c r="K1663" s="245"/>
      <c r="L1663" s="245"/>
      <c r="N1663" s="579"/>
      <c r="O1663" s="579"/>
      <c r="P1663" s="579"/>
      <c r="Q1663" s="66"/>
      <c r="R1663" s="66"/>
      <c r="S1663" s="66"/>
    </row>
    <row r="1664" spans="2:19" x14ac:dyDescent="0.2">
      <c r="B1664" s="245"/>
      <c r="C1664" s="245"/>
      <c r="D1664" s="245"/>
      <c r="E1664" s="245"/>
      <c r="F1664" s="245"/>
      <c r="G1664" s="579"/>
      <c r="H1664" s="245"/>
      <c r="I1664" s="245"/>
      <c r="J1664" s="245"/>
      <c r="K1664" s="245"/>
      <c r="L1664" s="245"/>
      <c r="N1664" s="579"/>
      <c r="O1664" s="579"/>
      <c r="P1664" s="579"/>
      <c r="Q1664" s="66"/>
      <c r="R1664" s="66"/>
      <c r="S1664" s="66"/>
    </row>
    <row r="1665" spans="2:19" x14ac:dyDescent="0.2">
      <c r="B1665" s="245"/>
      <c r="C1665" s="245"/>
      <c r="D1665" s="245"/>
      <c r="E1665" s="245"/>
      <c r="F1665" s="245"/>
      <c r="G1665" s="579"/>
      <c r="H1665" s="245"/>
      <c r="I1665" s="245"/>
      <c r="J1665" s="245"/>
      <c r="K1665" s="245"/>
      <c r="L1665" s="245"/>
      <c r="N1665" s="579"/>
      <c r="O1665" s="579"/>
      <c r="P1665" s="579"/>
      <c r="Q1665" s="66"/>
      <c r="R1665" s="66"/>
      <c r="S1665" s="66"/>
    </row>
    <row r="1666" spans="2:19" x14ac:dyDescent="0.2">
      <c r="B1666" s="245"/>
      <c r="C1666" s="245"/>
      <c r="D1666" s="245"/>
      <c r="E1666" s="245"/>
      <c r="F1666" s="245"/>
      <c r="G1666" s="579"/>
      <c r="H1666" s="245"/>
      <c r="I1666" s="245"/>
      <c r="J1666" s="245"/>
      <c r="K1666" s="245"/>
      <c r="L1666" s="245"/>
      <c r="N1666" s="579"/>
      <c r="O1666" s="579"/>
      <c r="P1666" s="579"/>
      <c r="Q1666" s="66"/>
      <c r="R1666" s="66"/>
      <c r="S1666" s="66"/>
    </row>
    <row r="1667" spans="2:19" x14ac:dyDescent="0.2">
      <c r="B1667" s="245"/>
      <c r="C1667" s="245"/>
      <c r="D1667" s="245"/>
      <c r="E1667" s="245"/>
      <c r="F1667" s="245"/>
      <c r="G1667" s="579"/>
      <c r="H1667" s="245"/>
      <c r="I1667" s="245"/>
      <c r="J1667" s="245"/>
      <c r="K1667" s="245"/>
      <c r="L1667" s="245"/>
      <c r="N1667" s="579"/>
      <c r="O1667" s="579"/>
      <c r="P1667" s="579"/>
      <c r="Q1667" s="66"/>
      <c r="R1667" s="66"/>
      <c r="S1667" s="66"/>
    </row>
    <row r="1668" spans="2:19" x14ac:dyDescent="0.2">
      <c r="B1668" s="245"/>
      <c r="C1668" s="245"/>
      <c r="D1668" s="245"/>
      <c r="E1668" s="245"/>
      <c r="F1668" s="245"/>
      <c r="G1668" s="579"/>
      <c r="H1668" s="245"/>
      <c r="I1668" s="245"/>
      <c r="J1668" s="245"/>
      <c r="K1668" s="245"/>
      <c r="L1668" s="245"/>
      <c r="N1668" s="579"/>
      <c r="O1668" s="579"/>
      <c r="P1668" s="579"/>
      <c r="Q1668" s="66"/>
      <c r="R1668" s="66"/>
      <c r="S1668" s="66"/>
    </row>
    <row r="1669" spans="2:19" x14ac:dyDescent="0.2">
      <c r="B1669" s="245"/>
      <c r="C1669" s="245"/>
      <c r="D1669" s="245"/>
      <c r="E1669" s="245"/>
      <c r="F1669" s="245"/>
      <c r="G1669" s="579"/>
      <c r="H1669" s="245"/>
      <c r="I1669" s="245"/>
      <c r="J1669" s="245"/>
      <c r="K1669" s="245"/>
      <c r="L1669" s="245"/>
      <c r="N1669" s="579"/>
      <c r="O1669" s="579"/>
      <c r="P1669" s="579"/>
      <c r="Q1669" s="66"/>
      <c r="R1669" s="66"/>
      <c r="S1669" s="66"/>
    </row>
    <row r="1670" spans="2:19" x14ac:dyDescent="0.2">
      <c r="B1670" s="245"/>
      <c r="C1670" s="245"/>
      <c r="D1670" s="245"/>
      <c r="E1670" s="245"/>
      <c r="F1670" s="245"/>
      <c r="G1670" s="579"/>
      <c r="H1670" s="245"/>
      <c r="I1670" s="245"/>
      <c r="J1670" s="245"/>
      <c r="K1670" s="245"/>
      <c r="L1670" s="245"/>
      <c r="N1670" s="579"/>
      <c r="O1670" s="579"/>
      <c r="P1670" s="579"/>
      <c r="Q1670" s="66"/>
      <c r="R1670" s="66"/>
      <c r="S1670" s="66"/>
    </row>
    <row r="1671" spans="2:19" x14ac:dyDescent="0.2">
      <c r="B1671" s="245"/>
      <c r="C1671" s="245"/>
      <c r="D1671" s="245"/>
      <c r="E1671" s="245"/>
      <c r="F1671" s="245"/>
      <c r="G1671" s="579"/>
      <c r="H1671" s="245"/>
      <c r="I1671" s="245"/>
      <c r="J1671" s="245"/>
      <c r="K1671" s="245"/>
      <c r="L1671" s="245"/>
      <c r="N1671" s="579"/>
      <c r="O1671" s="579"/>
      <c r="P1671" s="579"/>
      <c r="Q1671" s="66"/>
      <c r="R1671" s="66"/>
      <c r="S1671" s="66"/>
    </row>
    <row r="1672" spans="2:19" x14ac:dyDescent="0.2">
      <c r="B1672" s="245"/>
      <c r="C1672" s="245"/>
      <c r="D1672" s="245"/>
      <c r="E1672" s="245"/>
      <c r="F1672" s="245"/>
      <c r="G1672" s="579"/>
      <c r="H1672" s="245"/>
      <c r="I1672" s="245"/>
      <c r="J1672" s="245"/>
      <c r="K1672" s="245"/>
      <c r="L1672" s="245"/>
      <c r="N1672" s="579"/>
      <c r="O1672" s="579"/>
      <c r="P1672" s="579"/>
      <c r="Q1672" s="66"/>
      <c r="R1672" s="66"/>
      <c r="S1672" s="66"/>
    </row>
    <row r="1673" spans="2:19" x14ac:dyDescent="0.2">
      <c r="B1673" s="245"/>
      <c r="C1673" s="245"/>
      <c r="D1673" s="245"/>
      <c r="E1673" s="245"/>
      <c r="F1673" s="245"/>
      <c r="G1673" s="579"/>
      <c r="H1673" s="245"/>
      <c r="I1673" s="245"/>
      <c r="J1673" s="245"/>
      <c r="K1673" s="245"/>
      <c r="L1673" s="245"/>
      <c r="N1673" s="579"/>
      <c r="O1673" s="579"/>
      <c r="P1673" s="579"/>
      <c r="Q1673" s="66"/>
      <c r="R1673" s="66"/>
      <c r="S1673" s="66"/>
    </row>
    <row r="1674" spans="2:19" x14ac:dyDescent="0.2">
      <c r="B1674" s="245"/>
      <c r="C1674" s="245"/>
      <c r="D1674" s="245"/>
      <c r="E1674" s="245"/>
      <c r="F1674" s="245"/>
      <c r="G1674" s="579"/>
      <c r="H1674" s="245"/>
      <c r="I1674" s="245"/>
      <c r="J1674" s="245"/>
      <c r="K1674" s="245"/>
      <c r="L1674" s="245"/>
      <c r="N1674" s="579"/>
      <c r="O1674" s="579"/>
      <c r="P1674" s="579"/>
      <c r="Q1674" s="66"/>
      <c r="R1674" s="66"/>
      <c r="S1674" s="66"/>
    </row>
    <row r="1675" spans="2:19" x14ac:dyDescent="0.2">
      <c r="B1675" s="245"/>
      <c r="C1675" s="245"/>
      <c r="D1675" s="245"/>
      <c r="E1675" s="245"/>
      <c r="F1675" s="245"/>
      <c r="G1675" s="579"/>
      <c r="H1675" s="245"/>
      <c r="I1675" s="245"/>
      <c r="J1675" s="245"/>
      <c r="K1675" s="245"/>
      <c r="L1675" s="245"/>
      <c r="N1675" s="579"/>
      <c r="O1675" s="579"/>
      <c r="P1675" s="579"/>
      <c r="Q1675" s="66"/>
      <c r="R1675" s="66"/>
      <c r="S1675" s="66"/>
    </row>
    <row r="1676" spans="2:19" x14ac:dyDescent="0.2">
      <c r="B1676" s="245"/>
      <c r="C1676" s="245"/>
      <c r="D1676" s="245"/>
      <c r="E1676" s="245"/>
      <c r="F1676" s="245"/>
      <c r="G1676" s="579"/>
      <c r="H1676" s="245"/>
      <c r="I1676" s="245"/>
      <c r="J1676" s="245"/>
      <c r="K1676" s="245"/>
      <c r="L1676" s="245"/>
      <c r="N1676" s="579"/>
      <c r="O1676" s="579"/>
      <c r="P1676" s="579"/>
      <c r="Q1676" s="66"/>
      <c r="R1676" s="66"/>
      <c r="S1676" s="66"/>
    </row>
    <row r="1677" spans="2:19" x14ac:dyDescent="0.2">
      <c r="B1677" s="245"/>
      <c r="C1677" s="245"/>
      <c r="D1677" s="245"/>
      <c r="E1677" s="245"/>
      <c r="F1677" s="245"/>
      <c r="G1677" s="579"/>
      <c r="H1677" s="245"/>
      <c r="I1677" s="245"/>
      <c r="J1677" s="245"/>
      <c r="K1677" s="245"/>
      <c r="L1677" s="245"/>
      <c r="N1677" s="579"/>
      <c r="O1677" s="579"/>
      <c r="P1677" s="579"/>
      <c r="Q1677" s="66"/>
      <c r="R1677" s="66"/>
      <c r="S1677" s="66"/>
    </row>
    <row r="1678" spans="2:19" x14ac:dyDescent="0.2">
      <c r="B1678" s="245"/>
      <c r="C1678" s="245"/>
      <c r="D1678" s="245"/>
      <c r="E1678" s="245"/>
      <c r="F1678" s="245"/>
      <c r="G1678" s="579"/>
      <c r="H1678" s="245"/>
      <c r="I1678" s="245"/>
      <c r="J1678" s="245"/>
      <c r="K1678" s="245"/>
      <c r="L1678" s="245"/>
      <c r="N1678" s="579"/>
      <c r="O1678" s="579"/>
      <c r="P1678" s="579"/>
      <c r="Q1678" s="66"/>
      <c r="R1678" s="66"/>
      <c r="S1678" s="66"/>
    </row>
    <row r="1679" spans="2:19" x14ac:dyDescent="0.2">
      <c r="B1679" s="245"/>
      <c r="C1679" s="245"/>
      <c r="D1679" s="245"/>
      <c r="E1679" s="245"/>
      <c r="F1679" s="245"/>
      <c r="G1679" s="579"/>
      <c r="H1679" s="245"/>
      <c r="I1679" s="245"/>
      <c r="J1679" s="245"/>
      <c r="K1679" s="245"/>
      <c r="L1679" s="245"/>
      <c r="N1679" s="579"/>
      <c r="O1679" s="579"/>
      <c r="P1679" s="579"/>
      <c r="Q1679" s="66"/>
      <c r="R1679" s="66"/>
      <c r="S1679" s="66"/>
    </row>
    <row r="1680" spans="2:19" x14ac:dyDescent="0.2">
      <c r="B1680" s="245"/>
      <c r="C1680" s="245"/>
      <c r="D1680" s="245"/>
      <c r="E1680" s="245"/>
      <c r="F1680" s="245"/>
      <c r="G1680" s="579"/>
      <c r="H1680" s="245"/>
      <c r="I1680" s="245"/>
      <c r="J1680" s="245"/>
      <c r="K1680" s="245"/>
      <c r="L1680" s="245"/>
      <c r="N1680" s="579"/>
      <c r="O1680" s="579"/>
      <c r="P1680" s="579"/>
      <c r="Q1680" s="66"/>
      <c r="R1680" s="66"/>
      <c r="S1680" s="66"/>
    </row>
    <row r="1681" spans="2:19" x14ac:dyDescent="0.2">
      <c r="B1681" s="245"/>
      <c r="C1681" s="245"/>
      <c r="D1681" s="245"/>
      <c r="E1681" s="245"/>
      <c r="F1681" s="245"/>
      <c r="G1681" s="579"/>
      <c r="H1681" s="245"/>
      <c r="I1681" s="245"/>
      <c r="J1681" s="245"/>
      <c r="K1681" s="245"/>
      <c r="L1681" s="245"/>
      <c r="N1681" s="579"/>
      <c r="O1681" s="579"/>
      <c r="P1681" s="579"/>
      <c r="Q1681" s="66"/>
      <c r="R1681" s="66"/>
      <c r="S1681" s="66"/>
    </row>
    <row r="1682" spans="2:19" x14ac:dyDescent="0.2">
      <c r="B1682" s="245"/>
      <c r="C1682" s="245"/>
      <c r="D1682" s="245"/>
      <c r="E1682" s="245"/>
      <c r="F1682" s="245"/>
      <c r="G1682" s="579"/>
      <c r="H1682" s="245"/>
      <c r="I1682" s="245"/>
      <c r="J1682" s="245"/>
      <c r="K1682" s="245"/>
      <c r="L1682" s="245"/>
      <c r="N1682" s="579"/>
      <c r="O1682" s="579"/>
      <c r="P1682" s="579"/>
      <c r="Q1682" s="66"/>
      <c r="R1682" s="66"/>
      <c r="S1682" s="66"/>
    </row>
    <row r="1683" spans="2:19" x14ac:dyDescent="0.2">
      <c r="B1683" s="245"/>
      <c r="C1683" s="245"/>
      <c r="D1683" s="245"/>
      <c r="E1683" s="245"/>
      <c r="F1683" s="245"/>
      <c r="G1683" s="579"/>
      <c r="H1683" s="245"/>
      <c r="I1683" s="245"/>
      <c r="J1683" s="245"/>
      <c r="K1683" s="245"/>
      <c r="L1683" s="245"/>
      <c r="N1683" s="579"/>
      <c r="O1683" s="579"/>
      <c r="P1683" s="579"/>
      <c r="Q1683" s="66"/>
      <c r="R1683" s="66"/>
      <c r="S1683" s="66"/>
    </row>
    <row r="1684" spans="2:19" x14ac:dyDescent="0.2">
      <c r="B1684" s="245"/>
      <c r="C1684" s="245"/>
      <c r="D1684" s="245"/>
      <c r="E1684" s="245"/>
      <c r="F1684" s="245"/>
      <c r="G1684" s="579"/>
      <c r="H1684" s="245"/>
      <c r="I1684" s="245"/>
      <c r="J1684" s="245"/>
      <c r="K1684" s="245"/>
      <c r="L1684" s="245"/>
      <c r="N1684" s="579"/>
      <c r="O1684" s="579"/>
      <c r="P1684" s="579"/>
      <c r="Q1684" s="66"/>
      <c r="R1684" s="66"/>
      <c r="S1684" s="66"/>
    </row>
    <row r="1685" spans="2:19" x14ac:dyDescent="0.2">
      <c r="B1685" s="245"/>
      <c r="C1685" s="245"/>
      <c r="D1685" s="245"/>
      <c r="E1685" s="245"/>
      <c r="F1685" s="245"/>
      <c r="G1685" s="579"/>
      <c r="H1685" s="245"/>
      <c r="I1685" s="245"/>
      <c r="J1685" s="245"/>
      <c r="K1685" s="245"/>
      <c r="L1685" s="245"/>
      <c r="N1685" s="579"/>
      <c r="O1685" s="579"/>
      <c r="P1685" s="579"/>
      <c r="Q1685" s="66"/>
      <c r="R1685" s="66"/>
      <c r="S1685" s="66"/>
    </row>
    <row r="1686" spans="2:19" x14ac:dyDescent="0.2">
      <c r="B1686" s="245"/>
      <c r="C1686" s="245"/>
      <c r="D1686" s="245"/>
      <c r="E1686" s="245"/>
      <c r="F1686" s="245"/>
      <c r="G1686" s="579"/>
      <c r="H1686" s="245"/>
      <c r="I1686" s="245"/>
      <c r="J1686" s="245"/>
      <c r="K1686" s="245"/>
      <c r="L1686" s="245"/>
      <c r="N1686" s="579"/>
      <c r="O1686" s="579"/>
      <c r="P1686" s="579"/>
      <c r="Q1686" s="66"/>
      <c r="R1686" s="66"/>
      <c r="S1686" s="66"/>
    </row>
    <row r="1687" spans="2:19" x14ac:dyDescent="0.2">
      <c r="B1687" s="245"/>
      <c r="C1687" s="245"/>
      <c r="D1687" s="245"/>
      <c r="E1687" s="245"/>
      <c r="F1687" s="245"/>
      <c r="G1687" s="579"/>
      <c r="H1687" s="245"/>
      <c r="I1687" s="245"/>
      <c r="J1687" s="245"/>
      <c r="K1687" s="245"/>
      <c r="L1687" s="245"/>
      <c r="N1687" s="579"/>
      <c r="O1687" s="579"/>
      <c r="P1687" s="579"/>
      <c r="Q1687" s="66"/>
      <c r="R1687" s="66"/>
      <c r="S1687" s="66"/>
    </row>
    <row r="1688" spans="2:19" x14ac:dyDescent="0.2">
      <c r="B1688" s="245"/>
      <c r="C1688" s="245"/>
      <c r="D1688" s="245"/>
      <c r="E1688" s="245"/>
      <c r="F1688" s="245"/>
      <c r="G1688" s="579"/>
      <c r="H1688" s="245"/>
      <c r="I1688" s="245"/>
      <c r="J1688" s="245"/>
      <c r="K1688" s="245"/>
      <c r="L1688" s="245"/>
      <c r="N1688" s="579"/>
      <c r="O1688" s="579"/>
      <c r="P1688" s="579"/>
      <c r="Q1688" s="66"/>
      <c r="R1688" s="66"/>
      <c r="S1688" s="66"/>
    </row>
    <row r="1689" spans="2:19" x14ac:dyDescent="0.2">
      <c r="B1689" s="245"/>
      <c r="C1689" s="245"/>
      <c r="D1689" s="245"/>
      <c r="E1689" s="245"/>
      <c r="F1689" s="245"/>
      <c r="G1689" s="579"/>
      <c r="H1689" s="245"/>
      <c r="I1689" s="245"/>
      <c r="J1689" s="245"/>
      <c r="K1689" s="245"/>
      <c r="L1689" s="245"/>
      <c r="N1689" s="579"/>
      <c r="O1689" s="579"/>
      <c r="P1689" s="579"/>
      <c r="Q1689" s="66"/>
      <c r="R1689" s="66"/>
      <c r="S1689" s="66"/>
    </row>
    <row r="1690" spans="2:19" x14ac:dyDescent="0.2">
      <c r="B1690" s="245"/>
      <c r="C1690" s="245"/>
      <c r="D1690" s="245"/>
      <c r="E1690" s="245"/>
      <c r="F1690" s="245"/>
      <c r="G1690" s="579"/>
      <c r="H1690" s="245"/>
      <c r="I1690" s="245"/>
      <c r="J1690" s="245"/>
      <c r="K1690" s="245"/>
      <c r="L1690" s="245"/>
      <c r="N1690" s="579"/>
      <c r="O1690" s="579"/>
      <c r="P1690" s="579"/>
      <c r="Q1690" s="66"/>
      <c r="R1690" s="66"/>
      <c r="S1690" s="66"/>
    </row>
    <row r="1691" spans="2:19" x14ac:dyDescent="0.2">
      <c r="B1691" s="245"/>
      <c r="C1691" s="245"/>
      <c r="D1691" s="245"/>
      <c r="E1691" s="245"/>
      <c r="F1691" s="245"/>
      <c r="G1691" s="579"/>
      <c r="H1691" s="245"/>
      <c r="I1691" s="245"/>
      <c r="J1691" s="245"/>
      <c r="K1691" s="245"/>
      <c r="L1691" s="245"/>
      <c r="N1691" s="579"/>
      <c r="O1691" s="579"/>
      <c r="P1691" s="579"/>
      <c r="Q1691" s="66"/>
      <c r="R1691" s="66"/>
      <c r="S1691" s="66"/>
    </row>
    <row r="1692" spans="2:19" x14ac:dyDescent="0.2">
      <c r="B1692" s="245"/>
      <c r="C1692" s="245"/>
      <c r="D1692" s="245"/>
      <c r="E1692" s="245"/>
      <c r="F1692" s="245"/>
      <c r="G1692" s="579"/>
      <c r="H1692" s="245"/>
      <c r="I1692" s="245"/>
      <c r="J1692" s="245"/>
      <c r="K1692" s="245"/>
      <c r="L1692" s="245"/>
      <c r="N1692" s="579"/>
      <c r="O1692" s="579"/>
      <c r="P1692" s="579"/>
      <c r="Q1692" s="66"/>
      <c r="R1692" s="66"/>
      <c r="S1692" s="66"/>
    </row>
    <row r="1693" spans="2:19" x14ac:dyDescent="0.2">
      <c r="B1693" s="245"/>
      <c r="C1693" s="245"/>
      <c r="D1693" s="245"/>
      <c r="E1693" s="245"/>
      <c r="F1693" s="245"/>
      <c r="G1693" s="579"/>
      <c r="H1693" s="245"/>
      <c r="I1693" s="245"/>
      <c r="J1693" s="245"/>
      <c r="K1693" s="245"/>
      <c r="L1693" s="245"/>
      <c r="N1693" s="579"/>
      <c r="O1693" s="579"/>
      <c r="P1693" s="579"/>
      <c r="Q1693" s="66"/>
      <c r="R1693" s="66"/>
      <c r="S1693" s="66"/>
    </row>
    <row r="1694" spans="2:19" x14ac:dyDescent="0.2">
      <c r="B1694" s="245"/>
      <c r="C1694" s="245"/>
      <c r="D1694" s="245"/>
      <c r="E1694" s="245"/>
      <c r="F1694" s="245"/>
      <c r="G1694" s="579"/>
      <c r="H1694" s="245"/>
      <c r="I1694" s="245"/>
      <c r="J1694" s="245"/>
      <c r="K1694" s="245"/>
      <c r="L1694" s="245"/>
      <c r="N1694" s="579"/>
      <c r="O1694" s="579"/>
      <c r="P1694" s="579"/>
      <c r="Q1694" s="66"/>
      <c r="R1694" s="66"/>
      <c r="S1694" s="66"/>
    </row>
    <row r="1695" spans="2:19" x14ac:dyDescent="0.2">
      <c r="B1695" s="245"/>
      <c r="C1695" s="245"/>
      <c r="D1695" s="245"/>
      <c r="E1695" s="245"/>
      <c r="F1695" s="245"/>
      <c r="G1695" s="579"/>
      <c r="H1695" s="245"/>
      <c r="I1695" s="245"/>
      <c r="J1695" s="245"/>
      <c r="K1695" s="245"/>
      <c r="L1695" s="245"/>
      <c r="N1695" s="579"/>
      <c r="O1695" s="579"/>
      <c r="P1695" s="579"/>
      <c r="Q1695" s="66"/>
      <c r="R1695" s="66"/>
      <c r="S1695" s="66"/>
    </row>
    <row r="1696" spans="2:19" x14ac:dyDescent="0.2">
      <c r="B1696" s="245"/>
      <c r="C1696" s="245"/>
      <c r="D1696" s="245"/>
      <c r="E1696" s="245"/>
      <c r="F1696" s="245"/>
      <c r="G1696" s="579"/>
      <c r="H1696" s="245"/>
      <c r="I1696" s="245"/>
      <c r="J1696" s="245"/>
      <c r="K1696" s="245"/>
      <c r="L1696" s="245"/>
      <c r="N1696" s="579"/>
      <c r="O1696" s="579"/>
      <c r="P1696" s="579"/>
      <c r="Q1696" s="66"/>
      <c r="R1696" s="66"/>
      <c r="S1696" s="66"/>
    </row>
    <row r="1697" spans="2:19" x14ac:dyDescent="0.2">
      <c r="B1697" s="245"/>
      <c r="C1697" s="245"/>
      <c r="D1697" s="245"/>
      <c r="E1697" s="245"/>
      <c r="F1697" s="245"/>
      <c r="G1697" s="579"/>
      <c r="H1697" s="245"/>
      <c r="I1697" s="245"/>
      <c r="J1697" s="245"/>
      <c r="K1697" s="245"/>
      <c r="L1697" s="245"/>
      <c r="N1697" s="579"/>
      <c r="O1697" s="579"/>
      <c r="P1697" s="579"/>
      <c r="Q1697" s="66"/>
      <c r="R1697" s="66"/>
      <c r="S1697" s="66"/>
    </row>
    <row r="1698" spans="2:19" x14ac:dyDescent="0.2">
      <c r="B1698" s="245"/>
      <c r="C1698" s="245"/>
      <c r="D1698" s="245"/>
      <c r="E1698" s="245"/>
      <c r="F1698" s="245"/>
      <c r="G1698" s="579"/>
      <c r="H1698" s="245"/>
      <c r="I1698" s="245"/>
      <c r="J1698" s="245"/>
      <c r="K1698" s="245"/>
      <c r="L1698" s="245"/>
      <c r="N1698" s="579"/>
      <c r="O1698" s="579"/>
      <c r="P1698" s="579"/>
      <c r="Q1698" s="66"/>
      <c r="R1698" s="66"/>
      <c r="S1698" s="66"/>
    </row>
    <row r="1699" spans="2:19" x14ac:dyDescent="0.2">
      <c r="B1699" s="245"/>
      <c r="C1699" s="245"/>
      <c r="D1699" s="245"/>
      <c r="E1699" s="245"/>
      <c r="F1699" s="245"/>
      <c r="G1699" s="579"/>
      <c r="H1699" s="245"/>
      <c r="I1699" s="245"/>
      <c r="J1699" s="245"/>
      <c r="K1699" s="245"/>
      <c r="L1699" s="245"/>
      <c r="N1699" s="579"/>
      <c r="O1699" s="579"/>
      <c r="P1699" s="579"/>
      <c r="Q1699" s="66"/>
      <c r="R1699" s="66"/>
      <c r="S1699" s="66"/>
    </row>
    <row r="1700" spans="2:19" x14ac:dyDescent="0.2">
      <c r="B1700" s="245"/>
      <c r="C1700" s="245"/>
      <c r="D1700" s="245"/>
      <c r="E1700" s="245"/>
      <c r="F1700" s="245"/>
      <c r="G1700" s="579"/>
      <c r="H1700" s="245"/>
      <c r="I1700" s="245"/>
      <c r="J1700" s="245"/>
      <c r="K1700" s="245"/>
      <c r="L1700" s="245"/>
      <c r="N1700" s="579"/>
      <c r="O1700" s="579"/>
      <c r="P1700" s="579"/>
      <c r="Q1700" s="66"/>
      <c r="R1700" s="66"/>
      <c r="S1700" s="66"/>
    </row>
    <row r="1701" spans="2:19" x14ac:dyDescent="0.2">
      <c r="B1701" s="245"/>
      <c r="C1701" s="245"/>
      <c r="D1701" s="245"/>
      <c r="E1701" s="245"/>
      <c r="F1701" s="245"/>
      <c r="G1701" s="579"/>
      <c r="H1701" s="245"/>
      <c r="I1701" s="245"/>
      <c r="J1701" s="245"/>
      <c r="K1701" s="245"/>
      <c r="L1701" s="245"/>
      <c r="N1701" s="579"/>
      <c r="O1701" s="579"/>
      <c r="P1701" s="579"/>
      <c r="Q1701" s="66"/>
      <c r="R1701" s="66"/>
      <c r="S1701" s="66"/>
    </row>
    <row r="1702" spans="2:19" x14ac:dyDescent="0.2">
      <c r="B1702" s="245"/>
      <c r="C1702" s="245"/>
      <c r="D1702" s="245"/>
      <c r="E1702" s="245"/>
      <c r="F1702" s="245"/>
      <c r="G1702" s="579"/>
      <c r="H1702" s="245"/>
      <c r="I1702" s="245"/>
      <c r="J1702" s="245"/>
      <c r="K1702" s="245"/>
      <c r="L1702" s="245"/>
      <c r="N1702" s="579"/>
      <c r="O1702" s="579"/>
      <c r="P1702" s="579"/>
      <c r="Q1702" s="66"/>
      <c r="R1702" s="66"/>
      <c r="S1702" s="66"/>
    </row>
    <row r="1703" spans="2:19" x14ac:dyDescent="0.2">
      <c r="B1703" s="245"/>
      <c r="C1703" s="245"/>
      <c r="D1703" s="245"/>
      <c r="E1703" s="245"/>
      <c r="F1703" s="245"/>
      <c r="G1703" s="579"/>
      <c r="H1703" s="245"/>
      <c r="I1703" s="245"/>
      <c r="J1703" s="245"/>
      <c r="K1703" s="245"/>
      <c r="L1703" s="245"/>
      <c r="N1703" s="579"/>
      <c r="O1703" s="579"/>
      <c r="P1703" s="579"/>
      <c r="Q1703" s="66"/>
      <c r="R1703" s="66"/>
      <c r="S1703" s="66"/>
    </row>
    <row r="1704" spans="2:19" x14ac:dyDescent="0.2">
      <c r="B1704" s="245"/>
      <c r="C1704" s="245"/>
      <c r="D1704" s="245"/>
      <c r="E1704" s="245"/>
      <c r="F1704" s="245"/>
      <c r="G1704" s="579"/>
      <c r="H1704" s="245"/>
      <c r="I1704" s="245"/>
      <c r="J1704" s="245"/>
      <c r="K1704" s="245"/>
      <c r="L1704" s="245"/>
      <c r="N1704" s="579"/>
      <c r="O1704" s="579"/>
      <c r="P1704" s="579"/>
      <c r="Q1704" s="66"/>
      <c r="R1704" s="66"/>
      <c r="S1704" s="66"/>
    </row>
    <row r="1705" spans="2:19" x14ac:dyDescent="0.2">
      <c r="B1705" s="245"/>
      <c r="C1705" s="245"/>
      <c r="D1705" s="245"/>
      <c r="E1705" s="245"/>
      <c r="F1705" s="245"/>
      <c r="G1705" s="579"/>
      <c r="H1705" s="245"/>
      <c r="I1705" s="245"/>
      <c r="J1705" s="245"/>
      <c r="K1705" s="245"/>
      <c r="L1705" s="245"/>
      <c r="N1705" s="579"/>
      <c r="O1705" s="579"/>
      <c r="P1705" s="579"/>
      <c r="Q1705" s="66"/>
      <c r="R1705" s="66"/>
      <c r="S1705" s="66"/>
    </row>
    <row r="1706" spans="2:19" x14ac:dyDescent="0.2">
      <c r="B1706" s="245"/>
      <c r="C1706" s="245"/>
      <c r="D1706" s="245"/>
      <c r="E1706" s="245"/>
      <c r="F1706" s="245"/>
      <c r="G1706" s="579"/>
      <c r="H1706" s="245"/>
      <c r="I1706" s="245"/>
      <c r="J1706" s="245"/>
      <c r="K1706" s="245"/>
      <c r="L1706" s="245"/>
      <c r="N1706" s="579"/>
      <c r="O1706" s="579"/>
      <c r="P1706" s="579"/>
      <c r="Q1706" s="66"/>
      <c r="R1706" s="66"/>
      <c r="S1706" s="66"/>
    </row>
    <row r="1707" spans="2:19" x14ac:dyDescent="0.2">
      <c r="B1707" s="245"/>
      <c r="C1707" s="245"/>
      <c r="D1707" s="245"/>
      <c r="E1707" s="245"/>
      <c r="F1707" s="245"/>
      <c r="G1707" s="579"/>
      <c r="H1707" s="245"/>
      <c r="I1707" s="245"/>
      <c r="J1707" s="245"/>
      <c r="K1707" s="245"/>
      <c r="L1707" s="245"/>
      <c r="N1707" s="579"/>
      <c r="O1707" s="579"/>
      <c r="P1707" s="579"/>
      <c r="Q1707" s="66"/>
      <c r="R1707" s="66"/>
      <c r="S1707" s="66"/>
    </row>
    <row r="1708" spans="2:19" x14ac:dyDescent="0.2">
      <c r="B1708" s="245"/>
      <c r="C1708" s="245"/>
      <c r="D1708" s="245"/>
      <c r="E1708" s="245"/>
      <c r="F1708" s="245"/>
      <c r="G1708" s="579"/>
      <c r="H1708" s="245"/>
      <c r="I1708" s="245"/>
      <c r="J1708" s="245"/>
      <c r="K1708" s="245"/>
      <c r="L1708" s="245"/>
      <c r="N1708" s="579"/>
      <c r="O1708" s="579"/>
      <c r="P1708" s="579"/>
      <c r="Q1708" s="66"/>
      <c r="R1708" s="66"/>
      <c r="S1708" s="66"/>
    </row>
    <row r="1709" spans="2:19" x14ac:dyDescent="0.2">
      <c r="B1709" s="245"/>
      <c r="C1709" s="245"/>
      <c r="D1709" s="245"/>
      <c r="E1709" s="245"/>
      <c r="F1709" s="245"/>
      <c r="G1709" s="579"/>
      <c r="H1709" s="245"/>
      <c r="I1709" s="245"/>
      <c r="J1709" s="245"/>
      <c r="K1709" s="245"/>
      <c r="L1709" s="245"/>
      <c r="N1709" s="579"/>
      <c r="O1709" s="579"/>
      <c r="P1709" s="579"/>
      <c r="Q1709" s="66"/>
      <c r="R1709" s="66"/>
      <c r="S1709" s="66"/>
    </row>
    <row r="1710" spans="2:19" x14ac:dyDescent="0.2">
      <c r="B1710" s="245"/>
      <c r="C1710" s="245"/>
      <c r="D1710" s="245"/>
      <c r="E1710" s="245"/>
      <c r="F1710" s="245"/>
      <c r="G1710" s="579"/>
      <c r="H1710" s="245"/>
      <c r="I1710" s="245"/>
      <c r="J1710" s="245"/>
      <c r="K1710" s="245"/>
      <c r="L1710" s="245"/>
      <c r="N1710" s="579"/>
      <c r="O1710" s="579"/>
      <c r="P1710" s="579"/>
      <c r="Q1710" s="66"/>
      <c r="R1710" s="66"/>
      <c r="S1710" s="66"/>
    </row>
    <row r="1711" spans="2:19" x14ac:dyDescent="0.2">
      <c r="B1711" s="245"/>
      <c r="C1711" s="245"/>
      <c r="D1711" s="245"/>
      <c r="E1711" s="245"/>
      <c r="F1711" s="245"/>
      <c r="G1711" s="579"/>
      <c r="H1711" s="245"/>
      <c r="I1711" s="245"/>
      <c r="J1711" s="245"/>
      <c r="K1711" s="245"/>
      <c r="L1711" s="245"/>
      <c r="N1711" s="579"/>
      <c r="O1711" s="579"/>
      <c r="P1711" s="579"/>
      <c r="Q1711" s="66"/>
      <c r="R1711" s="66"/>
      <c r="S1711" s="66"/>
    </row>
    <row r="1712" spans="2:19" x14ac:dyDescent="0.2">
      <c r="B1712" s="245"/>
      <c r="C1712" s="245"/>
      <c r="D1712" s="245"/>
      <c r="E1712" s="245"/>
      <c r="F1712" s="245"/>
      <c r="G1712" s="579"/>
      <c r="H1712" s="245"/>
      <c r="I1712" s="245"/>
      <c r="J1712" s="245"/>
      <c r="K1712" s="245"/>
      <c r="L1712" s="245"/>
      <c r="N1712" s="579"/>
      <c r="O1712" s="579"/>
      <c r="P1712" s="579"/>
      <c r="Q1712" s="66"/>
      <c r="R1712" s="66"/>
      <c r="S1712" s="66"/>
    </row>
    <row r="1713" spans="2:19" x14ac:dyDescent="0.2">
      <c r="B1713" s="245"/>
      <c r="C1713" s="245"/>
      <c r="D1713" s="245"/>
      <c r="E1713" s="245"/>
      <c r="F1713" s="245"/>
      <c r="G1713" s="579"/>
      <c r="H1713" s="245"/>
      <c r="I1713" s="245"/>
      <c r="J1713" s="245"/>
      <c r="K1713" s="245"/>
      <c r="L1713" s="245"/>
      <c r="N1713" s="579"/>
      <c r="O1713" s="579"/>
      <c r="P1713" s="579"/>
      <c r="Q1713" s="66"/>
      <c r="R1713" s="66"/>
      <c r="S1713" s="66"/>
    </row>
    <row r="1714" spans="2:19" x14ac:dyDescent="0.2">
      <c r="B1714" s="245"/>
      <c r="C1714" s="245"/>
      <c r="D1714" s="245"/>
      <c r="E1714" s="245"/>
      <c r="F1714" s="245"/>
      <c r="G1714" s="579"/>
      <c r="H1714" s="245"/>
      <c r="I1714" s="245"/>
      <c r="J1714" s="245"/>
      <c r="K1714" s="245"/>
      <c r="L1714" s="245"/>
      <c r="N1714" s="579"/>
      <c r="O1714" s="579"/>
      <c r="P1714" s="579"/>
      <c r="Q1714" s="66"/>
      <c r="R1714" s="66"/>
      <c r="S1714" s="66"/>
    </row>
    <row r="1715" spans="2:19" x14ac:dyDescent="0.2">
      <c r="B1715" s="245"/>
      <c r="C1715" s="245"/>
      <c r="D1715" s="245"/>
      <c r="E1715" s="245"/>
      <c r="F1715" s="245"/>
      <c r="G1715" s="579"/>
      <c r="H1715" s="245"/>
      <c r="I1715" s="245"/>
      <c r="J1715" s="245"/>
      <c r="K1715" s="245"/>
      <c r="L1715" s="245"/>
      <c r="N1715" s="579"/>
      <c r="O1715" s="579"/>
      <c r="P1715" s="579"/>
      <c r="Q1715" s="66"/>
      <c r="R1715" s="66"/>
      <c r="S1715" s="66"/>
    </row>
    <row r="1716" spans="2:19" x14ac:dyDescent="0.2">
      <c r="B1716" s="245"/>
      <c r="C1716" s="245"/>
      <c r="D1716" s="245"/>
      <c r="E1716" s="245"/>
      <c r="F1716" s="245"/>
      <c r="G1716" s="579"/>
      <c r="H1716" s="245"/>
      <c r="I1716" s="245"/>
      <c r="J1716" s="245"/>
      <c r="K1716" s="245"/>
      <c r="L1716" s="245"/>
      <c r="N1716" s="579"/>
      <c r="O1716" s="579"/>
      <c r="P1716" s="579"/>
      <c r="Q1716" s="66"/>
      <c r="R1716" s="66"/>
      <c r="S1716" s="66"/>
    </row>
    <row r="1717" spans="2:19" x14ac:dyDescent="0.2">
      <c r="B1717" s="245"/>
      <c r="C1717" s="245"/>
      <c r="D1717" s="245"/>
      <c r="E1717" s="245"/>
      <c r="F1717" s="245"/>
      <c r="G1717" s="579"/>
      <c r="H1717" s="245"/>
      <c r="I1717" s="245"/>
      <c r="J1717" s="245"/>
      <c r="K1717" s="245"/>
      <c r="L1717" s="245"/>
      <c r="N1717" s="579"/>
      <c r="O1717" s="579"/>
      <c r="P1717" s="579"/>
      <c r="Q1717" s="66"/>
      <c r="R1717" s="66"/>
      <c r="S1717" s="66"/>
    </row>
    <row r="1718" spans="2:19" x14ac:dyDescent="0.2">
      <c r="B1718" s="245"/>
      <c r="C1718" s="245"/>
      <c r="D1718" s="245"/>
      <c r="E1718" s="245"/>
      <c r="F1718" s="245"/>
      <c r="G1718" s="579"/>
      <c r="H1718" s="245"/>
      <c r="I1718" s="245"/>
      <c r="J1718" s="245"/>
      <c r="K1718" s="245"/>
      <c r="L1718" s="245"/>
      <c r="N1718" s="579"/>
      <c r="O1718" s="579"/>
      <c r="P1718" s="579"/>
      <c r="Q1718" s="66"/>
      <c r="R1718" s="66"/>
      <c r="S1718" s="66"/>
    </row>
    <row r="1719" spans="2:19" x14ac:dyDescent="0.2">
      <c r="B1719" s="245"/>
      <c r="C1719" s="245"/>
      <c r="D1719" s="245"/>
      <c r="E1719" s="245"/>
      <c r="F1719" s="245"/>
      <c r="G1719" s="579"/>
      <c r="H1719" s="245"/>
      <c r="I1719" s="245"/>
      <c r="J1719" s="245"/>
      <c r="K1719" s="245"/>
      <c r="L1719" s="245"/>
      <c r="N1719" s="579"/>
      <c r="O1719" s="579"/>
      <c r="P1719" s="579"/>
      <c r="Q1719" s="66"/>
      <c r="R1719" s="66"/>
      <c r="S1719" s="66"/>
    </row>
    <row r="1720" spans="2:19" x14ac:dyDescent="0.2">
      <c r="B1720" s="245"/>
      <c r="C1720" s="245"/>
      <c r="D1720" s="245"/>
      <c r="E1720" s="245"/>
      <c r="F1720" s="245"/>
      <c r="G1720" s="579"/>
      <c r="H1720" s="245"/>
      <c r="I1720" s="245"/>
      <c r="J1720" s="245"/>
      <c r="K1720" s="245"/>
      <c r="L1720" s="245"/>
      <c r="N1720" s="579"/>
      <c r="O1720" s="579"/>
      <c r="P1720" s="579"/>
      <c r="Q1720" s="66"/>
      <c r="R1720" s="66"/>
      <c r="S1720" s="66"/>
    </row>
    <row r="1721" spans="2:19" x14ac:dyDescent="0.2">
      <c r="B1721" s="245"/>
      <c r="C1721" s="245"/>
      <c r="D1721" s="245"/>
      <c r="E1721" s="245"/>
      <c r="F1721" s="245"/>
      <c r="G1721" s="579"/>
      <c r="H1721" s="245"/>
      <c r="I1721" s="245"/>
      <c r="J1721" s="245"/>
      <c r="K1721" s="245"/>
      <c r="L1721" s="245"/>
      <c r="N1721" s="579"/>
      <c r="O1721" s="579"/>
      <c r="P1721" s="579"/>
      <c r="Q1721" s="66"/>
      <c r="R1721" s="66"/>
      <c r="S1721" s="66"/>
    </row>
    <row r="1722" spans="2:19" x14ac:dyDescent="0.2">
      <c r="B1722" s="245"/>
      <c r="C1722" s="245"/>
      <c r="D1722" s="245"/>
      <c r="E1722" s="245"/>
      <c r="F1722" s="245"/>
      <c r="G1722" s="579"/>
      <c r="H1722" s="245"/>
      <c r="I1722" s="245"/>
      <c r="J1722" s="245"/>
      <c r="K1722" s="245"/>
      <c r="L1722" s="245"/>
      <c r="N1722" s="579"/>
      <c r="O1722" s="579"/>
      <c r="P1722" s="579"/>
      <c r="Q1722" s="66"/>
      <c r="R1722" s="66"/>
      <c r="S1722" s="66"/>
    </row>
    <row r="1723" spans="2:19" x14ac:dyDescent="0.2">
      <c r="B1723" s="245"/>
      <c r="C1723" s="245"/>
      <c r="D1723" s="245"/>
      <c r="E1723" s="245"/>
      <c r="F1723" s="245"/>
      <c r="G1723" s="579"/>
      <c r="H1723" s="245"/>
      <c r="I1723" s="245"/>
      <c r="J1723" s="245"/>
      <c r="K1723" s="245"/>
      <c r="L1723" s="245"/>
      <c r="N1723" s="579"/>
      <c r="O1723" s="579"/>
      <c r="P1723" s="579"/>
      <c r="Q1723" s="66"/>
      <c r="R1723" s="66"/>
      <c r="S1723" s="66"/>
    </row>
    <row r="1724" spans="2:19" x14ac:dyDescent="0.2">
      <c r="B1724" s="245"/>
      <c r="C1724" s="245"/>
      <c r="D1724" s="245"/>
      <c r="E1724" s="245"/>
      <c r="F1724" s="245"/>
      <c r="G1724" s="579"/>
      <c r="H1724" s="245"/>
      <c r="I1724" s="245"/>
      <c r="J1724" s="245"/>
      <c r="K1724" s="245"/>
      <c r="L1724" s="245"/>
      <c r="N1724" s="579"/>
      <c r="O1724" s="579"/>
      <c r="P1724" s="579"/>
      <c r="Q1724" s="66"/>
      <c r="R1724" s="66"/>
      <c r="S1724" s="66"/>
    </row>
    <row r="1725" spans="2:19" x14ac:dyDescent="0.2">
      <c r="B1725" s="245"/>
      <c r="C1725" s="245"/>
      <c r="D1725" s="245"/>
      <c r="E1725" s="245"/>
      <c r="F1725" s="245"/>
      <c r="G1725" s="579"/>
      <c r="H1725" s="245"/>
      <c r="I1725" s="245"/>
      <c r="J1725" s="245"/>
      <c r="K1725" s="245"/>
      <c r="L1725" s="245"/>
      <c r="N1725" s="579"/>
      <c r="O1725" s="579"/>
      <c r="P1725" s="579"/>
      <c r="Q1725" s="66"/>
      <c r="R1725" s="66"/>
      <c r="S1725" s="66"/>
    </row>
    <row r="1726" spans="2:19" x14ac:dyDescent="0.2">
      <c r="B1726" s="245"/>
      <c r="C1726" s="245"/>
      <c r="D1726" s="245"/>
      <c r="E1726" s="245"/>
      <c r="F1726" s="245"/>
      <c r="G1726" s="579"/>
      <c r="H1726" s="245"/>
      <c r="I1726" s="245"/>
      <c r="J1726" s="245"/>
      <c r="K1726" s="245"/>
      <c r="L1726" s="245"/>
      <c r="N1726" s="579"/>
      <c r="O1726" s="579"/>
      <c r="P1726" s="579"/>
      <c r="Q1726" s="66"/>
      <c r="R1726" s="66"/>
      <c r="S1726" s="66"/>
    </row>
    <row r="1727" spans="2:19" x14ac:dyDescent="0.2">
      <c r="B1727" s="245"/>
      <c r="C1727" s="245"/>
      <c r="D1727" s="245"/>
      <c r="E1727" s="245"/>
      <c r="F1727" s="245"/>
      <c r="G1727" s="579"/>
      <c r="H1727" s="245"/>
      <c r="I1727" s="245"/>
      <c r="J1727" s="245"/>
      <c r="K1727" s="245"/>
      <c r="L1727" s="245"/>
      <c r="N1727" s="579"/>
      <c r="O1727" s="579"/>
      <c r="P1727" s="579"/>
      <c r="Q1727" s="66"/>
      <c r="R1727" s="66"/>
      <c r="S1727" s="66"/>
    </row>
    <row r="1728" spans="2:19" x14ac:dyDescent="0.2">
      <c r="B1728" s="245"/>
      <c r="C1728" s="245"/>
      <c r="D1728" s="245"/>
      <c r="E1728" s="245"/>
      <c r="F1728" s="245"/>
      <c r="G1728" s="579"/>
      <c r="H1728" s="245"/>
      <c r="I1728" s="245"/>
      <c r="J1728" s="245"/>
      <c r="K1728" s="245"/>
      <c r="L1728" s="245"/>
      <c r="N1728" s="579"/>
      <c r="O1728" s="579"/>
      <c r="P1728" s="579"/>
      <c r="Q1728" s="66"/>
      <c r="R1728" s="66"/>
      <c r="S1728" s="66"/>
    </row>
    <row r="1729" spans="2:19" x14ac:dyDescent="0.2">
      <c r="B1729" s="245"/>
      <c r="C1729" s="245"/>
      <c r="D1729" s="245"/>
      <c r="E1729" s="245"/>
      <c r="F1729" s="245"/>
      <c r="G1729" s="579"/>
      <c r="H1729" s="245"/>
      <c r="I1729" s="245"/>
      <c r="J1729" s="245"/>
      <c r="K1729" s="245"/>
      <c r="L1729" s="245"/>
      <c r="N1729" s="579"/>
      <c r="O1729" s="579"/>
      <c r="P1729" s="579"/>
      <c r="Q1729" s="66"/>
      <c r="R1729" s="66"/>
      <c r="S1729" s="66"/>
    </row>
    <row r="1730" spans="2:19" x14ac:dyDescent="0.2">
      <c r="B1730" s="245"/>
      <c r="C1730" s="245"/>
      <c r="D1730" s="245"/>
      <c r="E1730" s="245"/>
      <c r="F1730" s="245"/>
      <c r="G1730" s="579"/>
      <c r="H1730" s="245"/>
      <c r="I1730" s="245"/>
      <c r="J1730" s="245"/>
      <c r="K1730" s="245"/>
      <c r="L1730" s="245"/>
      <c r="N1730" s="579"/>
      <c r="O1730" s="579"/>
      <c r="P1730" s="579"/>
      <c r="Q1730" s="66"/>
      <c r="R1730" s="66"/>
      <c r="S1730" s="66"/>
    </row>
    <row r="1731" spans="2:19" x14ac:dyDescent="0.2">
      <c r="B1731" s="245"/>
      <c r="C1731" s="245"/>
      <c r="D1731" s="245"/>
      <c r="E1731" s="245"/>
      <c r="F1731" s="245"/>
      <c r="G1731" s="579"/>
      <c r="H1731" s="245"/>
      <c r="I1731" s="245"/>
      <c r="J1731" s="245"/>
      <c r="K1731" s="245"/>
      <c r="L1731" s="245"/>
      <c r="N1731" s="579"/>
      <c r="O1731" s="579"/>
      <c r="P1731" s="579"/>
      <c r="Q1731" s="66"/>
      <c r="R1731" s="66"/>
      <c r="S1731" s="66"/>
    </row>
    <row r="1732" spans="2:19" x14ac:dyDescent="0.2">
      <c r="B1732" s="245"/>
      <c r="C1732" s="245"/>
      <c r="D1732" s="245"/>
      <c r="E1732" s="245"/>
      <c r="F1732" s="245"/>
      <c r="G1732" s="579"/>
      <c r="H1732" s="245"/>
      <c r="I1732" s="245"/>
      <c r="J1732" s="245"/>
      <c r="K1732" s="245"/>
      <c r="L1732" s="245"/>
      <c r="N1732" s="579"/>
      <c r="O1732" s="579"/>
      <c r="P1732" s="579"/>
      <c r="Q1732" s="66"/>
      <c r="R1732" s="66"/>
      <c r="S1732" s="66"/>
    </row>
    <row r="1733" spans="2:19" x14ac:dyDescent="0.2">
      <c r="B1733" s="245"/>
      <c r="C1733" s="245"/>
      <c r="D1733" s="245"/>
      <c r="E1733" s="245"/>
      <c r="F1733" s="245"/>
      <c r="G1733" s="579"/>
      <c r="H1733" s="245"/>
      <c r="I1733" s="245"/>
      <c r="J1733" s="245"/>
      <c r="K1733" s="245"/>
      <c r="L1733" s="245"/>
      <c r="N1733" s="579"/>
      <c r="O1733" s="579"/>
      <c r="P1733" s="579"/>
      <c r="Q1733" s="66"/>
      <c r="R1733" s="66"/>
      <c r="S1733" s="66"/>
    </row>
    <row r="1734" spans="2:19" x14ac:dyDescent="0.2">
      <c r="B1734" s="245"/>
      <c r="C1734" s="245"/>
      <c r="D1734" s="245"/>
      <c r="E1734" s="245"/>
      <c r="F1734" s="245"/>
      <c r="G1734" s="579"/>
      <c r="H1734" s="245"/>
      <c r="I1734" s="245"/>
      <c r="J1734" s="245"/>
      <c r="K1734" s="245"/>
      <c r="L1734" s="245"/>
      <c r="N1734" s="579"/>
      <c r="O1734" s="579"/>
      <c r="P1734" s="579"/>
      <c r="Q1734" s="66"/>
      <c r="R1734" s="66"/>
      <c r="S1734" s="66"/>
    </row>
    <row r="1735" spans="2:19" x14ac:dyDescent="0.2">
      <c r="B1735" s="245"/>
      <c r="C1735" s="245"/>
      <c r="D1735" s="245"/>
      <c r="E1735" s="245"/>
      <c r="F1735" s="245"/>
      <c r="G1735" s="579"/>
      <c r="H1735" s="245"/>
      <c r="I1735" s="245"/>
      <c r="J1735" s="245"/>
      <c r="K1735" s="245"/>
      <c r="L1735" s="245"/>
      <c r="N1735" s="579"/>
      <c r="O1735" s="579"/>
      <c r="P1735" s="579"/>
      <c r="Q1735" s="66"/>
      <c r="R1735" s="66"/>
      <c r="S1735" s="66"/>
    </row>
    <row r="1736" spans="2:19" x14ac:dyDescent="0.2">
      <c r="B1736" s="245"/>
      <c r="C1736" s="245"/>
      <c r="D1736" s="245"/>
      <c r="E1736" s="245"/>
      <c r="F1736" s="245"/>
      <c r="G1736" s="579"/>
      <c r="H1736" s="245"/>
      <c r="I1736" s="245"/>
      <c r="J1736" s="245"/>
      <c r="K1736" s="245"/>
      <c r="L1736" s="245"/>
      <c r="N1736" s="579"/>
      <c r="O1736" s="579"/>
      <c r="P1736" s="579"/>
      <c r="Q1736" s="66"/>
      <c r="R1736" s="66"/>
      <c r="S1736" s="66"/>
    </row>
    <row r="1737" spans="2:19" x14ac:dyDescent="0.2">
      <c r="B1737" s="245"/>
      <c r="C1737" s="245"/>
      <c r="D1737" s="245"/>
      <c r="E1737" s="245"/>
      <c r="F1737" s="245"/>
      <c r="G1737" s="579"/>
      <c r="H1737" s="245"/>
      <c r="I1737" s="245"/>
      <c r="J1737" s="245"/>
      <c r="K1737" s="245"/>
      <c r="L1737" s="245"/>
      <c r="N1737" s="579"/>
      <c r="O1737" s="579"/>
      <c r="P1737" s="579"/>
      <c r="Q1737" s="66"/>
      <c r="R1737" s="66"/>
      <c r="S1737" s="66"/>
    </row>
    <row r="1738" spans="2:19" x14ac:dyDescent="0.2">
      <c r="B1738" s="245"/>
      <c r="C1738" s="245"/>
      <c r="D1738" s="245"/>
      <c r="E1738" s="245"/>
      <c r="F1738" s="245"/>
      <c r="G1738" s="579"/>
      <c r="H1738" s="245"/>
      <c r="I1738" s="245"/>
      <c r="J1738" s="245"/>
      <c r="K1738" s="245"/>
      <c r="L1738" s="245"/>
      <c r="N1738" s="579"/>
      <c r="O1738" s="579"/>
      <c r="P1738" s="579"/>
      <c r="Q1738" s="66"/>
      <c r="R1738" s="66"/>
      <c r="S1738" s="66"/>
    </row>
    <row r="1739" spans="2:19" x14ac:dyDescent="0.2">
      <c r="B1739" s="245"/>
      <c r="C1739" s="245"/>
      <c r="D1739" s="245"/>
      <c r="E1739" s="245"/>
      <c r="F1739" s="245"/>
      <c r="G1739" s="579"/>
      <c r="H1739" s="245"/>
      <c r="I1739" s="245"/>
      <c r="J1739" s="245"/>
      <c r="K1739" s="245"/>
      <c r="L1739" s="245"/>
      <c r="N1739" s="579"/>
      <c r="O1739" s="579"/>
      <c r="P1739" s="579"/>
      <c r="Q1739" s="66"/>
      <c r="R1739" s="66"/>
      <c r="S1739" s="66"/>
    </row>
    <row r="1740" spans="2:19" x14ac:dyDescent="0.2">
      <c r="B1740" s="245"/>
      <c r="C1740" s="245"/>
      <c r="D1740" s="245"/>
      <c r="E1740" s="245"/>
      <c r="F1740" s="245"/>
      <c r="G1740" s="579"/>
      <c r="H1740" s="245"/>
      <c r="I1740" s="245"/>
      <c r="J1740" s="245"/>
      <c r="K1740" s="245"/>
      <c r="L1740" s="245"/>
      <c r="N1740" s="579"/>
      <c r="O1740" s="579"/>
      <c r="P1740" s="579"/>
      <c r="Q1740" s="66"/>
      <c r="R1740" s="66"/>
      <c r="S1740" s="66"/>
    </row>
    <row r="1741" spans="2:19" x14ac:dyDescent="0.2">
      <c r="B1741" s="245"/>
      <c r="C1741" s="245"/>
      <c r="D1741" s="245"/>
      <c r="E1741" s="245"/>
      <c r="F1741" s="245"/>
      <c r="G1741" s="579"/>
      <c r="H1741" s="245"/>
      <c r="I1741" s="245"/>
      <c r="J1741" s="245"/>
      <c r="K1741" s="245"/>
      <c r="L1741" s="245"/>
      <c r="N1741" s="579"/>
      <c r="O1741" s="579"/>
      <c r="P1741" s="579"/>
      <c r="Q1741" s="66"/>
      <c r="R1741" s="66"/>
      <c r="S1741" s="66"/>
    </row>
    <row r="1742" spans="2:19" x14ac:dyDescent="0.2">
      <c r="B1742" s="245"/>
      <c r="C1742" s="245"/>
      <c r="D1742" s="245"/>
      <c r="E1742" s="245"/>
      <c r="F1742" s="245"/>
      <c r="G1742" s="579"/>
      <c r="H1742" s="245"/>
      <c r="I1742" s="245"/>
      <c r="J1742" s="245"/>
      <c r="K1742" s="245"/>
      <c r="L1742" s="245"/>
      <c r="N1742" s="579"/>
      <c r="O1742" s="579"/>
      <c r="P1742" s="579"/>
      <c r="Q1742" s="66"/>
      <c r="R1742" s="66"/>
      <c r="S1742" s="66"/>
    </row>
    <row r="1743" spans="2:19" x14ac:dyDescent="0.2">
      <c r="B1743" s="245"/>
      <c r="C1743" s="245"/>
      <c r="D1743" s="245"/>
      <c r="E1743" s="245"/>
      <c r="F1743" s="245"/>
      <c r="G1743" s="579"/>
      <c r="H1743" s="245"/>
      <c r="I1743" s="245"/>
      <c r="J1743" s="245"/>
      <c r="K1743" s="245"/>
      <c r="L1743" s="245"/>
      <c r="N1743" s="579"/>
      <c r="O1743" s="579"/>
      <c r="P1743" s="579"/>
      <c r="Q1743" s="66"/>
      <c r="R1743" s="66"/>
      <c r="S1743" s="66"/>
    </row>
    <row r="1744" spans="2:19" x14ac:dyDescent="0.2">
      <c r="B1744" s="245"/>
      <c r="C1744" s="245"/>
      <c r="D1744" s="245"/>
      <c r="E1744" s="245"/>
      <c r="F1744" s="245"/>
      <c r="G1744" s="579"/>
      <c r="H1744" s="245"/>
      <c r="I1744" s="245"/>
      <c r="J1744" s="245"/>
      <c r="K1744" s="245"/>
      <c r="L1744" s="245"/>
      <c r="N1744" s="579"/>
      <c r="O1744" s="579"/>
      <c r="P1744" s="579"/>
      <c r="Q1744" s="66"/>
      <c r="R1744" s="66"/>
      <c r="S1744" s="66"/>
    </row>
    <row r="1745" spans="2:19" x14ac:dyDescent="0.2">
      <c r="B1745" s="245"/>
      <c r="C1745" s="245"/>
      <c r="D1745" s="245"/>
      <c r="E1745" s="245"/>
      <c r="F1745" s="245"/>
      <c r="G1745" s="579"/>
      <c r="H1745" s="245"/>
      <c r="I1745" s="245"/>
      <c r="J1745" s="245"/>
      <c r="K1745" s="245"/>
      <c r="L1745" s="245"/>
      <c r="N1745" s="579"/>
      <c r="O1745" s="579"/>
      <c r="P1745" s="579"/>
      <c r="Q1745" s="66"/>
      <c r="R1745" s="66"/>
      <c r="S1745" s="66"/>
    </row>
    <row r="1746" spans="2:19" x14ac:dyDescent="0.2">
      <c r="B1746" s="245"/>
      <c r="C1746" s="245"/>
      <c r="D1746" s="245"/>
      <c r="E1746" s="245"/>
      <c r="F1746" s="245"/>
      <c r="G1746" s="579"/>
      <c r="H1746" s="245"/>
      <c r="I1746" s="245"/>
      <c r="J1746" s="245"/>
      <c r="K1746" s="245"/>
      <c r="L1746" s="245"/>
      <c r="N1746" s="579"/>
      <c r="O1746" s="579"/>
      <c r="P1746" s="579"/>
      <c r="Q1746" s="66"/>
      <c r="R1746" s="66"/>
      <c r="S1746" s="66"/>
    </row>
    <row r="1747" spans="2:19" x14ac:dyDescent="0.2">
      <c r="B1747" s="245"/>
      <c r="C1747" s="245"/>
      <c r="D1747" s="245"/>
      <c r="E1747" s="245"/>
      <c r="F1747" s="245"/>
      <c r="G1747" s="579"/>
      <c r="H1747" s="245"/>
      <c r="I1747" s="245"/>
      <c r="J1747" s="245"/>
      <c r="K1747" s="245"/>
      <c r="L1747" s="245"/>
      <c r="N1747" s="579"/>
      <c r="O1747" s="579"/>
      <c r="P1747" s="579"/>
      <c r="Q1747" s="66"/>
      <c r="R1747" s="66"/>
      <c r="S1747" s="66"/>
    </row>
    <row r="1748" spans="2:19" x14ac:dyDescent="0.2">
      <c r="B1748" s="245"/>
      <c r="C1748" s="245"/>
      <c r="D1748" s="245"/>
      <c r="E1748" s="245"/>
      <c r="F1748" s="245"/>
      <c r="G1748" s="579"/>
      <c r="H1748" s="245"/>
      <c r="I1748" s="245"/>
      <c r="J1748" s="245"/>
      <c r="K1748" s="245"/>
      <c r="L1748" s="245"/>
      <c r="N1748" s="579"/>
      <c r="O1748" s="579"/>
      <c r="P1748" s="579"/>
      <c r="Q1748" s="66"/>
      <c r="R1748" s="66"/>
      <c r="S1748" s="66"/>
    </row>
    <row r="1749" spans="2:19" x14ac:dyDescent="0.2">
      <c r="B1749" s="245"/>
      <c r="C1749" s="245"/>
      <c r="D1749" s="245"/>
      <c r="E1749" s="245"/>
      <c r="F1749" s="245"/>
      <c r="G1749" s="579"/>
      <c r="H1749" s="245"/>
      <c r="I1749" s="245"/>
      <c r="J1749" s="245"/>
      <c r="K1749" s="245"/>
      <c r="L1749" s="245"/>
      <c r="N1749" s="579"/>
      <c r="O1749" s="579"/>
      <c r="P1749" s="579"/>
      <c r="Q1749" s="66"/>
      <c r="R1749" s="66"/>
      <c r="S1749" s="66"/>
    </row>
    <row r="1750" spans="2:19" x14ac:dyDescent="0.2">
      <c r="B1750" s="245"/>
      <c r="C1750" s="245"/>
      <c r="D1750" s="245"/>
      <c r="E1750" s="245"/>
      <c r="F1750" s="245"/>
      <c r="G1750" s="579"/>
      <c r="H1750" s="245"/>
      <c r="I1750" s="245"/>
      <c r="J1750" s="245"/>
      <c r="K1750" s="245"/>
      <c r="L1750" s="245"/>
      <c r="N1750" s="579"/>
      <c r="O1750" s="579"/>
      <c r="P1750" s="579"/>
      <c r="Q1750" s="66"/>
      <c r="R1750" s="66"/>
      <c r="S1750" s="66"/>
    </row>
    <row r="1751" spans="2:19" x14ac:dyDescent="0.2">
      <c r="B1751" s="245"/>
      <c r="C1751" s="245"/>
      <c r="D1751" s="245"/>
      <c r="E1751" s="245"/>
      <c r="F1751" s="245"/>
      <c r="G1751" s="579"/>
      <c r="H1751" s="245"/>
      <c r="I1751" s="245"/>
      <c r="J1751" s="245"/>
      <c r="K1751" s="245"/>
      <c r="L1751" s="245"/>
      <c r="N1751" s="579"/>
      <c r="O1751" s="579"/>
      <c r="P1751" s="579"/>
      <c r="Q1751" s="66"/>
      <c r="R1751" s="66"/>
      <c r="S1751" s="66"/>
    </row>
    <row r="1752" spans="2:19" x14ac:dyDescent="0.2">
      <c r="B1752" s="245"/>
      <c r="C1752" s="245"/>
      <c r="D1752" s="245"/>
      <c r="E1752" s="245"/>
      <c r="F1752" s="245"/>
      <c r="G1752" s="579"/>
      <c r="H1752" s="245"/>
      <c r="I1752" s="245"/>
      <c r="J1752" s="245"/>
      <c r="K1752" s="245"/>
      <c r="L1752" s="245"/>
      <c r="N1752" s="579"/>
      <c r="O1752" s="579"/>
      <c r="P1752" s="579"/>
      <c r="Q1752" s="66"/>
      <c r="R1752" s="66"/>
      <c r="S1752" s="66"/>
    </row>
    <row r="1753" spans="2:19" x14ac:dyDescent="0.2">
      <c r="B1753" s="245"/>
      <c r="C1753" s="245"/>
      <c r="D1753" s="245"/>
      <c r="E1753" s="245"/>
      <c r="F1753" s="245"/>
      <c r="G1753" s="579"/>
      <c r="H1753" s="245"/>
      <c r="I1753" s="245"/>
      <c r="J1753" s="245"/>
      <c r="K1753" s="245"/>
      <c r="L1753" s="245"/>
      <c r="N1753" s="579"/>
      <c r="O1753" s="579"/>
      <c r="P1753" s="579"/>
      <c r="Q1753" s="66"/>
      <c r="R1753" s="66"/>
      <c r="S1753" s="66"/>
    </row>
    <row r="1754" spans="2:19" x14ac:dyDescent="0.2">
      <c r="B1754" s="245"/>
      <c r="C1754" s="245"/>
      <c r="D1754" s="245"/>
      <c r="E1754" s="245"/>
      <c r="F1754" s="245"/>
      <c r="G1754" s="579"/>
      <c r="H1754" s="245"/>
      <c r="I1754" s="245"/>
      <c r="J1754" s="245"/>
      <c r="K1754" s="245"/>
      <c r="L1754" s="245"/>
      <c r="N1754" s="579"/>
      <c r="O1754" s="579"/>
      <c r="P1754" s="579"/>
      <c r="Q1754" s="66"/>
      <c r="R1754" s="66"/>
      <c r="S1754" s="66"/>
    </row>
    <row r="1755" spans="2:19" x14ac:dyDescent="0.2">
      <c r="B1755" s="245"/>
      <c r="C1755" s="245"/>
      <c r="D1755" s="245"/>
      <c r="E1755" s="245"/>
      <c r="F1755" s="245"/>
      <c r="G1755" s="579"/>
      <c r="H1755" s="245"/>
      <c r="I1755" s="245"/>
      <c r="J1755" s="245"/>
      <c r="K1755" s="245"/>
      <c r="L1755" s="245"/>
      <c r="N1755" s="579"/>
      <c r="O1755" s="579"/>
      <c r="P1755" s="579"/>
      <c r="Q1755" s="66"/>
      <c r="R1755" s="66"/>
      <c r="S1755" s="66"/>
    </row>
    <row r="1756" spans="2:19" x14ac:dyDescent="0.2">
      <c r="B1756" s="245"/>
      <c r="C1756" s="245"/>
      <c r="D1756" s="245"/>
      <c r="E1756" s="245"/>
      <c r="F1756" s="245"/>
      <c r="G1756" s="579"/>
      <c r="H1756" s="245"/>
      <c r="I1756" s="245"/>
      <c r="J1756" s="245"/>
      <c r="K1756" s="245"/>
      <c r="L1756" s="245"/>
      <c r="N1756" s="579"/>
      <c r="O1756" s="579"/>
      <c r="P1756" s="579"/>
      <c r="Q1756" s="66"/>
      <c r="R1756" s="66"/>
      <c r="S1756" s="66"/>
    </row>
    <row r="1757" spans="2:19" x14ac:dyDescent="0.2">
      <c r="B1757" s="245"/>
      <c r="C1757" s="245"/>
      <c r="D1757" s="245"/>
      <c r="E1757" s="245"/>
      <c r="F1757" s="245"/>
      <c r="G1757" s="579"/>
      <c r="H1757" s="245"/>
      <c r="I1757" s="245"/>
      <c r="J1757" s="245"/>
      <c r="K1757" s="245"/>
      <c r="L1757" s="245"/>
      <c r="N1757" s="579"/>
      <c r="O1757" s="579"/>
      <c r="P1757" s="579"/>
      <c r="Q1757" s="66"/>
      <c r="R1757" s="66"/>
      <c r="S1757" s="66"/>
    </row>
    <row r="1758" spans="2:19" x14ac:dyDescent="0.2">
      <c r="B1758" s="245"/>
      <c r="C1758" s="245"/>
      <c r="D1758" s="245"/>
      <c r="E1758" s="245"/>
      <c r="F1758" s="245"/>
      <c r="G1758" s="579"/>
      <c r="H1758" s="245"/>
      <c r="I1758" s="245"/>
      <c r="J1758" s="245"/>
      <c r="K1758" s="245"/>
      <c r="L1758" s="245"/>
      <c r="N1758" s="579"/>
      <c r="O1758" s="579"/>
      <c r="P1758" s="579"/>
      <c r="Q1758" s="66"/>
      <c r="R1758" s="66"/>
      <c r="S1758" s="66"/>
    </row>
    <row r="1759" spans="2:19" x14ac:dyDescent="0.2">
      <c r="B1759" s="245"/>
      <c r="C1759" s="245"/>
      <c r="D1759" s="245"/>
      <c r="E1759" s="245"/>
      <c r="F1759" s="245"/>
      <c r="G1759" s="579"/>
      <c r="H1759" s="245"/>
      <c r="I1759" s="245"/>
      <c r="J1759" s="245"/>
      <c r="K1759" s="245"/>
      <c r="L1759" s="245"/>
      <c r="N1759" s="579"/>
      <c r="O1759" s="579"/>
      <c r="P1759" s="579"/>
      <c r="Q1759" s="66"/>
      <c r="R1759" s="66"/>
      <c r="S1759" s="66"/>
    </row>
    <row r="1760" spans="2:19" x14ac:dyDescent="0.2">
      <c r="B1760" s="245"/>
      <c r="C1760" s="245"/>
      <c r="D1760" s="245"/>
      <c r="E1760" s="245"/>
      <c r="F1760" s="245"/>
      <c r="G1760" s="579"/>
      <c r="H1760" s="245"/>
      <c r="I1760" s="245"/>
      <c r="J1760" s="245"/>
      <c r="K1760" s="245"/>
      <c r="L1760" s="245"/>
      <c r="N1760" s="579"/>
      <c r="O1760" s="579"/>
      <c r="P1760" s="579"/>
      <c r="Q1760" s="66"/>
      <c r="R1760" s="66"/>
      <c r="S1760" s="66"/>
    </row>
    <row r="1761" spans="2:19" x14ac:dyDescent="0.2">
      <c r="B1761" s="245"/>
      <c r="C1761" s="245"/>
      <c r="D1761" s="245"/>
      <c r="E1761" s="245"/>
      <c r="F1761" s="245"/>
      <c r="G1761" s="579"/>
      <c r="H1761" s="245"/>
      <c r="I1761" s="245"/>
      <c r="J1761" s="245"/>
      <c r="K1761" s="245"/>
      <c r="L1761" s="245"/>
      <c r="N1761" s="579"/>
      <c r="O1761" s="579"/>
      <c r="P1761" s="579"/>
      <c r="Q1761" s="66"/>
      <c r="R1761" s="66"/>
      <c r="S1761" s="66"/>
    </row>
    <row r="1762" spans="2:19" x14ac:dyDescent="0.2">
      <c r="B1762" s="245"/>
      <c r="C1762" s="245"/>
      <c r="D1762" s="245"/>
      <c r="E1762" s="245"/>
      <c r="F1762" s="245"/>
      <c r="G1762" s="579"/>
      <c r="H1762" s="245"/>
      <c r="I1762" s="245"/>
      <c r="J1762" s="245"/>
      <c r="K1762" s="245"/>
      <c r="L1762" s="245"/>
      <c r="N1762" s="579"/>
      <c r="O1762" s="579"/>
      <c r="P1762" s="579"/>
      <c r="Q1762" s="66"/>
      <c r="R1762" s="66"/>
      <c r="S1762" s="66"/>
    </row>
    <row r="1763" spans="2:19" x14ac:dyDescent="0.2">
      <c r="B1763" s="245"/>
      <c r="C1763" s="245"/>
      <c r="D1763" s="245"/>
      <c r="E1763" s="245"/>
      <c r="F1763" s="245"/>
      <c r="G1763" s="579"/>
      <c r="H1763" s="245"/>
      <c r="I1763" s="245"/>
      <c r="J1763" s="245"/>
      <c r="K1763" s="245"/>
      <c r="L1763" s="245"/>
      <c r="N1763" s="579"/>
      <c r="O1763" s="579"/>
      <c r="P1763" s="579"/>
      <c r="Q1763" s="66"/>
      <c r="R1763" s="66"/>
      <c r="S1763" s="66"/>
    </row>
    <row r="1764" spans="2:19" x14ac:dyDescent="0.2">
      <c r="B1764" s="245"/>
      <c r="C1764" s="245"/>
      <c r="D1764" s="245"/>
      <c r="E1764" s="245"/>
      <c r="F1764" s="245"/>
      <c r="G1764" s="579"/>
      <c r="H1764" s="245"/>
      <c r="I1764" s="245"/>
      <c r="J1764" s="245"/>
      <c r="K1764" s="245"/>
      <c r="L1764" s="245"/>
      <c r="N1764" s="579"/>
      <c r="O1764" s="579"/>
      <c r="P1764" s="579"/>
      <c r="Q1764" s="66"/>
      <c r="R1764" s="66"/>
      <c r="S1764" s="66"/>
    </row>
    <row r="1765" spans="2:19" x14ac:dyDescent="0.2">
      <c r="B1765" s="245"/>
      <c r="C1765" s="245"/>
      <c r="D1765" s="245"/>
      <c r="E1765" s="245"/>
      <c r="F1765" s="245"/>
      <c r="G1765" s="579"/>
      <c r="H1765" s="245"/>
      <c r="I1765" s="245"/>
      <c r="J1765" s="245"/>
      <c r="K1765" s="245"/>
      <c r="L1765" s="245"/>
      <c r="N1765" s="579"/>
      <c r="O1765" s="579"/>
      <c r="P1765" s="579"/>
      <c r="Q1765" s="66"/>
      <c r="R1765" s="66"/>
      <c r="S1765" s="66"/>
    </row>
    <row r="1766" spans="2:19" x14ac:dyDescent="0.2">
      <c r="B1766" s="245"/>
      <c r="C1766" s="245"/>
      <c r="D1766" s="245"/>
      <c r="E1766" s="245"/>
      <c r="F1766" s="245"/>
      <c r="G1766" s="579"/>
      <c r="H1766" s="245"/>
      <c r="I1766" s="245"/>
      <c r="J1766" s="245"/>
      <c r="K1766" s="245"/>
      <c r="L1766" s="245"/>
      <c r="N1766" s="579"/>
      <c r="O1766" s="579"/>
      <c r="P1766" s="579"/>
      <c r="Q1766" s="66"/>
      <c r="R1766" s="66"/>
      <c r="S1766" s="66"/>
    </row>
    <row r="1767" spans="2:19" x14ac:dyDescent="0.2">
      <c r="B1767" s="245"/>
      <c r="C1767" s="245"/>
      <c r="D1767" s="245"/>
      <c r="E1767" s="245"/>
      <c r="F1767" s="245"/>
      <c r="G1767" s="579"/>
      <c r="H1767" s="245"/>
      <c r="I1767" s="245"/>
      <c r="J1767" s="245"/>
      <c r="K1767" s="245"/>
      <c r="L1767" s="245"/>
      <c r="N1767" s="579"/>
      <c r="O1767" s="579"/>
      <c r="P1767" s="579"/>
      <c r="Q1767" s="66"/>
      <c r="R1767" s="66"/>
      <c r="S1767" s="66"/>
    </row>
    <row r="1768" spans="2:19" x14ac:dyDescent="0.2">
      <c r="B1768" s="245"/>
      <c r="C1768" s="245"/>
      <c r="D1768" s="245"/>
      <c r="E1768" s="245"/>
      <c r="F1768" s="245"/>
      <c r="G1768" s="579"/>
      <c r="H1768" s="245"/>
      <c r="I1768" s="245"/>
      <c r="J1768" s="245"/>
      <c r="K1768" s="245"/>
      <c r="L1768" s="245"/>
      <c r="N1768" s="579"/>
      <c r="O1768" s="579"/>
      <c r="P1768" s="579"/>
      <c r="Q1768" s="66"/>
      <c r="R1768" s="66"/>
      <c r="S1768" s="66"/>
    </row>
    <row r="1769" spans="2:19" x14ac:dyDescent="0.2">
      <c r="B1769" s="245"/>
      <c r="C1769" s="245"/>
      <c r="D1769" s="245"/>
      <c r="E1769" s="245"/>
      <c r="F1769" s="245"/>
      <c r="G1769" s="579"/>
      <c r="H1769" s="245"/>
      <c r="I1769" s="245"/>
      <c r="J1769" s="245"/>
      <c r="K1769" s="245"/>
      <c r="L1769" s="245"/>
      <c r="N1769" s="579"/>
      <c r="O1769" s="579"/>
      <c r="P1769" s="579"/>
      <c r="Q1769" s="66"/>
      <c r="R1769" s="66"/>
      <c r="S1769" s="66"/>
    </row>
    <row r="1770" spans="2:19" x14ac:dyDescent="0.2">
      <c r="B1770" s="245"/>
      <c r="C1770" s="245"/>
      <c r="D1770" s="245"/>
      <c r="E1770" s="245"/>
      <c r="F1770" s="245"/>
      <c r="G1770" s="579"/>
      <c r="H1770" s="245"/>
      <c r="I1770" s="245"/>
      <c r="J1770" s="245"/>
      <c r="K1770" s="245"/>
      <c r="L1770" s="245"/>
      <c r="N1770" s="579"/>
      <c r="O1770" s="579"/>
      <c r="P1770" s="579"/>
      <c r="Q1770" s="66"/>
      <c r="R1770" s="66"/>
      <c r="S1770" s="66"/>
    </row>
    <row r="1771" spans="2:19" x14ac:dyDescent="0.2">
      <c r="B1771" s="245"/>
      <c r="C1771" s="245"/>
      <c r="D1771" s="245"/>
      <c r="E1771" s="245"/>
      <c r="F1771" s="245"/>
      <c r="G1771" s="579"/>
      <c r="H1771" s="245"/>
      <c r="I1771" s="245"/>
      <c r="J1771" s="245"/>
      <c r="K1771" s="245"/>
      <c r="L1771" s="245"/>
      <c r="N1771" s="579"/>
      <c r="O1771" s="579"/>
      <c r="P1771" s="579"/>
      <c r="Q1771" s="66"/>
      <c r="R1771" s="66"/>
      <c r="S1771" s="66"/>
    </row>
    <row r="1772" spans="2:19" x14ac:dyDescent="0.2">
      <c r="B1772" s="245"/>
      <c r="C1772" s="245"/>
      <c r="D1772" s="245"/>
      <c r="E1772" s="245"/>
      <c r="F1772" s="245"/>
      <c r="G1772" s="579"/>
      <c r="H1772" s="245"/>
      <c r="I1772" s="245"/>
      <c r="J1772" s="245"/>
      <c r="K1772" s="245"/>
      <c r="L1772" s="245"/>
      <c r="N1772" s="579"/>
      <c r="O1772" s="579"/>
      <c r="P1772" s="579"/>
      <c r="Q1772" s="66"/>
      <c r="R1772" s="66"/>
      <c r="S1772" s="66"/>
    </row>
    <row r="1773" spans="2:19" x14ac:dyDescent="0.2">
      <c r="B1773" s="245"/>
      <c r="C1773" s="245"/>
      <c r="D1773" s="245"/>
      <c r="E1773" s="245"/>
      <c r="F1773" s="245"/>
      <c r="G1773" s="579"/>
      <c r="H1773" s="245"/>
      <c r="I1773" s="245"/>
      <c r="J1773" s="245"/>
      <c r="K1773" s="245"/>
      <c r="L1773" s="245"/>
      <c r="N1773" s="579"/>
      <c r="O1773" s="579"/>
      <c r="P1773" s="579"/>
      <c r="Q1773" s="66"/>
      <c r="R1773" s="66"/>
      <c r="S1773" s="66"/>
    </row>
    <row r="1774" spans="2:19" x14ac:dyDescent="0.2">
      <c r="B1774" s="245"/>
      <c r="C1774" s="245"/>
      <c r="D1774" s="245"/>
      <c r="E1774" s="245"/>
      <c r="F1774" s="245"/>
      <c r="G1774" s="579"/>
      <c r="H1774" s="245"/>
      <c r="I1774" s="245"/>
      <c r="J1774" s="245"/>
      <c r="K1774" s="245"/>
      <c r="L1774" s="245"/>
      <c r="N1774" s="579"/>
      <c r="O1774" s="579"/>
      <c r="P1774" s="579"/>
      <c r="Q1774" s="66"/>
      <c r="R1774" s="66"/>
      <c r="S1774" s="66"/>
    </row>
    <row r="1775" spans="2:19" x14ac:dyDescent="0.2">
      <c r="B1775" s="245"/>
      <c r="C1775" s="245"/>
      <c r="D1775" s="245"/>
      <c r="E1775" s="245"/>
      <c r="F1775" s="245"/>
      <c r="G1775" s="579"/>
      <c r="H1775" s="245"/>
      <c r="I1775" s="245"/>
      <c r="J1775" s="245"/>
      <c r="K1775" s="245"/>
      <c r="L1775" s="245"/>
      <c r="N1775" s="579"/>
      <c r="O1775" s="579"/>
      <c r="P1775" s="579"/>
      <c r="Q1775" s="66"/>
      <c r="R1775" s="66"/>
      <c r="S1775" s="66"/>
    </row>
    <row r="1776" spans="2:19" x14ac:dyDescent="0.2">
      <c r="B1776" s="245"/>
      <c r="C1776" s="245"/>
      <c r="D1776" s="245"/>
      <c r="E1776" s="245"/>
      <c r="F1776" s="245"/>
      <c r="G1776" s="579"/>
      <c r="H1776" s="245"/>
      <c r="I1776" s="245"/>
      <c r="J1776" s="245"/>
      <c r="K1776" s="245"/>
      <c r="L1776" s="245"/>
      <c r="N1776" s="579"/>
      <c r="O1776" s="579"/>
      <c r="P1776" s="579"/>
      <c r="Q1776" s="66"/>
      <c r="R1776" s="66"/>
      <c r="S1776" s="66"/>
    </row>
    <row r="1777" spans="2:19" x14ac:dyDescent="0.2">
      <c r="B1777" s="245"/>
      <c r="C1777" s="245"/>
      <c r="D1777" s="245"/>
      <c r="E1777" s="245"/>
      <c r="F1777" s="245"/>
      <c r="G1777" s="579"/>
      <c r="H1777" s="245"/>
      <c r="I1777" s="245"/>
      <c r="J1777" s="245"/>
      <c r="K1777" s="245"/>
      <c r="L1777" s="245"/>
      <c r="N1777" s="579"/>
      <c r="O1777" s="579"/>
      <c r="P1777" s="579"/>
      <c r="Q1777" s="66"/>
      <c r="R1777" s="66"/>
      <c r="S1777" s="66"/>
    </row>
    <row r="1778" spans="2:19" x14ac:dyDescent="0.2">
      <c r="B1778" s="245"/>
      <c r="C1778" s="245"/>
      <c r="D1778" s="245"/>
      <c r="E1778" s="245"/>
      <c r="F1778" s="245"/>
      <c r="G1778" s="579"/>
      <c r="H1778" s="245"/>
      <c r="I1778" s="245"/>
      <c r="J1778" s="245"/>
      <c r="K1778" s="245"/>
      <c r="L1778" s="245"/>
      <c r="N1778" s="579"/>
      <c r="O1778" s="579"/>
      <c r="P1778" s="579"/>
      <c r="Q1778" s="66"/>
      <c r="R1778" s="66"/>
      <c r="S1778" s="66"/>
    </row>
    <row r="1779" spans="2:19" x14ac:dyDescent="0.2">
      <c r="B1779" s="245"/>
      <c r="C1779" s="245"/>
      <c r="D1779" s="245"/>
      <c r="E1779" s="245"/>
      <c r="F1779" s="245"/>
      <c r="G1779" s="579"/>
      <c r="H1779" s="245"/>
      <c r="I1779" s="245"/>
      <c r="J1779" s="245"/>
      <c r="K1779" s="245"/>
      <c r="L1779" s="245"/>
      <c r="N1779" s="579"/>
      <c r="O1779" s="579"/>
      <c r="P1779" s="579"/>
      <c r="Q1779" s="66"/>
      <c r="R1779" s="66"/>
      <c r="S1779" s="66"/>
    </row>
    <row r="1780" spans="2:19" x14ac:dyDescent="0.2">
      <c r="B1780" s="245"/>
      <c r="C1780" s="245"/>
      <c r="D1780" s="245"/>
      <c r="E1780" s="245"/>
      <c r="F1780" s="245"/>
      <c r="G1780" s="579"/>
      <c r="H1780" s="245"/>
      <c r="I1780" s="245"/>
      <c r="J1780" s="245"/>
      <c r="K1780" s="245"/>
      <c r="L1780" s="245"/>
      <c r="N1780" s="579"/>
      <c r="O1780" s="579"/>
      <c r="P1780" s="579"/>
      <c r="Q1780" s="66"/>
      <c r="R1780" s="66"/>
      <c r="S1780" s="66"/>
    </row>
    <row r="1781" spans="2:19" x14ac:dyDescent="0.2">
      <c r="B1781" s="245"/>
      <c r="C1781" s="245"/>
      <c r="D1781" s="245"/>
      <c r="E1781" s="245"/>
      <c r="F1781" s="245"/>
      <c r="G1781" s="579"/>
      <c r="H1781" s="245"/>
      <c r="I1781" s="245"/>
      <c r="J1781" s="245"/>
      <c r="K1781" s="245"/>
      <c r="L1781" s="245"/>
      <c r="N1781" s="579"/>
      <c r="O1781" s="579"/>
      <c r="P1781" s="579"/>
      <c r="Q1781" s="66"/>
      <c r="R1781" s="66"/>
      <c r="S1781" s="66"/>
    </row>
    <row r="1782" spans="2:19" x14ac:dyDescent="0.2">
      <c r="B1782" s="245"/>
      <c r="C1782" s="245"/>
      <c r="D1782" s="245"/>
      <c r="E1782" s="245"/>
      <c r="F1782" s="245"/>
      <c r="G1782" s="579"/>
      <c r="H1782" s="245"/>
      <c r="I1782" s="245"/>
      <c r="J1782" s="245"/>
      <c r="K1782" s="245"/>
      <c r="L1782" s="245"/>
      <c r="N1782" s="579"/>
      <c r="O1782" s="579"/>
      <c r="P1782" s="579"/>
      <c r="Q1782" s="66"/>
      <c r="R1782" s="66"/>
      <c r="S1782" s="66"/>
    </row>
    <row r="1783" spans="2:19" x14ac:dyDescent="0.2">
      <c r="B1783" s="245"/>
      <c r="C1783" s="245"/>
      <c r="D1783" s="245"/>
      <c r="E1783" s="245"/>
      <c r="F1783" s="245"/>
      <c r="G1783" s="579"/>
      <c r="H1783" s="245"/>
      <c r="I1783" s="245"/>
      <c r="J1783" s="245"/>
      <c r="K1783" s="245"/>
      <c r="L1783" s="245"/>
      <c r="N1783" s="579"/>
      <c r="O1783" s="579"/>
      <c r="P1783" s="579"/>
      <c r="Q1783" s="66"/>
      <c r="R1783" s="66"/>
      <c r="S1783" s="66"/>
    </row>
    <row r="1784" spans="2:19" x14ac:dyDescent="0.2">
      <c r="B1784" s="245"/>
      <c r="C1784" s="245"/>
      <c r="D1784" s="245"/>
      <c r="E1784" s="245"/>
      <c r="F1784" s="245"/>
      <c r="G1784" s="579"/>
      <c r="H1784" s="245"/>
      <c r="I1784" s="245"/>
      <c r="J1784" s="245"/>
      <c r="K1784" s="245"/>
      <c r="L1784" s="245"/>
      <c r="N1784" s="579"/>
      <c r="O1784" s="579"/>
      <c r="P1784" s="579"/>
      <c r="Q1784" s="66"/>
      <c r="R1784" s="66"/>
      <c r="S1784" s="66"/>
    </row>
    <row r="1785" spans="2:19" x14ac:dyDescent="0.2">
      <c r="B1785" s="245"/>
      <c r="C1785" s="245"/>
      <c r="D1785" s="245"/>
      <c r="E1785" s="245"/>
      <c r="F1785" s="245"/>
      <c r="G1785" s="579"/>
      <c r="H1785" s="245"/>
      <c r="I1785" s="245"/>
      <c r="J1785" s="245"/>
      <c r="K1785" s="245"/>
      <c r="L1785" s="245"/>
      <c r="N1785" s="579"/>
      <c r="O1785" s="579"/>
      <c r="P1785" s="579"/>
      <c r="Q1785" s="66"/>
      <c r="R1785" s="66"/>
      <c r="S1785" s="66"/>
    </row>
    <row r="1786" spans="2:19" x14ac:dyDescent="0.2">
      <c r="B1786" s="245"/>
      <c r="C1786" s="245"/>
      <c r="D1786" s="245"/>
      <c r="E1786" s="245"/>
      <c r="F1786" s="245"/>
      <c r="G1786" s="579"/>
      <c r="H1786" s="245"/>
      <c r="I1786" s="245"/>
      <c r="J1786" s="245"/>
      <c r="K1786" s="245"/>
      <c r="L1786" s="245"/>
      <c r="N1786" s="579"/>
      <c r="O1786" s="579"/>
      <c r="P1786" s="579"/>
      <c r="Q1786" s="66"/>
      <c r="R1786" s="66"/>
      <c r="S1786" s="66"/>
    </row>
    <row r="1787" spans="2:19" x14ac:dyDescent="0.2">
      <c r="B1787" s="245"/>
      <c r="C1787" s="245"/>
      <c r="D1787" s="245"/>
      <c r="E1787" s="245"/>
      <c r="F1787" s="245"/>
      <c r="G1787" s="579"/>
      <c r="H1787" s="245"/>
      <c r="I1787" s="245"/>
      <c r="J1787" s="245"/>
      <c r="K1787" s="245"/>
      <c r="L1787" s="245"/>
      <c r="N1787" s="579"/>
      <c r="O1787" s="579"/>
      <c r="P1787" s="579"/>
      <c r="Q1787" s="66"/>
      <c r="R1787" s="66"/>
      <c r="S1787" s="66"/>
    </row>
    <row r="1788" spans="2:19" x14ac:dyDescent="0.2">
      <c r="B1788" s="245"/>
      <c r="C1788" s="245"/>
      <c r="D1788" s="245"/>
      <c r="E1788" s="245"/>
      <c r="F1788" s="245"/>
      <c r="G1788" s="579"/>
      <c r="H1788" s="245"/>
      <c r="I1788" s="245"/>
      <c r="J1788" s="245"/>
      <c r="K1788" s="245"/>
      <c r="L1788" s="245"/>
      <c r="N1788" s="579"/>
      <c r="O1788" s="579"/>
      <c r="P1788" s="579"/>
      <c r="Q1788" s="66"/>
      <c r="R1788" s="66"/>
      <c r="S1788" s="66"/>
    </row>
    <row r="1789" spans="2:19" x14ac:dyDescent="0.2">
      <c r="B1789" s="245"/>
      <c r="C1789" s="245"/>
      <c r="D1789" s="245"/>
      <c r="E1789" s="245"/>
      <c r="F1789" s="245"/>
      <c r="G1789" s="579"/>
      <c r="H1789" s="245"/>
      <c r="I1789" s="245"/>
      <c r="J1789" s="245"/>
      <c r="K1789" s="245"/>
      <c r="L1789" s="245"/>
      <c r="N1789" s="579"/>
      <c r="O1789" s="579"/>
      <c r="P1789" s="579"/>
      <c r="Q1789" s="66"/>
      <c r="R1789" s="66"/>
      <c r="S1789" s="66"/>
    </row>
    <row r="1790" spans="2:19" x14ac:dyDescent="0.2">
      <c r="B1790" s="245"/>
      <c r="C1790" s="245"/>
      <c r="D1790" s="245"/>
      <c r="E1790" s="245"/>
      <c r="F1790" s="245"/>
      <c r="G1790" s="579"/>
      <c r="H1790" s="245"/>
      <c r="I1790" s="245"/>
      <c r="J1790" s="245"/>
      <c r="K1790" s="245"/>
      <c r="L1790" s="245"/>
      <c r="N1790" s="579"/>
      <c r="O1790" s="579"/>
      <c r="P1790" s="579"/>
      <c r="Q1790" s="66"/>
      <c r="R1790" s="66"/>
      <c r="S1790" s="66"/>
    </row>
    <row r="1791" spans="2:19" x14ac:dyDescent="0.2">
      <c r="B1791" s="245"/>
      <c r="C1791" s="245"/>
      <c r="D1791" s="245"/>
      <c r="E1791" s="245"/>
      <c r="F1791" s="245"/>
      <c r="G1791" s="579"/>
      <c r="H1791" s="245"/>
      <c r="I1791" s="245"/>
      <c r="J1791" s="245"/>
      <c r="K1791" s="245"/>
      <c r="L1791" s="245"/>
      <c r="N1791" s="579"/>
      <c r="O1791" s="579"/>
      <c r="P1791" s="579"/>
      <c r="Q1791" s="66"/>
      <c r="R1791" s="66"/>
      <c r="S1791" s="66"/>
    </row>
    <row r="1792" spans="2:19" x14ac:dyDescent="0.2">
      <c r="B1792" s="245"/>
      <c r="C1792" s="245"/>
      <c r="D1792" s="245"/>
      <c r="E1792" s="245"/>
      <c r="F1792" s="245"/>
      <c r="G1792" s="579"/>
      <c r="H1792" s="245"/>
      <c r="I1792" s="245"/>
      <c r="J1792" s="245"/>
      <c r="K1792" s="245"/>
      <c r="L1792" s="245"/>
      <c r="N1792" s="579"/>
      <c r="O1792" s="579"/>
      <c r="P1792" s="579"/>
      <c r="Q1792" s="66"/>
      <c r="R1792" s="66"/>
      <c r="S1792" s="66"/>
    </row>
    <row r="1793" spans="2:19" x14ac:dyDescent="0.2">
      <c r="B1793" s="245"/>
      <c r="C1793" s="245"/>
      <c r="D1793" s="245"/>
      <c r="E1793" s="245"/>
      <c r="F1793" s="245"/>
      <c r="G1793" s="579"/>
      <c r="H1793" s="245"/>
      <c r="I1793" s="245"/>
      <c r="J1793" s="245"/>
      <c r="K1793" s="245"/>
      <c r="L1793" s="245"/>
      <c r="N1793" s="579"/>
      <c r="O1793" s="579"/>
      <c r="P1793" s="579"/>
      <c r="Q1793" s="66"/>
      <c r="R1793" s="66"/>
      <c r="S1793" s="66"/>
    </row>
    <row r="1794" spans="2:19" x14ac:dyDescent="0.2">
      <c r="B1794" s="245"/>
      <c r="C1794" s="245"/>
      <c r="D1794" s="245"/>
      <c r="E1794" s="245"/>
      <c r="F1794" s="245"/>
      <c r="G1794" s="579"/>
      <c r="H1794" s="245"/>
      <c r="I1794" s="245"/>
      <c r="J1794" s="245"/>
      <c r="K1794" s="245"/>
      <c r="L1794" s="245"/>
      <c r="N1794" s="579"/>
      <c r="O1794" s="579"/>
      <c r="P1794" s="579"/>
      <c r="Q1794" s="66"/>
      <c r="R1794" s="66"/>
      <c r="S1794" s="66"/>
    </row>
    <row r="1795" spans="2:19" x14ac:dyDescent="0.2">
      <c r="B1795" s="245"/>
      <c r="C1795" s="245"/>
      <c r="D1795" s="245"/>
      <c r="E1795" s="245"/>
      <c r="F1795" s="245"/>
      <c r="G1795" s="579"/>
      <c r="H1795" s="245"/>
      <c r="I1795" s="245"/>
      <c r="J1795" s="245"/>
      <c r="K1795" s="245"/>
      <c r="L1795" s="245"/>
      <c r="N1795" s="579"/>
      <c r="O1795" s="579"/>
      <c r="P1795" s="579"/>
      <c r="Q1795" s="66"/>
      <c r="R1795" s="66"/>
      <c r="S1795" s="66"/>
    </row>
    <row r="1796" spans="2:19" x14ac:dyDescent="0.2">
      <c r="B1796" s="245"/>
      <c r="C1796" s="245"/>
      <c r="D1796" s="245"/>
      <c r="E1796" s="245"/>
      <c r="F1796" s="245"/>
      <c r="G1796" s="579"/>
      <c r="H1796" s="245"/>
      <c r="I1796" s="245"/>
      <c r="J1796" s="245"/>
      <c r="K1796" s="245"/>
      <c r="L1796" s="245"/>
      <c r="N1796" s="579"/>
      <c r="O1796" s="579"/>
      <c r="P1796" s="579"/>
      <c r="Q1796" s="66"/>
      <c r="R1796" s="66"/>
      <c r="S1796" s="66"/>
    </row>
    <row r="1797" spans="2:19" x14ac:dyDescent="0.2">
      <c r="B1797" s="245"/>
      <c r="C1797" s="245"/>
      <c r="D1797" s="245"/>
      <c r="E1797" s="245"/>
      <c r="F1797" s="245"/>
      <c r="G1797" s="579"/>
      <c r="H1797" s="245"/>
      <c r="I1797" s="245"/>
      <c r="J1797" s="245"/>
      <c r="K1797" s="245"/>
      <c r="L1797" s="245"/>
      <c r="N1797" s="579"/>
      <c r="O1797" s="579"/>
      <c r="P1797" s="579"/>
      <c r="Q1797" s="66"/>
      <c r="R1797" s="66"/>
      <c r="S1797" s="66"/>
    </row>
    <row r="1798" spans="2:19" x14ac:dyDescent="0.2">
      <c r="B1798" s="245"/>
      <c r="C1798" s="245"/>
      <c r="D1798" s="245"/>
      <c r="E1798" s="245"/>
      <c r="F1798" s="245"/>
      <c r="G1798" s="579"/>
      <c r="H1798" s="245"/>
      <c r="I1798" s="245"/>
      <c r="J1798" s="245"/>
      <c r="K1798" s="245"/>
      <c r="L1798" s="245"/>
      <c r="N1798" s="579"/>
      <c r="O1798" s="579"/>
      <c r="P1798" s="579"/>
      <c r="Q1798" s="66"/>
      <c r="R1798" s="66"/>
      <c r="S1798" s="66"/>
    </row>
    <row r="1799" spans="2:19" x14ac:dyDescent="0.2">
      <c r="B1799" s="245"/>
      <c r="C1799" s="245"/>
      <c r="D1799" s="245"/>
      <c r="E1799" s="245"/>
      <c r="F1799" s="245"/>
      <c r="G1799" s="579"/>
      <c r="H1799" s="245"/>
      <c r="I1799" s="245"/>
      <c r="J1799" s="245"/>
      <c r="K1799" s="245"/>
      <c r="L1799" s="245"/>
      <c r="N1799" s="579"/>
      <c r="O1799" s="579"/>
      <c r="P1799" s="579"/>
      <c r="Q1799" s="66"/>
      <c r="R1799" s="66"/>
      <c r="S1799" s="66"/>
    </row>
    <row r="1800" spans="2:19" x14ac:dyDescent="0.2">
      <c r="B1800" s="245"/>
      <c r="C1800" s="245"/>
      <c r="D1800" s="245"/>
      <c r="E1800" s="245"/>
      <c r="F1800" s="245"/>
      <c r="G1800" s="579"/>
      <c r="H1800" s="245"/>
      <c r="I1800" s="245"/>
      <c r="J1800" s="245"/>
      <c r="K1800" s="245"/>
      <c r="L1800" s="245"/>
      <c r="N1800" s="579"/>
      <c r="O1800" s="579"/>
      <c r="P1800" s="579"/>
      <c r="Q1800" s="66"/>
      <c r="R1800" s="66"/>
      <c r="S1800" s="66"/>
    </row>
    <row r="1801" spans="2:19" x14ac:dyDescent="0.2">
      <c r="B1801" s="245"/>
      <c r="C1801" s="245"/>
      <c r="D1801" s="245"/>
      <c r="E1801" s="245"/>
      <c r="F1801" s="245"/>
      <c r="G1801" s="579"/>
      <c r="H1801" s="245"/>
      <c r="I1801" s="245"/>
      <c r="J1801" s="245"/>
      <c r="K1801" s="245"/>
      <c r="L1801" s="245"/>
      <c r="N1801" s="579"/>
      <c r="O1801" s="579"/>
      <c r="P1801" s="579"/>
      <c r="Q1801" s="66"/>
      <c r="R1801" s="66"/>
      <c r="S1801" s="66"/>
    </row>
    <row r="1802" spans="2:19" x14ac:dyDescent="0.2">
      <c r="B1802" s="245"/>
      <c r="C1802" s="245"/>
      <c r="D1802" s="245"/>
      <c r="E1802" s="245"/>
      <c r="F1802" s="245"/>
      <c r="G1802" s="579"/>
      <c r="H1802" s="245"/>
      <c r="I1802" s="245"/>
      <c r="J1802" s="245"/>
      <c r="K1802" s="245"/>
      <c r="L1802" s="245"/>
      <c r="N1802" s="579"/>
      <c r="O1802" s="579"/>
      <c r="P1802" s="579"/>
      <c r="Q1802" s="66"/>
      <c r="R1802" s="66"/>
      <c r="S1802" s="66"/>
    </row>
    <row r="1803" spans="2:19" x14ac:dyDescent="0.2">
      <c r="B1803" s="245"/>
      <c r="C1803" s="245"/>
      <c r="D1803" s="245"/>
      <c r="E1803" s="245"/>
      <c r="F1803" s="245"/>
      <c r="G1803" s="579"/>
      <c r="H1803" s="245"/>
      <c r="I1803" s="245"/>
      <c r="J1803" s="245"/>
      <c r="K1803" s="245"/>
      <c r="L1803" s="245"/>
      <c r="N1803" s="579"/>
      <c r="O1803" s="579"/>
      <c r="P1803" s="579"/>
      <c r="Q1803" s="66"/>
      <c r="R1803" s="66"/>
      <c r="S1803" s="66"/>
    </row>
    <row r="1804" spans="2:19" x14ac:dyDescent="0.2">
      <c r="B1804" s="245"/>
      <c r="C1804" s="245"/>
      <c r="D1804" s="245"/>
      <c r="E1804" s="245"/>
      <c r="F1804" s="245"/>
      <c r="G1804" s="579"/>
      <c r="H1804" s="245"/>
      <c r="I1804" s="245"/>
      <c r="J1804" s="245"/>
      <c r="K1804" s="245"/>
      <c r="L1804" s="245"/>
      <c r="N1804" s="579"/>
      <c r="O1804" s="579"/>
      <c r="P1804" s="579"/>
      <c r="Q1804" s="66"/>
      <c r="R1804" s="66"/>
      <c r="S1804" s="66"/>
    </row>
    <row r="1805" spans="2:19" x14ac:dyDescent="0.2">
      <c r="B1805" s="245"/>
      <c r="C1805" s="245"/>
      <c r="D1805" s="245"/>
      <c r="E1805" s="245"/>
      <c r="F1805" s="245"/>
      <c r="G1805" s="579"/>
      <c r="H1805" s="245"/>
      <c r="I1805" s="245"/>
      <c r="J1805" s="245"/>
      <c r="K1805" s="245"/>
      <c r="L1805" s="245"/>
      <c r="N1805" s="579"/>
      <c r="O1805" s="579"/>
      <c r="P1805" s="579"/>
      <c r="Q1805" s="66"/>
      <c r="R1805" s="66"/>
      <c r="S1805" s="66"/>
    </row>
    <row r="1806" spans="2:19" x14ac:dyDescent="0.2">
      <c r="B1806" s="245"/>
      <c r="C1806" s="245"/>
      <c r="D1806" s="245"/>
      <c r="E1806" s="245"/>
      <c r="F1806" s="245"/>
      <c r="G1806" s="579"/>
      <c r="H1806" s="245"/>
      <c r="I1806" s="245"/>
      <c r="J1806" s="245"/>
      <c r="K1806" s="245"/>
      <c r="L1806" s="245"/>
      <c r="N1806" s="579"/>
      <c r="O1806" s="579"/>
      <c r="P1806" s="579"/>
      <c r="Q1806" s="66"/>
      <c r="R1806" s="66"/>
      <c r="S1806" s="66"/>
    </row>
    <row r="1807" spans="2:19" x14ac:dyDescent="0.2">
      <c r="B1807" s="245"/>
      <c r="C1807" s="245"/>
      <c r="D1807" s="245"/>
      <c r="E1807" s="245"/>
      <c r="F1807" s="245"/>
      <c r="G1807" s="579"/>
      <c r="H1807" s="245"/>
      <c r="I1807" s="245"/>
      <c r="J1807" s="245"/>
      <c r="K1807" s="245"/>
      <c r="L1807" s="245"/>
      <c r="N1807" s="579"/>
      <c r="O1807" s="579"/>
      <c r="P1807" s="579"/>
      <c r="Q1807" s="66"/>
      <c r="R1807" s="66"/>
      <c r="S1807" s="66"/>
    </row>
    <row r="1808" spans="2:19" x14ac:dyDescent="0.2">
      <c r="B1808" s="245"/>
      <c r="C1808" s="245"/>
      <c r="D1808" s="245"/>
      <c r="E1808" s="245"/>
      <c r="F1808" s="245"/>
      <c r="G1808" s="579"/>
      <c r="H1808" s="245"/>
      <c r="I1808" s="245"/>
      <c r="J1808" s="245"/>
      <c r="K1808" s="245"/>
      <c r="L1808" s="245"/>
      <c r="N1808" s="579"/>
      <c r="O1808" s="579"/>
      <c r="P1808" s="579"/>
      <c r="Q1808" s="66"/>
      <c r="R1808" s="66"/>
      <c r="S1808" s="66"/>
    </row>
    <row r="1809" spans="2:19" x14ac:dyDescent="0.2">
      <c r="B1809" s="245"/>
      <c r="C1809" s="245"/>
      <c r="D1809" s="245"/>
      <c r="E1809" s="245"/>
      <c r="F1809" s="245"/>
      <c r="G1809" s="579"/>
      <c r="H1809" s="245"/>
      <c r="I1809" s="245"/>
      <c r="J1809" s="245"/>
      <c r="K1809" s="245"/>
      <c r="L1809" s="245"/>
      <c r="N1809" s="579"/>
      <c r="O1809" s="579"/>
      <c r="P1809" s="579"/>
      <c r="Q1809" s="66"/>
      <c r="R1809" s="66"/>
      <c r="S1809" s="66"/>
    </row>
    <row r="1810" spans="2:19" x14ac:dyDescent="0.2">
      <c r="B1810" s="245"/>
      <c r="C1810" s="245"/>
      <c r="D1810" s="245"/>
      <c r="E1810" s="245"/>
      <c r="F1810" s="245"/>
      <c r="G1810" s="579"/>
      <c r="H1810" s="245"/>
      <c r="I1810" s="245"/>
      <c r="J1810" s="245"/>
      <c r="K1810" s="245"/>
      <c r="L1810" s="245"/>
      <c r="N1810" s="579"/>
      <c r="O1810" s="579"/>
      <c r="P1810" s="579"/>
      <c r="Q1810" s="66"/>
      <c r="R1810" s="66"/>
      <c r="S1810" s="66"/>
    </row>
    <row r="1811" spans="2:19" x14ac:dyDescent="0.2">
      <c r="B1811" s="245"/>
      <c r="C1811" s="245"/>
      <c r="D1811" s="245"/>
      <c r="E1811" s="245"/>
      <c r="F1811" s="245"/>
      <c r="G1811" s="579"/>
      <c r="H1811" s="245"/>
      <c r="I1811" s="245"/>
      <c r="J1811" s="245"/>
      <c r="K1811" s="245"/>
      <c r="L1811" s="245"/>
      <c r="N1811" s="579"/>
      <c r="O1811" s="579"/>
      <c r="P1811" s="579"/>
      <c r="Q1811" s="66"/>
      <c r="R1811" s="66"/>
      <c r="S1811" s="66"/>
    </row>
    <row r="1812" spans="2:19" x14ac:dyDescent="0.2">
      <c r="B1812" s="245"/>
      <c r="C1812" s="245"/>
      <c r="D1812" s="245"/>
      <c r="E1812" s="245"/>
      <c r="F1812" s="245"/>
      <c r="G1812" s="579"/>
      <c r="H1812" s="245"/>
      <c r="I1812" s="245"/>
      <c r="J1812" s="245"/>
      <c r="K1812" s="245"/>
      <c r="L1812" s="245"/>
      <c r="N1812" s="579"/>
      <c r="O1812" s="579"/>
      <c r="P1812" s="579"/>
      <c r="Q1812" s="66"/>
      <c r="R1812" s="66"/>
      <c r="S1812" s="66"/>
    </row>
    <row r="1813" spans="2:19" x14ac:dyDescent="0.2">
      <c r="B1813" s="245"/>
      <c r="C1813" s="245"/>
      <c r="D1813" s="245"/>
      <c r="E1813" s="245"/>
      <c r="F1813" s="245"/>
      <c r="G1813" s="579"/>
      <c r="H1813" s="245"/>
      <c r="I1813" s="245"/>
      <c r="J1813" s="245"/>
      <c r="K1813" s="245"/>
      <c r="L1813" s="245"/>
      <c r="N1813" s="579"/>
      <c r="O1813" s="579"/>
      <c r="P1813" s="579"/>
      <c r="Q1813" s="66"/>
      <c r="R1813" s="66"/>
      <c r="S1813" s="66"/>
    </row>
    <row r="1814" spans="2:19" x14ac:dyDescent="0.2">
      <c r="B1814" s="245"/>
      <c r="C1814" s="245"/>
      <c r="D1814" s="245"/>
      <c r="E1814" s="245"/>
      <c r="F1814" s="245"/>
      <c r="G1814" s="579"/>
      <c r="H1814" s="245"/>
      <c r="I1814" s="245"/>
      <c r="J1814" s="245"/>
      <c r="K1814" s="245"/>
      <c r="L1814" s="245"/>
      <c r="N1814" s="579"/>
      <c r="O1814" s="579"/>
      <c r="P1814" s="579"/>
      <c r="Q1814" s="66"/>
      <c r="R1814" s="66"/>
      <c r="S1814" s="66"/>
    </row>
    <row r="1815" spans="2:19" x14ac:dyDescent="0.2">
      <c r="B1815" s="245"/>
      <c r="C1815" s="245"/>
      <c r="D1815" s="245"/>
      <c r="E1815" s="245"/>
      <c r="F1815" s="245"/>
      <c r="G1815" s="579"/>
      <c r="H1815" s="245"/>
      <c r="I1815" s="245"/>
      <c r="J1815" s="245"/>
      <c r="K1815" s="245"/>
      <c r="L1815" s="245"/>
      <c r="N1815" s="579"/>
      <c r="O1815" s="579"/>
      <c r="P1815" s="579"/>
      <c r="Q1815" s="66"/>
      <c r="R1815" s="66"/>
      <c r="S1815" s="66"/>
    </row>
    <row r="1816" spans="2:19" x14ac:dyDescent="0.2">
      <c r="B1816" s="245"/>
      <c r="C1816" s="245"/>
      <c r="D1816" s="245"/>
      <c r="E1816" s="245"/>
      <c r="F1816" s="245"/>
      <c r="G1816" s="579"/>
      <c r="H1816" s="245"/>
      <c r="I1816" s="245"/>
      <c r="J1816" s="245"/>
      <c r="K1816" s="245"/>
      <c r="L1816" s="245"/>
      <c r="N1816" s="579"/>
      <c r="O1816" s="579"/>
      <c r="P1816" s="579"/>
      <c r="Q1816" s="66"/>
      <c r="R1816" s="66"/>
      <c r="S1816" s="66"/>
    </row>
    <row r="1817" spans="2:19" x14ac:dyDescent="0.2">
      <c r="B1817" s="245"/>
      <c r="C1817" s="245"/>
      <c r="D1817" s="245"/>
      <c r="E1817" s="245"/>
      <c r="F1817" s="245"/>
      <c r="G1817" s="579"/>
      <c r="H1817" s="245"/>
      <c r="I1817" s="245"/>
      <c r="J1817" s="245"/>
      <c r="K1817" s="245"/>
      <c r="L1817" s="245"/>
      <c r="N1817" s="579"/>
      <c r="O1817" s="579"/>
      <c r="P1817" s="579"/>
      <c r="Q1817" s="66"/>
      <c r="R1817" s="66"/>
      <c r="S1817" s="66"/>
    </row>
    <row r="1818" spans="2:19" x14ac:dyDescent="0.2">
      <c r="B1818" s="245"/>
      <c r="C1818" s="245"/>
      <c r="D1818" s="245"/>
      <c r="E1818" s="245"/>
      <c r="F1818" s="245"/>
      <c r="G1818" s="579"/>
      <c r="H1818" s="245"/>
      <c r="I1818" s="245"/>
      <c r="J1818" s="245"/>
      <c r="K1818" s="245"/>
      <c r="L1818" s="245"/>
      <c r="N1818" s="579"/>
      <c r="O1818" s="579"/>
      <c r="P1818" s="579"/>
      <c r="Q1818" s="66"/>
      <c r="R1818" s="66"/>
      <c r="S1818" s="66"/>
    </row>
    <row r="1819" spans="2:19" x14ac:dyDescent="0.2">
      <c r="B1819" s="245"/>
      <c r="C1819" s="245"/>
      <c r="D1819" s="245"/>
      <c r="E1819" s="245"/>
      <c r="F1819" s="245"/>
      <c r="G1819" s="579"/>
      <c r="H1819" s="245"/>
      <c r="I1819" s="245"/>
      <c r="J1819" s="245"/>
      <c r="K1819" s="245"/>
      <c r="L1819" s="245"/>
      <c r="N1819" s="579"/>
      <c r="O1819" s="579"/>
      <c r="P1819" s="579"/>
      <c r="Q1819" s="66"/>
      <c r="R1819" s="66"/>
      <c r="S1819" s="66"/>
    </row>
    <row r="1820" spans="2:19" x14ac:dyDescent="0.2">
      <c r="B1820" s="245"/>
      <c r="C1820" s="245"/>
      <c r="D1820" s="245"/>
      <c r="E1820" s="245"/>
      <c r="F1820" s="245"/>
      <c r="G1820" s="579"/>
      <c r="H1820" s="245"/>
      <c r="I1820" s="245"/>
      <c r="J1820" s="245"/>
      <c r="K1820" s="245"/>
      <c r="L1820" s="245"/>
      <c r="N1820" s="579"/>
      <c r="O1820" s="579"/>
      <c r="P1820" s="579"/>
      <c r="Q1820" s="66"/>
      <c r="R1820" s="66"/>
      <c r="S1820" s="66"/>
    </row>
    <row r="1821" spans="2:19" x14ac:dyDescent="0.2">
      <c r="B1821" s="245"/>
      <c r="C1821" s="245"/>
      <c r="D1821" s="245"/>
      <c r="E1821" s="245"/>
      <c r="F1821" s="245"/>
      <c r="G1821" s="579"/>
      <c r="H1821" s="245"/>
      <c r="I1821" s="245"/>
      <c r="J1821" s="245"/>
      <c r="K1821" s="245"/>
      <c r="L1821" s="245"/>
      <c r="N1821" s="579"/>
      <c r="O1821" s="579"/>
      <c r="P1821" s="579"/>
      <c r="Q1821" s="66"/>
      <c r="R1821" s="66"/>
      <c r="S1821" s="66"/>
    </row>
    <row r="1822" spans="2:19" x14ac:dyDescent="0.2">
      <c r="B1822" s="245"/>
      <c r="C1822" s="245"/>
      <c r="D1822" s="245"/>
      <c r="E1822" s="245"/>
      <c r="F1822" s="245"/>
      <c r="G1822" s="579"/>
      <c r="H1822" s="245"/>
      <c r="I1822" s="245"/>
      <c r="J1822" s="245"/>
      <c r="K1822" s="245"/>
      <c r="L1822" s="245"/>
      <c r="N1822" s="579"/>
      <c r="O1822" s="579"/>
      <c r="P1822" s="579"/>
      <c r="Q1822" s="66"/>
      <c r="R1822" s="66"/>
      <c r="S1822" s="66"/>
    </row>
    <row r="1823" spans="2:19" x14ac:dyDescent="0.2">
      <c r="B1823" s="245"/>
      <c r="C1823" s="245"/>
      <c r="D1823" s="245"/>
      <c r="E1823" s="245"/>
      <c r="F1823" s="245"/>
      <c r="G1823" s="579"/>
      <c r="H1823" s="245"/>
      <c r="I1823" s="245"/>
      <c r="J1823" s="245"/>
      <c r="K1823" s="245"/>
      <c r="L1823" s="245"/>
      <c r="N1823" s="579"/>
      <c r="O1823" s="579"/>
      <c r="P1823" s="579"/>
      <c r="Q1823" s="66"/>
      <c r="R1823" s="66"/>
      <c r="S1823" s="66"/>
    </row>
    <row r="1824" spans="2:19" x14ac:dyDescent="0.2">
      <c r="B1824" s="245"/>
      <c r="C1824" s="245"/>
      <c r="D1824" s="245"/>
      <c r="E1824" s="245"/>
      <c r="F1824" s="245"/>
      <c r="G1824" s="579"/>
      <c r="H1824" s="245"/>
      <c r="I1824" s="245"/>
      <c r="J1824" s="245"/>
      <c r="K1824" s="245"/>
      <c r="L1824" s="245"/>
      <c r="N1824" s="579"/>
      <c r="O1824" s="579"/>
      <c r="P1824" s="579"/>
      <c r="Q1824" s="66"/>
      <c r="R1824" s="66"/>
      <c r="S1824" s="66"/>
    </row>
    <row r="1825" spans="2:19" x14ac:dyDescent="0.2">
      <c r="B1825" s="245"/>
      <c r="C1825" s="245"/>
      <c r="D1825" s="245"/>
      <c r="E1825" s="245"/>
      <c r="F1825" s="245"/>
      <c r="G1825" s="579"/>
      <c r="H1825" s="245"/>
      <c r="I1825" s="245"/>
      <c r="J1825" s="245"/>
      <c r="K1825" s="245"/>
      <c r="L1825" s="245"/>
      <c r="N1825" s="579"/>
      <c r="O1825" s="579"/>
      <c r="P1825" s="579"/>
      <c r="Q1825" s="66"/>
      <c r="R1825" s="66"/>
      <c r="S1825" s="66"/>
    </row>
    <row r="1826" spans="2:19" x14ac:dyDescent="0.2">
      <c r="B1826" s="245"/>
      <c r="C1826" s="245"/>
      <c r="D1826" s="245"/>
      <c r="E1826" s="245"/>
      <c r="F1826" s="245"/>
      <c r="G1826" s="579"/>
      <c r="H1826" s="245"/>
      <c r="I1826" s="245"/>
      <c r="J1826" s="245"/>
      <c r="K1826" s="245"/>
      <c r="L1826" s="245"/>
      <c r="N1826" s="579"/>
      <c r="O1826" s="579"/>
      <c r="P1826" s="579"/>
      <c r="Q1826" s="66"/>
      <c r="R1826" s="66"/>
      <c r="S1826" s="66"/>
    </row>
    <row r="1827" spans="2:19" x14ac:dyDescent="0.2">
      <c r="B1827" s="245"/>
      <c r="C1827" s="245"/>
      <c r="D1827" s="245"/>
      <c r="E1827" s="245"/>
      <c r="F1827" s="245"/>
      <c r="G1827" s="579"/>
      <c r="H1827" s="245"/>
      <c r="I1827" s="245"/>
      <c r="J1827" s="245"/>
      <c r="K1827" s="245"/>
      <c r="L1827" s="245"/>
      <c r="N1827" s="579"/>
      <c r="O1827" s="579"/>
      <c r="P1827" s="579"/>
      <c r="Q1827" s="66"/>
      <c r="R1827" s="66"/>
      <c r="S1827" s="66"/>
    </row>
    <row r="1828" spans="2:19" x14ac:dyDescent="0.2">
      <c r="B1828" s="245"/>
      <c r="C1828" s="245"/>
      <c r="D1828" s="245"/>
      <c r="E1828" s="245"/>
      <c r="F1828" s="245"/>
      <c r="G1828" s="579"/>
      <c r="H1828" s="245"/>
      <c r="I1828" s="245"/>
      <c r="J1828" s="245"/>
      <c r="K1828" s="245"/>
      <c r="L1828" s="245"/>
      <c r="N1828" s="579"/>
      <c r="O1828" s="579"/>
      <c r="P1828" s="579"/>
      <c r="Q1828" s="66"/>
      <c r="R1828" s="66"/>
      <c r="S1828" s="66"/>
    </row>
    <row r="1829" spans="2:19" x14ac:dyDescent="0.2">
      <c r="B1829" s="245"/>
      <c r="C1829" s="245"/>
      <c r="D1829" s="245"/>
      <c r="E1829" s="245"/>
      <c r="F1829" s="245"/>
      <c r="G1829" s="579"/>
      <c r="H1829" s="245"/>
      <c r="I1829" s="245"/>
      <c r="J1829" s="245"/>
      <c r="K1829" s="245"/>
      <c r="L1829" s="245"/>
      <c r="N1829" s="579"/>
      <c r="O1829" s="579"/>
      <c r="P1829" s="579"/>
      <c r="Q1829" s="66"/>
      <c r="R1829" s="66"/>
      <c r="S1829" s="66"/>
    </row>
    <row r="1830" spans="2:19" x14ac:dyDescent="0.2">
      <c r="B1830" s="245"/>
      <c r="C1830" s="245"/>
      <c r="D1830" s="245"/>
      <c r="E1830" s="245"/>
      <c r="F1830" s="245"/>
      <c r="G1830" s="579"/>
      <c r="H1830" s="245"/>
      <c r="I1830" s="245"/>
      <c r="J1830" s="245"/>
      <c r="K1830" s="245"/>
      <c r="L1830" s="245"/>
      <c r="N1830" s="579"/>
      <c r="O1830" s="579"/>
      <c r="P1830" s="579"/>
      <c r="Q1830" s="66"/>
      <c r="R1830" s="66"/>
      <c r="S1830" s="66"/>
    </row>
    <row r="1831" spans="2:19" x14ac:dyDescent="0.2">
      <c r="B1831" s="245"/>
      <c r="C1831" s="245"/>
      <c r="D1831" s="245"/>
      <c r="E1831" s="245"/>
      <c r="F1831" s="245"/>
      <c r="G1831" s="579"/>
      <c r="H1831" s="245"/>
      <c r="I1831" s="245"/>
      <c r="J1831" s="245"/>
      <c r="K1831" s="245"/>
      <c r="L1831" s="245"/>
      <c r="N1831" s="579"/>
      <c r="O1831" s="579"/>
      <c r="P1831" s="579"/>
      <c r="Q1831" s="66"/>
      <c r="R1831" s="66"/>
      <c r="S1831" s="66"/>
    </row>
    <row r="1832" spans="2:19" x14ac:dyDescent="0.2">
      <c r="B1832" s="245"/>
      <c r="C1832" s="245"/>
      <c r="D1832" s="245"/>
      <c r="E1832" s="245"/>
      <c r="F1832" s="245"/>
      <c r="G1832" s="579"/>
      <c r="H1832" s="245"/>
      <c r="I1832" s="245"/>
      <c r="J1832" s="245"/>
      <c r="K1832" s="245"/>
      <c r="L1832" s="245"/>
      <c r="N1832" s="579"/>
      <c r="O1832" s="579"/>
      <c r="P1832" s="579"/>
      <c r="Q1832" s="66"/>
      <c r="R1832" s="66"/>
      <c r="S1832" s="66"/>
    </row>
    <row r="1833" spans="2:19" x14ac:dyDescent="0.2">
      <c r="B1833" s="245"/>
      <c r="C1833" s="245"/>
      <c r="D1833" s="245"/>
      <c r="E1833" s="245"/>
      <c r="F1833" s="245"/>
      <c r="G1833" s="579"/>
      <c r="H1833" s="245"/>
      <c r="I1833" s="245"/>
      <c r="J1833" s="245"/>
      <c r="K1833" s="245"/>
      <c r="L1833" s="245"/>
      <c r="N1833" s="579"/>
      <c r="O1833" s="579"/>
      <c r="P1833" s="579"/>
      <c r="Q1833" s="66"/>
      <c r="R1833" s="66"/>
      <c r="S1833" s="66"/>
    </row>
    <row r="1834" spans="2:19" x14ac:dyDescent="0.2">
      <c r="B1834" s="245"/>
      <c r="C1834" s="245"/>
      <c r="D1834" s="245"/>
      <c r="E1834" s="245"/>
      <c r="F1834" s="245"/>
      <c r="G1834" s="579"/>
      <c r="H1834" s="245"/>
      <c r="I1834" s="245"/>
      <c r="J1834" s="245"/>
      <c r="K1834" s="245"/>
      <c r="L1834" s="245"/>
      <c r="N1834" s="579"/>
      <c r="O1834" s="579"/>
      <c r="P1834" s="579"/>
      <c r="Q1834" s="66"/>
      <c r="R1834" s="66"/>
      <c r="S1834" s="66"/>
    </row>
    <row r="1835" spans="2:19" x14ac:dyDescent="0.2">
      <c r="B1835" s="245"/>
      <c r="C1835" s="245"/>
      <c r="D1835" s="245"/>
      <c r="E1835" s="245"/>
      <c r="F1835" s="245"/>
      <c r="G1835" s="579"/>
      <c r="H1835" s="245"/>
      <c r="I1835" s="245"/>
      <c r="J1835" s="245"/>
      <c r="K1835" s="245"/>
      <c r="L1835" s="245"/>
      <c r="N1835" s="579"/>
      <c r="O1835" s="579"/>
      <c r="P1835" s="579"/>
      <c r="Q1835" s="66"/>
      <c r="R1835" s="66"/>
      <c r="S1835" s="66"/>
    </row>
    <row r="1836" spans="2:19" x14ac:dyDescent="0.2">
      <c r="B1836" s="245"/>
      <c r="C1836" s="245"/>
      <c r="D1836" s="245"/>
      <c r="E1836" s="245"/>
      <c r="F1836" s="245"/>
      <c r="G1836" s="579"/>
      <c r="H1836" s="245"/>
      <c r="I1836" s="245"/>
      <c r="J1836" s="245"/>
      <c r="K1836" s="245"/>
      <c r="L1836" s="245"/>
      <c r="N1836" s="579"/>
      <c r="O1836" s="579"/>
      <c r="P1836" s="579"/>
      <c r="Q1836" s="66"/>
      <c r="R1836" s="66"/>
      <c r="S1836" s="66"/>
    </row>
    <row r="1837" spans="2:19" x14ac:dyDescent="0.2">
      <c r="B1837" s="245"/>
      <c r="C1837" s="245"/>
      <c r="D1837" s="245"/>
      <c r="E1837" s="245"/>
      <c r="F1837" s="245"/>
      <c r="G1837" s="579"/>
      <c r="H1837" s="245"/>
      <c r="I1837" s="245"/>
      <c r="J1837" s="245"/>
      <c r="K1837" s="245"/>
      <c r="L1837" s="245"/>
      <c r="N1837" s="579"/>
      <c r="O1837" s="579"/>
      <c r="P1837" s="579"/>
      <c r="Q1837" s="66"/>
      <c r="R1837" s="66"/>
      <c r="S1837" s="66"/>
    </row>
    <row r="1838" spans="2:19" x14ac:dyDescent="0.2">
      <c r="B1838" s="245"/>
      <c r="C1838" s="245"/>
      <c r="D1838" s="245"/>
      <c r="E1838" s="245"/>
      <c r="F1838" s="245"/>
      <c r="G1838" s="579"/>
      <c r="H1838" s="245"/>
      <c r="I1838" s="245"/>
      <c r="J1838" s="245"/>
      <c r="K1838" s="245"/>
      <c r="L1838" s="245"/>
      <c r="N1838" s="579"/>
      <c r="O1838" s="579"/>
      <c r="P1838" s="579"/>
      <c r="Q1838" s="66"/>
      <c r="R1838" s="66"/>
      <c r="S1838" s="66"/>
    </row>
    <row r="1839" spans="2:19" x14ac:dyDescent="0.2">
      <c r="B1839" s="245"/>
      <c r="C1839" s="245"/>
      <c r="D1839" s="245"/>
      <c r="E1839" s="245"/>
      <c r="F1839" s="245"/>
      <c r="G1839" s="579"/>
      <c r="H1839" s="245"/>
      <c r="I1839" s="245"/>
      <c r="J1839" s="245"/>
      <c r="K1839" s="245"/>
      <c r="L1839" s="245"/>
      <c r="N1839" s="579"/>
      <c r="O1839" s="579"/>
      <c r="P1839" s="579"/>
      <c r="Q1839" s="66"/>
      <c r="R1839" s="66"/>
      <c r="S1839" s="66"/>
    </row>
    <row r="1840" spans="2:19" x14ac:dyDescent="0.2">
      <c r="B1840" s="245"/>
      <c r="C1840" s="245"/>
      <c r="D1840" s="245"/>
      <c r="E1840" s="245"/>
      <c r="F1840" s="245"/>
      <c r="G1840" s="579"/>
      <c r="H1840" s="245"/>
      <c r="I1840" s="245"/>
      <c r="J1840" s="245"/>
      <c r="K1840" s="245"/>
      <c r="L1840" s="245"/>
      <c r="N1840" s="579"/>
      <c r="O1840" s="579"/>
      <c r="P1840" s="579"/>
      <c r="Q1840" s="66"/>
      <c r="R1840" s="66"/>
      <c r="S1840" s="66"/>
    </row>
    <row r="1841" spans="2:19" x14ac:dyDescent="0.2">
      <c r="B1841" s="245"/>
      <c r="C1841" s="245"/>
      <c r="D1841" s="245"/>
      <c r="E1841" s="245"/>
      <c r="F1841" s="245"/>
      <c r="G1841" s="579"/>
      <c r="H1841" s="245"/>
      <c r="I1841" s="245"/>
      <c r="J1841" s="245"/>
      <c r="K1841" s="245"/>
      <c r="L1841" s="245"/>
      <c r="N1841" s="579"/>
      <c r="O1841" s="579"/>
      <c r="P1841" s="579"/>
      <c r="Q1841" s="66"/>
      <c r="R1841" s="66"/>
      <c r="S1841" s="66"/>
    </row>
    <row r="1842" spans="2:19" x14ac:dyDescent="0.2">
      <c r="B1842" s="245"/>
      <c r="C1842" s="245"/>
      <c r="D1842" s="245"/>
      <c r="E1842" s="245"/>
      <c r="F1842" s="245"/>
      <c r="G1842" s="579"/>
      <c r="H1842" s="245"/>
      <c r="I1842" s="245"/>
      <c r="J1842" s="245"/>
      <c r="K1842" s="245"/>
      <c r="L1842" s="245"/>
      <c r="N1842" s="579"/>
      <c r="O1842" s="579"/>
      <c r="P1842" s="579"/>
      <c r="Q1842" s="66"/>
      <c r="R1842" s="66"/>
      <c r="S1842" s="66"/>
    </row>
    <row r="1843" spans="2:19" x14ac:dyDescent="0.2">
      <c r="B1843" s="245"/>
      <c r="C1843" s="245"/>
      <c r="D1843" s="245"/>
      <c r="E1843" s="245"/>
      <c r="F1843" s="245"/>
      <c r="G1843" s="579"/>
      <c r="H1843" s="245"/>
      <c r="I1843" s="245"/>
      <c r="J1843" s="245"/>
      <c r="K1843" s="245"/>
      <c r="L1843" s="245"/>
      <c r="N1843" s="579"/>
      <c r="O1843" s="579"/>
      <c r="P1843" s="579"/>
      <c r="Q1843" s="66"/>
      <c r="R1843" s="66"/>
      <c r="S1843" s="66"/>
    </row>
    <row r="1844" spans="2:19" x14ac:dyDescent="0.2">
      <c r="B1844" s="245"/>
      <c r="C1844" s="245"/>
      <c r="D1844" s="245"/>
      <c r="E1844" s="245"/>
      <c r="F1844" s="245"/>
      <c r="G1844" s="579"/>
      <c r="H1844" s="245"/>
      <c r="I1844" s="245"/>
      <c r="J1844" s="245"/>
      <c r="K1844" s="245"/>
      <c r="L1844" s="245"/>
      <c r="N1844" s="579"/>
      <c r="O1844" s="579"/>
      <c r="P1844" s="579"/>
      <c r="Q1844" s="66"/>
      <c r="R1844" s="66"/>
      <c r="S1844" s="66"/>
    </row>
    <row r="1845" spans="2:19" x14ac:dyDescent="0.2">
      <c r="B1845" s="245"/>
      <c r="C1845" s="245"/>
      <c r="D1845" s="245"/>
      <c r="E1845" s="245"/>
      <c r="F1845" s="245"/>
      <c r="G1845" s="579"/>
      <c r="H1845" s="245"/>
      <c r="I1845" s="245"/>
      <c r="J1845" s="245"/>
      <c r="K1845" s="245"/>
      <c r="L1845" s="245"/>
      <c r="N1845" s="579"/>
      <c r="O1845" s="579"/>
      <c r="P1845" s="579"/>
      <c r="Q1845" s="66"/>
      <c r="R1845" s="66"/>
      <c r="S1845" s="66"/>
    </row>
    <row r="1846" spans="2:19" x14ac:dyDescent="0.2">
      <c r="B1846" s="245"/>
      <c r="C1846" s="245"/>
      <c r="D1846" s="245"/>
      <c r="E1846" s="245"/>
      <c r="F1846" s="245"/>
      <c r="G1846" s="579"/>
      <c r="H1846" s="245"/>
      <c r="I1846" s="245"/>
      <c r="J1846" s="245"/>
      <c r="K1846" s="245"/>
      <c r="L1846" s="245"/>
      <c r="N1846" s="579"/>
      <c r="O1846" s="579"/>
      <c r="P1846" s="579"/>
      <c r="Q1846" s="66"/>
      <c r="R1846" s="66"/>
      <c r="S1846" s="66"/>
    </row>
    <row r="1847" spans="2:19" x14ac:dyDescent="0.2">
      <c r="B1847" s="245"/>
      <c r="C1847" s="245"/>
      <c r="D1847" s="245"/>
      <c r="E1847" s="245"/>
      <c r="F1847" s="245"/>
      <c r="G1847" s="579"/>
      <c r="H1847" s="245"/>
      <c r="I1847" s="245"/>
      <c r="J1847" s="245"/>
      <c r="K1847" s="245"/>
      <c r="L1847" s="245"/>
      <c r="N1847" s="579"/>
      <c r="O1847" s="579"/>
      <c r="P1847" s="579"/>
      <c r="Q1847" s="66"/>
      <c r="R1847" s="66"/>
      <c r="S1847" s="66"/>
    </row>
    <row r="1848" spans="2:19" x14ac:dyDescent="0.2">
      <c r="B1848" s="245"/>
      <c r="C1848" s="245"/>
      <c r="D1848" s="245"/>
      <c r="E1848" s="245"/>
      <c r="F1848" s="245"/>
      <c r="G1848" s="579"/>
      <c r="H1848" s="245"/>
      <c r="I1848" s="245"/>
      <c r="J1848" s="245"/>
      <c r="K1848" s="245"/>
      <c r="L1848" s="245"/>
      <c r="N1848" s="579"/>
      <c r="O1848" s="579"/>
      <c r="P1848" s="579"/>
      <c r="Q1848" s="66"/>
      <c r="R1848" s="66"/>
      <c r="S1848" s="66"/>
    </row>
    <row r="1849" spans="2:19" x14ac:dyDescent="0.2">
      <c r="B1849" s="245"/>
      <c r="C1849" s="245"/>
      <c r="D1849" s="245"/>
      <c r="E1849" s="245"/>
      <c r="F1849" s="245"/>
      <c r="G1849" s="579"/>
      <c r="H1849" s="245"/>
      <c r="I1849" s="245"/>
      <c r="J1849" s="245"/>
      <c r="K1849" s="245"/>
      <c r="L1849" s="245"/>
      <c r="N1849" s="579"/>
      <c r="O1849" s="579"/>
      <c r="P1849" s="579"/>
      <c r="Q1849" s="66"/>
      <c r="R1849" s="66"/>
      <c r="S1849" s="66"/>
    </row>
    <row r="1850" spans="2:19" x14ac:dyDescent="0.2">
      <c r="B1850" s="245"/>
      <c r="C1850" s="245"/>
      <c r="D1850" s="245"/>
      <c r="E1850" s="245"/>
      <c r="F1850" s="245"/>
      <c r="G1850" s="579"/>
      <c r="H1850" s="245"/>
      <c r="I1850" s="245"/>
      <c r="J1850" s="245"/>
      <c r="K1850" s="245"/>
      <c r="L1850" s="245"/>
      <c r="N1850" s="579"/>
      <c r="O1850" s="579"/>
      <c r="P1850" s="579"/>
      <c r="Q1850" s="66"/>
      <c r="R1850" s="66"/>
      <c r="S1850" s="66"/>
    </row>
    <row r="1851" spans="2:19" x14ac:dyDescent="0.2">
      <c r="B1851" s="245"/>
      <c r="C1851" s="245"/>
      <c r="D1851" s="245"/>
      <c r="E1851" s="245"/>
      <c r="F1851" s="245"/>
      <c r="G1851" s="579"/>
      <c r="H1851" s="245"/>
      <c r="I1851" s="245"/>
      <c r="J1851" s="245"/>
      <c r="K1851" s="245"/>
      <c r="L1851" s="245"/>
      <c r="N1851" s="579"/>
      <c r="O1851" s="579"/>
      <c r="P1851" s="579"/>
      <c r="Q1851" s="66"/>
      <c r="R1851" s="66"/>
      <c r="S1851" s="66"/>
    </row>
    <row r="1852" spans="2:19" x14ac:dyDescent="0.2">
      <c r="B1852" s="245"/>
      <c r="C1852" s="245"/>
      <c r="D1852" s="245"/>
      <c r="E1852" s="245"/>
      <c r="F1852" s="245"/>
      <c r="G1852" s="579"/>
      <c r="H1852" s="245"/>
      <c r="I1852" s="245"/>
      <c r="J1852" s="245"/>
      <c r="K1852" s="245"/>
      <c r="L1852" s="245"/>
      <c r="N1852" s="579"/>
      <c r="O1852" s="579"/>
      <c r="P1852" s="579"/>
      <c r="Q1852" s="66"/>
      <c r="R1852" s="66"/>
      <c r="S1852" s="66"/>
    </row>
    <row r="1853" spans="2:19" x14ac:dyDescent="0.2">
      <c r="B1853" s="245"/>
      <c r="C1853" s="245"/>
      <c r="D1853" s="245"/>
      <c r="E1853" s="245"/>
      <c r="F1853" s="245"/>
      <c r="G1853" s="579"/>
      <c r="H1853" s="245"/>
      <c r="I1853" s="245"/>
      <c r="J1853" s="245"/>
      <c r="K1853" s="245"/>
      <c r="L1853" s="245"/>
      <c r="N1853" s="579"/>
      <c r="O1853" s="579"/>
      <c r="P1853" s="579"/>
      <c r="Q1853" s="66"/>
      <c r="R1853" s="66"/>
      <c r="S1853" s="66"/>
    </row>
    <row r="1854" spans="2:19" x14ac:dyDescent="0.2">
      <c r="B1854" s="245"/>
      <c r="C1854" s="245"/>
      <c r="D1854" s="245"/>
      <c r="E1854" s="245"/>
      <c r="F1854" s="245"/>
      <c r="G1854" s="579"/>
      <c r="H1854" s="245"/>
      <c r="I1854" s="245"/>
      <c r="J1854" s="245"/>
      <c r="K1854" s="245"/>
      <c r="L1854" s="245"/>
      <c r="N1854" s="579"/>
      <c r="O1854" s="579"/>
      <c r="P1854" s="579"/>
      <c r="Q1854" s="66"/>
      <c r="R1854" s="66"/>
      <c r="S1854" s="66"/>
    </row>
    <row r="1855" spans="2:19" x14ac:dyDescent="0.2">
      <c r="B1855" s="245"/>
      <c r="C1855" s="245"/>
      <c r="D1855" s="245"/>
      <c r="E1855" s="245"/>
      <c r="F1855" s="245"/>
      <c r="G1855" s="579"/>
      <c r="H1855" s="245"/>
      <c r="I1855" s="245"/>
      <c r="J1855" s="245"/>
      <c r="K1855" s="245"/>
      <c r="L1855" s="245"/>
      <c r="N1855" s="579"/>
      <c r="O1855" s="579"/>
      <c r="P1855" s="579"/>
      <c r="Q1855" s="66"/>
      <c r="R1855" s="66"/>
      <c r="S1855" s="66"/>
    </row>
    <row r="1856" spans="2:19" x14ac:dyDescent="0.2">
      <c r="B1856" s="245"/>
      <c r="C1856" s="245"/>
      <c r="D1856" s="245"/>
      <c r="E1856" s="245"/>
      <c r="F1856" s="245"/>
      <c r="G1856" s="579"/>
      <c r="H1856" s="245"/>
      <c r="I1856" s="245"/>
      <c r="J1856" s="245"/>
      <c r="K1856" s="245"/>
      <c r="L1856" s="245"/>
      <c r="N1856" s="579"/>
      <c r="O1856" s="579"/>
      <c r="P1856" s="579"/>
      <c r="Q1856" s="66"/>
      <c r="R1856" s="66"/>
      <c r="S1856" s="66"/>
    </row>
    <row r="1857" spans="2:19" x14ac:dyDescent="0.2">
      <c r="B1857" s="245"/>
      <c r="C1857" s="245"/>
      <c r="D1857" s="245"/>
      <c r="E1857" s="245"/>
      <c r="F1857" s="245"/>
      <c r="G1857" s="579"/>
      <c r="H1857" s="245"/>
      <c r="I1857" s="245"/>
      <c r="J1857" s="245"/>
      <c r="K1857" s="245"/>
      <c r="L1857" s="245"/>
      <c r="N1857" s="579"/>
      <c r="O1857" s="579"/>
      <c r="P1857" s="579"/>
      <c r="Q1857" s="66"/>
      <c r="R1857" s="66"/>
      <c r="S1857" s="66"/>
    </row>
    <row r="1858" spans="2:19" x14ac:dyDescent="0.2">
      <c r="B1858" s="245"/>
      <c r="C1858" s="245"/>
      <c r="D1858" s="245"/>
      <c r="E1858" s="245"/>
      <c r="F1858" s="245"/>
      <c r="G1858" s="579"/>
      <c r="H1858" s="245"/>
      <c r="I1858" s="245"/>
      <c r="J1858" s="245"/>
      <c r="K1858" s="245"/>
      <c r="L1858" s="245"/>
      <c r="N1858" s="579"/>
      <c r="O1858" s="579"/>
      <c r="P1858" s="579"/>
      <c r="Q1858" s="66"/>
      <c r="R1858" s="66"/>
      <c r="S1858" s="66"/>
    </row>
    <row r="1859" spans="2:19" x14ac:dyDescent="0.2">
      <c r="B1859" s="245"/>
      <c r="C1859" s="245"/>
      <c r="D1859" s="245"/>
      <c r="E1859" s="245"/>
      <c r="F1859" s="245"/>
      <c r="G1859" s="579"/>
      <c r="H1859" s="245"/>
      <c r="I1859" s="245"/>
      <c r="J1859" s="245"/>
      <c r="K1859" s="245"/>
      <c r="L1859" s="245"/>
      <c r="N1859" s="579"/>
      <c r="O1859" s="579"/>
      <c r="P1859" s="579"/>
      <c r="Q1859" s="66"/>
      <c r="R1859" s="66"/>
      <c r="S1859" s="66"/>
    </row>
    <row r="1860" spans="2:19" x14ac:dyDescent="0.2">
      <c r="B1860" s="245"/>
      <c r="C1860" s="245"/>
      <c r="D1860" s="245"/>
      <c r="E1860" s="245"/>
      <c r="F1860" s="245"/>
      <c r="G1860" s="579"/>
      <c r="H1860" s="245"/>
      <c r="I1860" s="245"/>
      <c r="J1860" s="245"/>
      <c r="K1860" s="245"/>
      <c r="L1860" s="245"/>
      <c r="N1860" s="579"/>
      <c r="O1860" s="579"/>
      <c r="P1860" s="579"/>
      <c r="Q1860" s="66"/>
      <c r="R1860" s="66"/>
      <c r="S1860" s="66"/>
    </row>
    <row r="1861" spans="2:19" x14ac:dyDescent="0.2">
      <c r="B1861" s="245"/>
      <c r="C1861" s="245"/>
      <c r="D1861" s="245"/>
      <c r="E1861" s="245"/>
      <c r="F1861" s="245"/>
      <c r="G1861" s="579"/>
      <c r="H1861" s="245"/>
      <c r="I1861" s="245"/>
      <c r="J1861" s="245"/>
      <c r="K1861" s="245"/>
      <c r="L1861" s="245"/>
      <c r="N1861" s="579"/>
      <c r="O1861" s="579"/>
      <c r="P1861" s="579"/>
      <c r="Q1861" s="66"/>
      <c r="R1861" s="66"/>
      <c r="S1861" s="66"/>
    </row>
    <row r="1862" spans="2:19" x14ac:dyDescent="0.2">
      <c r="B1862" s="245"/>
      <c r="C1862" s="245"/>
      <c r="D1862" s="245"/>
      <c r="E1862" s="245"/>
      <c r="F1862" s="245"/>
      <c r="G1862" s="579"/>
      <c r="H1862" s="245"/>
      <c r="I1862" s="245"/>
      <c r="J1862" s="245"/>
      <c r="K1862" s="245"/>
      <c r="L1862" s="245"/>
      <c r="N1862" s="579"/>
      <c r="O1862" s="579"/>
      <c r="P1862" s="579"/>
      <c r="Q1862" s="66"/>
      <c r="R1862" s="66"/>
      <c r="S1862" s="66"/>
    </row>
    <row r="1863" spans="2:19" x14ac:dyDescent="0.2">
      <c r="B1863" s="245"/>
      <c r="C1863" s="245"/>
      <c r="D1863" s="245"/>
      <c r="E1863" s="245"/>
      <c r="F1863" s="245"/>
      <c r="G1863" s="579"/>
      <c r="H1863" s="245"/>
      <c r="I1863" s="245"/>
      <c r="J1863" s="245"/>
      <c r="K1863" s="245"/>
      <c r="L1863" s="245"/>
      <c r="N1863" s="579"/>
      <c r="O1863" s="579"/>
      <c r="P1863" s="579"/>
      <c r="Q1863" s="66"/>
      <c r="R1863" s="66"/>
      <c r="S1863" s="66"/>
    </row>
    <row r="1864" spans="2:19" x14ac:dyDescent="0.2">
      <c r="B1864" s="245"/>
      <c r="C1864" s="245"/>
      <c r="D1864" s="245"/>
      <c r="E1864" s="245"/>
      <c r="F1864" s="245"/>
      <c r="G1864" s="579"/>
      <c r="H1864" s="245"/>
      <c r="I1864" s="245"/>
      <c r="J1864" s="245"/>
      <c r="K1864" s="245"/>
      <c r="L1864" s="245"/>
      <c r="N1864" s="579"/>
      <c r="O1864" s="579"/>
      <c r="P1864" s="579"/>
      <c r="Q1864" s="66"/>
      <c r="R1864" s="66"/>
      <c r="S1864" s="66"/>
    </row>
    <row r="1865" spans="2:19" x14ac:dyDescent="0.2">
      <c r="B1865" s="245"/>
      <c r="C1865" s="245"/>
      <c r="D1865" s="245"/>
      <c r="E1865" s="245"/>
      <c r="F1865" s="245"/>
      <c r="G1865" s="579"/>
      <c r="H1865" s="245"/>
      <c r="I1865" s="245"/>
      <c r="J1865" s="245"/>
      <c r="K1865" s="245"/>
      <c r="L1865" s="245"/>
      <c r="N1865" s="579"/>
      <c r="O1865" s="579"/>
      <c r="P1865" s="579"/>
      <c r="Q1865" s="66"/>
      <c r="R1865" s="66"/>
      <c r="S1865" s="66"/>
    </row>
    <row r="1866" spans="2:19" x14ac:dyDescent="0.2">
      <c r="B1866" s="245"/>
      <c r="C1866" s="245"/>
      <c r="D1866" s="245"/>
      <c r="E1866" s="245"/>
      <c r="F1866" s="245"/>
      <c r="G1866" s="579"/>
      <c r="H1866" s="245"/>
      <c r="I1866" s="245"/>
      <c r="J1866" s="245"/>
      <c r="K1866" s="245"/>
      <c r="L1866" s="245"/>
      <c r="N1866" s="579"/>
      <c r="O1866" s="579"/>
      <c r="P1866" s="579"/>
      <c r="Q1866" s="66"/>
      <c r="R1866" s="66"/>
      <c r="S1866" s="66"/>
    </row>
    <row r="1867" spans="2:19" x14ac:dyDescent="0.2">
      <c r="B1867" s="245"/>
      <c r="C1867" s="245"/>
      <c r="D1867" s="245"/>
      <c r="E1867" s="245"/>
      <c r="F1867" s="245"/>
      <c r="G1867" s="579"/>
      <c r="H1867" s="245"/>
      <c r="I1867" s="245"/>
      <c r="J1867" s="245"/>
      <c r="K1867" s="245"/>
      <c r="L1867" s="245"/>
      <c r="N1867" s="579"/>
      <c r="O1867" s="579"/>
      <c r="P1867" s="579"/>
      <c r="Q1867" s="66"/>
      <c r="R1867" s="66"/>
      <c r="S1867" s="66"/>
    </row>
    <row r="1868" spans="2:19" x14ac:dyDescent="0.2">
      <c r="B1868" s="245"/>
      <c r="C1868" s="245"/>
      <c r="D1868" s="245"/>
      <c r="E1868" s="245"/>
      <c r="F1868" s="245"/>
      <c r="G1868" s="579"/>
      <c r="H1868" s="245"/>
      <c r="I1868" s="245"/>
      <c r="J1868" s="245"/>
      <c r="K1868" s="245"/>
      <c r="L1868" s="245"/>
      <c r="N1868" s="579"/>
      <c r="O1868" s="579"/>
      <c r="P1868" s="579"/>
      <c r="Q1868" s="66"/>
      <c r="R1868" s="66"/>
      <c r="S1868" s="66"/>
    </row>
    <row r="1869" spans="2:19" x14ac:dyDescent="0.2">
      <c r="B1869" s="245"/>
      <c r="C1869" s="245"/>
      <c r="D1869" s="245"/>
      <c r="E1869" s="245"/>
      <c r="F1869" s="245"/>
      <c r="G1869" s="579"/>
      <c r="H1869" s="245"/>
      <c r="I1869" s="245"/>
      <c r="J1869" s="245"/>
      <c r="K1869" s="245"/>
      <c r="L1869" s="245"/>
      <c r="N1869" s="579"/>
      <c r="O1869" s="579"/>
      <c r="P1869" s="579"/>
      <c r="Q1869" s="66"/>
      <c r="R1869" s="66"/>
      <c r="S1869" s="66"/>
    </row>
    <row r="1870" spans="2:19" x14ac:dyDescent="0.2">
      <c r="B1870" s="245"/>
      <c r="C1870" s="245"/>
      <c r="D1870" s="245"/>
      <c r="E1870" s="245"/>
      <c r="F1870" s="245"/>
      <c r="G1870" s="579"/>
      <c r="H1870" s="245"/>
      <c r="I1870" s="245"/>
      <c r="J1870" s="245"/>
      <c r="K1870" s="245"/>
      <c r="L1870" s="245"/>
      <c r="N1870" s="579"/>
      <c r="O1870" s="579"/>
      <c r="P1870" s="579"/>
      <c r="Q1870" s="66"/>
      <c r="R1870" s="66"/>
      <c r="S1870" s="66"/>
    </row>
    <row r="1871" spans="2:19" x14ac:dyDescent="0.2">
      <c r="B1871" s="245"/>
      <c r="C1871" s="245"/>
      <c r="D1871" s="245"/>
      <c r="E1871" s="245"/>
      <c r="F1871" s="245"/>
      <c r="G1871" s="579"/>
      <c r="H1871" s="245"/>
      <c r="I1871" s="245"/>
      <c r="J1871" s="245"/>
      <c r="K1871" s="245"/>
      <c r="L1871" s="245"/>
      <c r="N1871" s="579"/>
      <c r="O1871" s="579"/>
      <c r="P1871" s="579"/>
      <c r="Q1871" s="66"/>
      <c r="R1871" s="66"/>
      <c r="S1871" s="66"/>
    </row>
    <row r="1872" spans="2:19" x14ac:dyDescent="0.2">
      <c r="B1872" s="245"/>
      <c r="C1872" s="245"/>
      <c r="D1872" s="245"/>
      <c r="E1872" s="245"/>
      <c r="F1872" s="245"/>
      <c r="G1872" s="579"/>
      <c r="H1872" s="245"/>
      <c r="I1872" s="245"/>
      <c r="J1872" s="245"/>
      <c r="K1872" s="245"/>
      <c r="L1872" s="245"/>
      <c r="N1872" s="579"/>
      <c r="O1872" s="579"/>
      <c r="P1872" s="579"/>
      <c r="Q1872" s="66"/>
      <c r="R1872" s="66"/>
      <c r="S1872" s="66"/>
    </row>
    <row r="1873" spans="2:19" x14ac:dyDescent="0.2">
      <c r="B1873" s="245"/>
      <c r="C1873" s="245"/>
      <c r="D1873" s="245"/>
      <c r="E1873" s="245"/>
      <c r="F1873" s="245"/>
      <c r="G1873" s="579"/>
      <c r="H1873" s="245"/>
      <c r="I1873" s="245"/>
      <c r="J1873" s="245"/>
      <c r="K1873" s="245"/>
      <c r="L1873" s="245"/>
      <c r="N1873" s="579"/>
      <c r="O1873" s="579"/>
      <c r="P1873" s="579"/>
      <c r="Q1873" s="66"/>
      <c r="R1873" s="66"/>
      <c r="S1873" s="66"/>
    </row>
    <row r="1874" spans="2:19" x14ac:dyDescent="0.2">
      <c r="B1874" s="245"/>
      <c r="C1874" s="245"/>
      <c r="D1874" s="245"/>
      <c r="E1874" s="245"/>
      <c r="F1874" s="245"/>
      <c r="G1874" s="579"/>
      <c r="H1874" s="245"/>
      <c r="I1874" s="245"/>
      <c r="J1874" s="245"/>
      <c r="K1874" s="245"/>
      <c r="L1874" s="245"/>
      <c r="N1874" s="579"/>
      <c r="O1874" s="579"/>
      <c r="P1874" s="579"/>
      <c r="Q1874" s="66"/>
      <c r="R1874" s="66"/>
      <c r="S1874" s="66"/>
    </row>
    <row r="1875" spans="2:19" x14ac:dyDescent="0.2">
      <c r="B1875" s="245"/>
      <c r="C1875" s="245"/>
      <c r="D1875" s="245"/>
      <c r="E1875" s="245"/>
      <c r="F1875" s="245"/>
      <c r="G1875" s="579"/>
      <c r="H1875" s="245"/>
      <c r="I1875" s="245"/>
      <c r="J1875" s="245"/>
      <c r="K1875" s="245"/>
      <c r="L1875" s="245"/>
      <c r="N1875" s="579"/>
      <c r="O1875" s="579"/>
      <c r="P1875" s="579"/>
      <c r="Q1875" s="66"/>
      <c r="R1875" s="66"/>
      <c r="S1875" s="66"/>
    </row>
    <row r="1876" spans="2:19" x14ac:dyDescent="0.2">
      <c r="B1876" s="245"/>
      <c r="C1876" s="245"/>
      <c r="D1876" s="245"/>
      <c r="E1876" s="245"/>
      <c r="F1876" s="245"/>
      <c r="G1876" s="579"/>
      <c r="H1876" s="245"/>
      <c r="I1876" s="245"/>
      <c r="J1876" s="245"/>
      <c r="K1876" s="245"/>
      <c r="L1876" s="245"/>
      <c r="N1876" s="579"/>
      <c r="O1876" s="579"/>
      <c r="P1876" s="579"/>
      <c r="Q1876" s="66"/>
      <c r="R1876" s="66"/>
      <c r="S1876" s="66"/>
    </row>
    <row r="1877" spans="2:19" x14ac:dyDescent="0.2">
      <c r="B1877" s="245"/>
      <c r="C1877" s="245"/>
      <c r="D1877" s="245"/>
      <c r="E1877" s="245"/>
      <c r="F1877" s="245"/>
      <c r="G1877" s="579"/>
      <c r="H1877" s="245"/>
      <c r="I1877" s="245"/>
      <c r="J1877" s="245"/>
      <c r="K1877" s="245"/>
      <c r="L1877" s="245"/>
      <c r="N1877" s="579"/>
      <c r="O1877" s="579"/>
      <c r="P1877" s="579"/>
      <c r="Q1877" s="66"/>
      <c r="R1877" s="66"/>
      <c r="S1877" s="66"/>
    </row>
    <row r="1878" spans="2:19" x14ac:dyDescent="0.2">
      <c r="B1878" s="245"/>
      <c r="C1878" s="245"/>
      <c r="D1878" s="245"/>
      <c r="E1878" s="245"/>
      <c r="F1878" s="245"/>
      <c r="G1878" s="579"/>
      <c r="H1878" s="245"/>
      <c r="I1878" s="245"/>
      <c r="J1878" s="245"/>
      <c r="K1878" s="245"/>
      <c r="L1878" s="245"/>
      <c r="N1878" s="579"/>
      <c r="O1878" s="579"/>
      <c r="P1878" s="579"/>
      <c r="Q1878" s="66"/>
      <c r="R1878" s="66"/>
      <c r="S1878" s="66"/>
    </row>
    <row r="1879" spans="2:19" x14ac:dyDescent="0.2">
      <c r="B1879" s="245"/>
      <c r="C1879" s="245"/>
      <c r="D1879" s="245"/>
      <c r="E1879" s="245"/>
      <c r="F1879" s="245"/>
      <c r="G1879" s="579"/>
      <c r="H1879" s="245"/>
      <c r="I1879" s="245"/>
      <c r="J1879" s="245"/>
      <c r="K1879" s="245"/>
      <c r="L1879" s="245"/>
      <c r="N1879" s="579"/>
      <c r="O1879" s="579"/>
      <c r="P1879" s="579"/>
      <c r="Q1879" s="66"/>
      <c r="R1879" s="66"/>
      <c r="S1879" s="66"/>
    </row>
    <row r="1880" spans="2:19" x14ac:dyDescent="0.2">
      <c r="B1880" s="245"/>
      <c r="C1880" s="245"/>
      <c r="D1880" s="245"/>
      <c r="E1880" s="245"/>
      <c r="F1880" s="245"/>
      <c r="G1880" s="579"/>
      <c r="H1880" s="245"/>
      <c r="I1880" s="245"/>
      <c r="J1880" s="245"/>
      <c r="K1880" s="245"/>
      <c r="L1880" s="245"/>
      <c r="N1880" s="579"/>
      <c r="O1880" s="579"/>
      <c r="P1880" s="579"/>
      <c r="Q1880" s="66"/>
      <c r="R1880" s="66"/>
      <c r="S1880" s="66"/>
    </row>
    <row r="1881" spans="2:19" x14ac:dyDescent="0.2">
      <c r="B1881" s="245"/>
      <c r="C1881" s="245"/>
      <c r="D1881" s="245"/>
      <c r="E1881" s="245"/>
      <c r="F1881" s="245"/>
      <c r="G1881" s="579"/>
      <c r="H1881" s="245"/>
      <c r="I1881" s="245"/>
      <c r="J1881" s="245"/>
      <c r="K1881" s="245"/>
      <c r="L1881" s="245"/>
      <c r="N1881" s="579"/>
      <c r="O1881" s="579"/>
      <c r="P1881" s="579"/>
      <c r="Q1881" s="66"/>
      <c r="R1881" s="66"/>
      <c r="S1881" s="66"/>
    </row>
    <row r="1882" spans="2:19" x14ac:dyDescent="0.2">
      <c r="B1882" s="245"/>
      <c r="C1882" s="245"/>
      <c r="D1882" s="245"/>
      <c r="E1882" s="245"/>
      <c r="F1882" s="245"/>
      <c r="G1882" s="579"/>
      <c r="H1882" s="245"/>
      <c r="I1882" s="245"/>
      <c r="J1882" s="245"/>
      <c r="K1882" s="245"/>
      <c r="L1882" s="245"/>
      <c r="N1882" s="579"/>
      <c r="O1882" s="579"/>
      <c r="P1882" s="579"/>
      <c r="Q1882" s="66"/>
      <c r="R1882" s="66"/>
      <c r="S1882" s="66"/>
    </row>
    <row r="1883" spans="2:19" x14ac:dyDescent="0.2">
      <c r="B1883" s="245"/>
      <c r="C1883" s="245"/>
      <c r="D1883" s="245"/>
      <c r="E1883" s="245"/>
      <c r="F1883" s="245"/>
      <c r="G1883" s="579"/>
      <c r="H1883" s="245"/>
      <c r="I1883" s="245"/>
      <c r="J1883" s="245"/>
      <c r="K1883" s="245"/>
      <c r="L1883" s="245"/>
      <c r="N1883" s="579"/>
      <c r="O1883" s="579"/>
      <c r="P1883" s="579"/>
      <c r="Q1883" s="66"/>
      <c r="R1883" s="66"/>
      <c r="S1883" s="66"/>
    </row>
    <row r="1884" spans="2:19" x14ac:dyDescent="0.2">
      <c r="B1884" s="245"/>
      <c r="C1884" s="245"/>
      <c r="D1884" s="245"/>
      <c r="E1884" s="245"/>
      <c r="F1884" s="245"/>
      <c r="G1884" s="579"/>
      <c r="H1884" s="245"/>
      <c r="I1884" s="245"/>
      <c r="J1884" s="245"/>
      <c r="K1884" s="245"/>
      <c r="L1884" s="245"/>
      <c r="N1884" s="579"/>
      <c r="O1884" s="579"/>
      <c r="P1884" s="579"/>
      <c r="Q1884" s="66"/>
      <c r="R1884" s="66"/>
      <c r="S1884" s="66"/>
    </row>
    <row r="1885" spans="2:19" x14ac:dyDescent="0.2">
      <c r="B1885" s="245"/>
      <c r="C1885" s="245"/>
      <c r="D1885" s="245"/>
      <c r="E1885" s="245"/>
      <c r="F1885" s="245"/>
      <c r="G1885" s="579"/>
      <c r="H1885" s="245"/>
      <c r="I1885" s="245"/>
      <c r="J1885" s="245"/>
      <c r="K1885" s="245"/>
      <c r="L1885" s="245"/>
      <c r="N1885" s="579"/>
      <c r="O1885" s="579"/>
      <c r="P1885" s="579"/>
      <c r="Q1885" s="66"/>
      <c r="R1885" s="66"/>
      <c r="S1885" s="66"/>
    </row>
    <row r="1886" spans="2:19" x14ac:dyDescent="0.2">
      <c r="B1886" s="245"/>
      <c r="C1886" s="245"/>
      <c r="D1886" s="245"/>
      <c r="E1886" s="245"/>
      <c r="F1886" s="245"/>
      <c r="G1886" s="579"/>
      <c r="H1886" s="245"/>
      <c r="I1886" s="245"/>
      <c r="J1886" s="245"/>
      <c r="K1886" s="245"/>
      <c r="L1886" s="245"/>
      <c r="N1886" s="579"/>
      <c r="O1886" s="579"/>
      <c r="P1886" s="579"/>
      <c r="Q1886" s="66"/>
      <c r="R1886" s="66"/>
      <c r="S1886" s="66"/>
    </row>
    <row r="1887" spans="2:19" x14ac:dyDescent="0.2">
      <c r="B1887" s="245"/>
      <c r="C1887" s="245"/>
      <c r="D1887" s="245"/>
      <c r="E1887" s="245"/>
      <c r="F1887" s="245"/>
      <c r="G1887" s="579"/>
      <c r="H1887" s="245"/>
      <c r="I1887" s="245"/>
      <c r="J1887" s="245"/>
      <c r="K1887" s="245"/>
      <c r="L1887" s="245"/>
      <c r="N1887" s="579"/>
      <c r="O1887" s="579"/>
      <c r="P1887" s="579"/>
      <c r="Q1887" s="66"/>
      <c r="R1887" s="66"/>
      <c r="S1887" s="66"/>
    </row>
    <row r="1888" spans="2:19" x14ac:dyDescent="0.2">
      <c r="B1888" s="245"/>
      <c r="C1888" s="245"/>
      <c r="D1888" s="245"/>
      <c r="E1888" s="245"/>
      <c r="F1888" s="245"/>
      <c r="G1888" s="579"/>
      <c r="H1888" s="245"/>
      <c r="I1888" s="245"/>
      <c r="J1888" s="245"/>
      <c r="K1888" s="245"/>
      <c r="L1888" s="245"/>
      <c r="N1888" s="579"/>
      <c r="O1888" s="579"/>
      <c r="P1888" s="579"/>
      <c r="Q1888" s="66"/>
      <c r="R1888" s="66"/>
      <c r="S1888" s="66"/>
    </row>
    <row r="1889" spans="2:19" x14ac:dyDescent="0.2">
      <c r="B1889" s="245"/>
      <c r="C1889" s="245"/>
      <c r="D1889" s="245"/>
      <c r="E1889" s="245"/>
      <c r="F1889" s="245"/>
      <c r="G1889" s="579"/>
      <c r="H1889" s="245"/>
      <c r="I1889" s="245"/>
      <c r="J1889" s="245"/>
      <c r="K1889" s="245"/>
      <c r="L1889" s="245"/>
      <c r="N1889" s="579"/>
      <c r="O1889" s="579"/>
      <c r="P1889" s="579"/>
      <c r="Q1889" s="66"/>
      <c r="R1889" s="66"/>
      <c r="S1889" s="66"/>
    </row>
    <row r="1890" spans="2:19" x14ac:dyDescent="0.2">
      <c r="B1890" s="245"/>
      <c r="C1890" s="245"/>
      <c r="D1890" s="245"/>
      <c r="E1890" s="245"/>
      <c r="F1890" s="245"/>
      <c r="G1890" s="579"/>
      <c r="H1890" s="245"/>
      <c r="I1890" s="245"/>
      <c r="J1890" s="245"/>
      <c r="K1890" s="245"/>
      <c r="L1890" s="245"/>
      <c r="N1890" s="579"/>
      <c r="O1890" s="579"/>
      <c r="P1890" s="579"/>
      <c r="Q1890" s="66"/>
      <c r="R1890" s="66"/>
      <c r="S1890" s="66"/>
    </row>
    <row r="1891" spans="2:19" x14ac:dyDescent="0.2">
      <c r="B1891" s="245"/>
      <c r="C1891" s="245"/>
      <c r="D1891" s="245"/>
      <c r="E1891" s="245"/>
      <c r="F1891" s="245"/>
      <c r="G1891" s="579"/>
      <c r="H1891" s="245"/>
      <c r="I1891" s="245"/>
      <c r="J1891" s="245"/>
      <c r="K1891" s="245"/>
      <c r="L1891" s="245"/>
      <c r="N1891" s="579"/>
      <c r="O1891" s="579"/>
      <c r="P1891" s="579"/>
      <c r="Q1891" s="66"/>
      <c r="R1891" s="66"/>
      <c r="S1891" s="66"/>
    </row>
    <row r="1892" spans="2:19" x14ac:dyDescent="0.2">
      <c r="B1892" s="245"/>
      <c r="C1892" s="245"/>
      <c r="D1892" s="245"/>
      <c r="E1892" s="245"/>
      <c r="F1892" s="245"/>
      <c r="G1892" s="579"/>
      <c r="H1892" s="245"/>
      <c r="I1892" s="245"/>
      <c r="J1892" s="245"/>
      <c r="K1892" s="245"/>
      <c r="L1892" s="245"/>
      <c r="N1892" s="579"/>
      <c r="O1892" s="579"/>
      <c r="P1892" s="579"/>
      <c r="Q1892" s="66"/>
      <c r="R1892" s="66"/>
      <c r="S1892" s="66"/>
    </row>
    <row r="1893" spans="2:19" x14ac:dyDescent="0.2">
      <c r="B1893" s="245"/>
      <c r="C1893" s="245"/>
      <c r="D1893" s="245"/>
      <c r="E1893" s="245"/>
      <c r="F1893" s="245"/>
      <c r="G1893" s="579"/>
      <c r="H1893" s="245"/>
      <c r="I1893" s="245"/>
      <c r="J1893" s="245"/>
      <c r="K1893" s="245"/>
      <c r="L1893" s="245"/>
      <c r="N1893" s="579"/>
      <c r="O1893" s="579"/>
      <c r="P1893" s="579"/>
      <c r="Q1893" s="66"/>
      <c r="R1893" s="66"/>
      <c r="S1893" s="66"/>
    </row>
    <row r="1894" spans="2:19" x14ac:dyDescent="0.2">
      <c r="B1894" s="245"/>
      <c r="C1894" s="245"/>
      <c r="D1894" s="245"/>
      <c r="E1894" s="245"/>
      <c r="F1894" s="245"/>
      <c r="G1894" s="579"/>
      <c r="H1894" s="245"/>
      <c r="I1894" s="245"/>
      <c r="J1894" s="245"/>
      <c r="K1894" s="245"/>
      <c r="L1894" s="245"/>
      <c r="N1894" s="579"/>
      <c r="O1894" s="579"/>
      <c r="P1894" s="579"/>
      <c r="Q1894" s="66"/>
      <c r="R1894" s="66"/>
      <c r="S1894" s="66"/>
    </row>
    <row r="1895" spans="2:19" x14ac:dyDescent="0.2">
      <c r="B1895" s="245"/>
      <c r="C1895" s="245"/>
      <c r="D1895" s="245"/>
      <c r="E1895" s="245"/>
      <c r="F1895" s="245"/>
      <c r="G1895" s="579"/>
      <c r="H1895" s="245"/>
      <c r="I1895" s="245"/>
      <c r="J1895" s="245"/>
      <c r="K1895" s="245"/>
      <c r="L1895" s="245"/>
      <c r="N1895" s="579"/>
      <c r="O1895" s="579"/>
      <c r="P1895" s="579"/>
      <c r="Q1895" s="66"/>
      <c r="R1895" s="66"/>
      <c r="S1895" s="66"/>
    </row>
    <row r="1896" spans="2:19" x14ac:dyDescent="0.2">
      <c r="B1896" s="245"/>
      <c r="C1896" s="245"/>
      <c r="D1896" s="245"/>
      <c r="E1896" s="245"/>
      <c r="F1896" s="245"/>
      <c r="G1896" s="579"/>
      <c r="H1896" s="245"/>
      <c r="I1896" s="245"/>
      <c r="J1896" s="245"/>
      <c r="K1896" s="245"/>
      <c r="L1896" s="245"/>
      <c r="N1896" s="579"/>
      <c r="O1896" s="579"/>
      <c r="P1896" s="579"/>
      <c r="Q1896" s="66"/>
      <c r="R1896" s="66"/>
      <c r="S1896" s="66"/>
    </row>
    <row r="1897" spans="2:19" x14ac:dyDescent="0.2">
      <c r="B1897" s="245"/>
      <c r="C1897" s="245"/>
      <c r="D1897" s="245"/>
      <c r="E1897" s="245"/>
      <c r="F1897" s="245"/>
      <c r="G1897" s="579"/>
      <c r="H1897" s="245"/>
      <c r="I1897" s="245"/>
      <c r="J1897" s="245"/>
      <c r="K1897" s="245"/>
      <c r="L1897" s="245"/>
      <c r="N1897" s="579"/>
      <c r="O1897" s="579"/>
      <c r="P1897" s="579"/>
      <c r="Q1897" s="66"/>
      <c r="R1897" s="66"/>
      <c r="S1897" s="66"/>
    </row>
    <row r="1898" spans="2:19" x14ac:dyDescent="0.2">
      <c r="B1898" s="245"/>
      <c r="C1898" s="245"/>
      <c r="D1898" s="245"/>
      <c r="E1898" s="245"/>
      <c r="F1898" s="245"/>
      <c r="G1898" s="579"/>
      <c r="H1898" s="245"/>
      <c r="I1898" s="245"/>
      <c r="J1898" s="245"/>
      <c r="K1898" s="245"/>
      <c r="L1898" s="245"/>
      <c r="N1898" s="579"/>
      <c r="O1898" s="579"/>
      <c r="P1898" s="579"/>
      <c r="Q1898" s="66"/>
      <c r="R1898" s="66"/>
      <c r="S1898" s="66"/>
    </row>
    <row r="1899" spans="2:19" x14ac:dyDescent="0.2">
      <c r="B1899" s="245"/>
      <c r="C1899" s="245"/>
      <c r="D1899" s="245"/>
      <c r="E1899" s="245"/>
      <c r="F1899" s="245"/>
      <c r="G1899" s="579"/>
      <c r="H1899" s="245"/>
      <c r="I1899" s="245"/>
      <c r="J1899" s="245"/>
      <c r="K1899" s="245"/>
      <c r="L1899" s="245"/>
      <c r="N1899" s="579"/>
      <c r="O1899" s="579"/>
      <c r="P1899" s="579"/>
      <c r="Q1899" s="66"/>
      <c r="R1899" s="66"/>
      <c r="S1899" s="66"/>
    </row>
    <row r="1900" spans="2:19" x14ac:dyDescent="0.2">
      <c r="B1900" s="245"/>
      <c r="C1900" s="245"/>
      <c r="D1900" s="245"/>
      <c r="E1900" s="245"/>
      <c r="F1900" s="245"/>
      <c r="G1900" s="579"/>
      <c r="H1900" s="245"/>
      <c r="I1900" s="245"/>
      <c r="J1900" s="245"/>
      <c r="K1900" s="245"/>
      <c r="L1900" s="245"/>
      <c r="N1900" s="579"/>
      <c r="O1900" s="579"/>
      <c r="P1900" s="579"/>
      <c r="Q1900" s="66"/>
      <c r="R1900" s="66"/>
      <c r="S1900" s="66"/>
    </row>
    <row r="1901" spans="2:19" x14ac:dyDescent="0.2">
      <c r="B1901" s="245"/>
      <c r="C1901" s="245"/>
      <c r="D1901" s="245"/>
      <c r="E1901" s="245"/>
      <c r="F1901" s="245"/>
      <c r="G1901" s="579"/>
      <c r="H1901" s="245"/>
      <c r="I1901" s="245"/>
      <c r="J1901" s="245"/>
      <c r="K1901" s="245"/>
      <c r="L1901" s="245"/>
      <c r="N1901" s="579"/>
      <c r="O1901" s="579"/>
      <c r="P1901" s="579"/>
      <c r="Q1901" s="66"/>
      <c r="R1901" s="66"/>
      <c r="S1901" s="66"/>
    </row>
    <row r="1902" spans="2:19" x14ac:dyDescent="0.2">
      <c r="B1902" s="245"/>
      <c r="C1902" s="245"/>
      <c r="D1902" s="245"/>
      <c r="E1902" s="245"/>
      <c r="F1902" s="245"/>
      <c r="G1902" s="579"/>
      <c r="H1902" s="245"/>
      <c r="I1902" s="245"/>
      <c r="J1902" s="245"/>
      <c r="K1902" s="245"/>
      <c r="L1902" s="245"/>
      <c r="N1902" s="579"/>
      <c r="O1902" s="579"/>
      <c r="P1902" s="579"/>
      <c r="Q1902" s="66"/>
      <c r="R1902" s="66"/>
      <c r="S1902" s="66"/>
    </row>
    <row r="1903" spans="2:19" x14ac:dyDescent="0.2">
      <c r="B1903" s="245"/>
      <c r="C1903" s="245"/>
      <c r="D1903" s="245"/>
      <c r="E1903" s="245"/>
      <c r="F1903" s="245"/>
      <c r="G1903" s="579"/>
      <c r="H1903" s="245"/>
      <c r="I1903" s="245"/>
      <c r="J1903" s="245"/>
      <c r="K1903" s="245"/>
      <c r="L1903" s="245"/>
      <c r="N1903" s="579"/>
      <c r="O1903" s="579"/>
      <c r="P1903" s="579"/>
      <c r="Q1903" s="66"/>
      <c r="R1903" s="66"/>
      <c r="S1903" s="66"/>
    </row>
    <row r="1904" spans="2:19" x14ac:dyDescent="0.2">
      <c r="B1904" s="245"/>
      <c r="C1904" s="245"/>
      <c r="D1904" s="245"/>
      <c r="E1904" s="245"/>
      <c r="F1904" s="245"/>
      <c r="G1904" s="579"/>
      <c r="H1904" s="245"/>
      <c r="I1904" s="245"/>
      <c r="J1904" s="245"/>
      <c r="K1904" s="245"/>
      <c r="L1904" s="245"/>
      <c r="N1904" s="579"/>
      <c r="O1904" s="579"/>
      <c r="P1904" s="579"/>
      <c r="Q1904" s="66"/>
      <c r="R1904" s="66"/>
      <c r="S1904" s="66"/>
    </row>
    <row r="1905" spans="2:19" x14ac:dyDescent="0.2">
      <c r="B1905" s="245"/>
      <c r="C1905" s="245"/>
      <c r="D1905" s="245"/>
      <c r="E1905" s="245"/>
      <c r="F1905" s="245"/>
      <c r="G1905" s="579"/>
      <c r="H1905" s="245"/>
      <c r="I1905" s="245"/>
      <c r="J1905" s="245"/>
      <c r="K1905" s="245"/>
      <c r="L1905" s="245"/>
      <c r="N1905" s="579"/>
      <c r="O1905" s="579"/>
      <c r="P1905" s="579"/>
      <c r="Q1905" s="66"/>
      <c r="R1905" s="66"/>
      <c r="S1905" s="66"/>
    </row>
    <row r="1906" spans="2:19" x14ac:dyDescent="0.2">
      <c r="B1906" s="245"/>
      <c r="C1906" s="245"/>
      <c r="D1906" s="245"/>
      <c r="E1906" s="245"/>
      <c r="F1906" s="245"/>
      <c r="G1906" s="579"/>
      <c r="H1906" s="245"/>
      <c r="I1906" s="245"/>
      <c r="J1906" s="245"/>
      <c r="K1906" s="245"/>
      <c r="L1906" s="245"/>
      <c r="N1906" s="579"/>
      <c r="O1906" s="579"/>
      <c r="P1906" s="579"/>
      <c r="Q1906" s="66"/>
      <c r="R1906" s="66"/>
      <c r="S1906" s="66"/>
    </row>
    <row r="1907" spans="2:19" x14ac:dyDescent="0.2">
      <c r="B1907" s="245"/>
      <c r="C1907" s="245"/>
      <c r="D1907" s="245"/>
      <c r="E1907" s="245"/>
      <c r="F1907" s="245"/>
      <c r="G1907" s="579"/>
      <c r="H1907" s="245"/>
      <c r="I1907" s="245"/>
      <c r="J1907" s="245"/>
      <c r="K1907" s="245"/>
      <c r="L1907" s="245"/>
      <c r="N1907" s="579"/>
      <c r="O1907" s="579"/>
      <c r="P1907" s="579"/>
      <c r="Q1907" s="66"/>
      <c r="R1907" s="66"/>
      <c r="S1907" s="66"/>
    </row>
    <row r="1908" spans="2:19" x14ac:dyDescent="0.2">
      <c r="B1908" s="245"/>
      <c r="C1908" s="245"/>
      <c r="D1908" s="245"/>
      <c r="E1908" s="245"/>
      <c r="F1908" s="245"/>
      <c r="G1908" s="579"/>
      <c r="H1908" s="245"/>
      <c r="I1908" s="245"/>
      <c r="J1908" s="245"/>
      <c r="K1908" s="245"/>
      <c r="L1908" s="245"/>
      <c r="N1908" s="579"/>
      <c r="O1908" s="579"/>
      <c r="P1908" s="579"/>
      <c r="Q1908" s="66"/>
      <c r="R1908" s="66"/>
      <c r="S1908" s="66"/>
    </row>
    <row r="1909" spans="2:19" x14ac:dyDescent="0.2">
      <c r="B1909" s="245"/>
      <c r="C1909" s="245"/>
      <c r="D1909" s="245"/>
      <c r="E1909" s="245"/>
      <c r="F1909" s="245"/>
      <c r="G1909" s="579"/>
      <c r="H1909" s="245"/>
      <c r="I1909" s="245"/>
      <c r="J1909" s="245"/>
      <c r="K1909" s="245"/>
      <c r="L1909" s="245"/>
      <c r="N1909" s="579"/>
      <c r="O1909" s="579"/>
      <c r="P1909" s="579"/>
      <c r="Q1909" s="66"/>
      <c r="R1909" s="66"/>
      <c r="S1909" s="66"/>
    </row>
    <row r="1910" spans="2:19" x14ac:dyDescent="0.2">
      <c r="B1910" s="245"/>
      <c r="C1910" s="245"/>
      <c r="D1910" s="245"/>
      <c r="E1910" s="245"/>
      <c r="F1910" s="245"/>
      <c r="G1910" s="579"/>
      <c r="H1910" s="245"/>
      <c r="I1910" s="245"/>
      <c r="J1910" s="245"/>
      <c r="K1910" s="245"/>
      <c r="L1910" s="245"/>
      <c r="N1910" s="579"/>
      <c r="O1910" s="579"/>
      <c r="P1910" s="579"/>
      <c r="Q1910" s="66"/>
      <c r="R1910" s="66"/>
      <c r="S1910" s="66"/>
    </row>
    <row r="1911" spans="2:19" x14ac:dyDescent="0.2">
      <c r="B1911" s="245"/>
      <c r="C1911" s="245"/>
      <c r="D1911" s="245"/>
      <c r="E1911" s="245"/>
      <c r="F1911" s="245"/>
      <c r="G1911" s="579"/>
      <c r="H1911" s="245"/>
      <c r="I1911" s="245"/>
      <c r="J1911" s="245"/>
      <c r="K1911" s="245"/>
      <c r="L1911" s="245"/>
      <c r="N1911" s="579"/>
      <c r="O1911" s="579"/>
      <c r="P1911" s="579"/>
      <c r="Q1911" s="66"/>
      <c r="R1911" s="66"/>
      <c r="S1911" s="66"/>
    </row>
    <row r="1912" spans="2:19" x14ac:dyDescent="0.2">
      <c r="B1912" s="245"/>
      <c r="C1912" s="245"/>
      <c r="D1912" s="245"/>
      <c r="E1912" s="245"/>
      <c r="F1912" s="245"/>
      <c r="G1912" s="579"/>
      <c r="H1912" s="245"/>
      <c r="I1912" s="245"/>
      <c r="J1912" s="245"/>
      <c r="K1912" s="245"/>
      <c r="L1912" s="245"/>
      <c r="N1912" s="579"/>
      <c r="O1912" s="579"/>
      <c r="P1912" s="579"/>
      <c r="Q1912" s="66"/>
      <c r="R1912" s="66"/>
      <c r="S1912" s="66"/>
    </row>
    <row r="1913" spans="2:19" x14ac:dyDescent="0.2">
      <c r="B1913" s="245"/>
      <c r="C1913" s="245"/>
      <c r="D1913" s="245"/>
      <c r="E1913" s="245"/>
      <c r="F1913" s="245"/>
      <c r="G1913" s="579"/>
      <c r="H1913" s="245"/>
      <c r="I1913" s="245"/>
      <c r="J1913" s="245"/>
      <c r="K1913" s="245"/>
      <c r="L1913" s="245"/>
      <c r="N1913" s="579"/>
      <c r="O1913" s="579"/>
      <c r="P1913" s="579"/>
      <c r="Q1913" s="66"/>
      <c r="R1913" s="66"/>
      <c r="S1913" s="66"/>
    </row>
    <row r="1914" spans="2:19" x14ac:dyDescent="0.2">
      <c r="B1914" s="245"/>
      <c r="C1914" s="245"/>
      <c r="D1914" s="245"/>
      <c r="E1914" s="245"/>
      <c r="F1914" s="245"/>
      <c r="G1914" s="579"/>
      <c r="H1914" s="245"/>
      <c r="I1914" s="245"/>
      <c r="J1914" s="245"/>
      <c r="K1914" s="245"/>
      <c r="L1914" s="245"/>
      <c r="N1914" s="579"/>
      <c r="O1914" s="579"/>
      <c r="P1914" s="579"/>
      <c r="Q1914" s="66"/>
      <c r="R1914" s="66"/>
      <c r="S1914" s="66"/>
    </row>
    <row r="1915" spans="2:19" x14ac:dyDescent="0.2">
      <c r="B1915" s="245"/>
      <c r="C1915" s="245"/>
      <c r="D1915" s="245"/>
      <c r="E1915" s="245"/>
      <c r="F1915" s="245"/>
      <c r="G1915" s="579"/>
      <c r="H1915" s="245"/>
      <c r="I1915" s="245"/>
      <c r="J1915" s="245"/>
      <c r="K1915" s="245"/>
      <c r="L1915" s="245"/>
      <c r="N1915" s="579"/>
      <c r="O1915" s="579"/>
      <c r="P1915" s="579"/>
      <c r="Q1915" s="66"/>
      <c r="R1915" s="66"/>
      <c r="S1915" s="66"/>
    </row>
    <row r="1916" spans="2:19" x14ac:dyDescent="0.2">
      <c r="B1916" s="245"/>
      <c r="C1916" s="245"/>
      <c r="D1916" s="245"/>
      <c r="E1916" s="245"/>
      <c r="F1916" s="245"/>
      <c r="G1916" s="579"/>
      <c r="H1916" s="245"/>
      <c r="I1916" s="245"/>
      <c r="J1916" s="245"/>
      <c r="K1916" s="245"/>
      <c r="L1916" s="245"/>
      <c r="N1916" s="579"/>
      <c r="O1916" s="579"/>
      <c r="P1916" s="579"/>
      <c r="Q1916" s="66"/>
      <c r="R1916" s="66"/>
      <c r="S1916" s="66"/>
    </row>
    <row r="1917" spans="2:19" x14ac:dyDescent="0.2">
      <c r="B1917" s="245"/>
      <c r="C1917" s="245"/>
      <c r="D1917" s="245"/>
      <c r="E1917" s="245"/>
      <c r="F1917" s="245"/>
      <c r="G1917" s="579"/>
      <c r="H1917" s="245"/>
      <c r="I1917" s="245"/>
      <c r="J1917" s="245"/>
      <c r="K1917" s="245"/>
      <c r="L1917" s="245"/>
      <c r="N1917" s="579"/>
      <c r="O1917" s="579"/>
      <c r="P1917" s="579"/>
      <c r="Q1917" s="66"/>
      <c r="R1917" s="66"/>
      <c r="S1917" s="66"/>
    </row>
    <row r="1918" spans="2:19" x14ac:dyDescent="0.2">
      <c r="B1918" s="245"/>
      <c r="C1918" s="245"/>
      <c r="D1918" s="245"/>
      <c r="E1918" s="245"/>
      <c r="F1918" s="245"/>
      <c r="G1918" s="579"/>
      <c r="H1918" s="245"/>
      <c r="I1918" s="245"/>
      <c r="J1918" s="245"/>
      <c r="K1918" s="245"/>
      <c r="L1918" s="245"/>
      <c r="N1918" s="579"/>
      <c r="O1918" s="579"/>
      <c r="P1918" s="579"/>
      <c r="Q1918" s="66"/>
      <c r="R1918" s="66"/>
      <c r="S1918" s="66"/>
    </row>
    <row r="1919" spans="2:19" x14ac:dyDescent="0.2">
      <c r="B1919" s="245"/>
      <c r="C1919" s="245"/>
      <c r="D1919" s="245"/>
      <c r="E1919" s="245"/>
      <c r="F1919" s="245"/>
      <c r="G1919" s="579"/>
      <c r="H1919" s="245"/>
      <c r="I1919" s="245"/>
      <c r="J1919" s="245"/>
      <c r="K1919" s="245"/>
      <c r="L1919" s="245"/>
      <c r="N1919" s="579"/>
      <c r="O1919" s="579"/>
      <c r="P1919" s="579"/>
      <c r="Q1919" s="66"/>
      <c r="R1919" s="66"/>
      <c r="S1919" s="66"/>
    </row>
    <row r="1920" spans="2:19" x14ac:dyDescent="0.2">
      <c r="B1920" s="245"/>
      <c r="C1920" s="245"/>
      <c r="D1920" s="245"/>
      <c r="E1920" s="245"/>
      <c r="F1920" s="245"/>
      <c r="G1920" s="579"/>
      <c r="H1920" s="245"/>
      <c r="I1920" s="245"/>
      <c r="J1920" s="245"/>
      <c r="K1920" s="245"/>
      <c r="L1920" s="245"/>
      <c r="N1920" s="579"/>
      <c r="O1920" s="579"/>
      <c r="P1920" s="579"/>
      <c r="Q1920" s="66"/>
      <c r="R1920" s="66"/>
      <c r="S1920" s="66"/>
    </row>
    <row r="1921" spans="2:19" x14ac:dyDescent="0.2">
      <c r="B1921" s="245"/>
      <c r="C1921" s="245"/>
      <c r="D1921" s="245"/>
      <c r="E1921" s="245"/>
      <c r="F1921" s="245"/>
      <c r="G1921" s="579"/>
      <c r="H1921" s="245"/>
      <c r="I1921" s="245"/>
      <c r="J1921" s="245"/>
      <c r="K1921" s="245"/>
      <c r="L1921" s="245"/>
      <c r="N1921" s="579"/>
      <c r="O1921" s="579"/>
      <c r="P1921" s="579"/>
      <c r="Q1921" s="66"/>
      <c r="R1921" s="66"/>
      <c r="S1921" s="66"/>
    </row>
    <row r="1922" spans="2:19" x14ac:dyDescent="0.2">
      <c r="B1922" s="245"/>
      <c r="C1922" s="245"/>
      <c r="D1922" s="245"/>
      <c r="E1922" s="245"/>
      <c r="F1922" s="245"/>
      <c r="G1922" s="579"/>
      <c r="H1922" s="245"/>
      <c r="I1922" s="245"/>
      <c r="J1922" s="245"/>
      <c r="K1922" s="245"/>
      <c r="L1922" s="245"/>
      <c r="N1922" s="579"/>
      <c r="O1922" s="579"/>
      <c r="P1922" s="579"/>
      <c r="Q1922" s="66"/>
      <c r="R1922" s="66"/>
      <c r="S1922" s="66"/>
    </row>
    <row r="1923" spans="2:19" x14ac:dyDescent="0.2">
      <c r="B1923" s="245"/>
      <c r="C1923" s="245"/>
      <c r="D1923" s="245"/>
      <c r="E1923" s="245"/>
      <c r="F1923" s="245"/>
      <c r="G1923" s="579"/>
      <c r="H1923" s="245"/>
      <c r="I1923" s="245"/>
      <c r="J1923" s="245"/>
      <c r="K1923" s="245"/>
      <c r="L1923" s="245"/>
      <c r="N1923" s="579"/>
      <c r="O1923" s="579"/>
      <c r="P1923" s="579"/>
      <c r="Q1923" s="66"/>
      <c r="R1923" s="66"/>
      <c r="S1923" s="66"/>
    </row>
    <row r="1924" spans="2:19" x14ac:dyDescent="0.2">
      <c r="B1924" s="245"/>
      <c r="C1924" s="245"/>
      <c r="D1924" s="245"/>
      <c r="E1924" s="245"/>
      <c r="F1924" s="245"/>
      <c r="G1924" s="579"/>
      <c r="H1924" s="245"/>
      <c r="I1924" s="245"/>
      <c r="J1924" s="245"/>
      <c r="K1924" s="245"/>
      <c r="L1924" s="245"/>
      <c r="N1924" s="579"/>
      <c r="O1924" s="579"/>
      <c r="P1924" s="579"/>
      <c r="Q1924" s="66"/>
      <c r="R1924" s="66"/>
      <c r="S1924" s="66"/>
    </row>
    <row r="1925" spans="2:19" x14ac:dyDescent="0.2">
      <c r="B1925" s="245"/>
      <c r="C1925" s="245"/>
      <c r="D1925" s="245"/>
      <c r="E1925" s="245"/>
      <c r="F1925" s="245"/>
      <c r="G1925" s="579"/>
      <c r="H1925" s="245"/>
      <c r="I1925" s="245"/>
      <c r="J1925" s="245"/>
      <c r="K1925" s="245"/>
      <c r="L1925" s="245"/>
      <c r="N1925" s="579"/>
      <c r="O1925" s="579"/>
      <c r="P1925" s="579"/>
      <c r="Q1925" s="66"/>
      <c r="R1925" s="66"/>
      <c r="S1925" s="66"/>
    </row>
    <row r="1926" spans="2:19" x14ac:dyDescent="0.2">
      <c r="B1926" s="245"/>
      <c r="C1926" s="245"/>
      <c r="D1926" s="245"/>
      <c r="E1926" s="245"/>
      <c r="F1926" s="245"/>
      <c r="G1926" s="579"/>
      <c r="H1926" s="245"/>
      <c r="I1926" s="245"/>
      <c r="J1926" s="245"/>
      <c r="K1926" s="245"/>
      <c r="L1926" s="245"/>
      <c r="N1926" s="579"/>
      <c r="O1926" s="579"/>
      <c r="P1926" s="579"/>
      <c r="Q1926" s="66"/>
      <c r="R1926" s="66"/>
      <c r="S1926" s="66"/>
    </row>
    <row r="1927" spans="2:19" x14ac:dyDescent="0.2">
      <c r="B1927" s="245"/>
      <c r="C1927" s="245"/>
      <c r="D1927" s="245"/>
      <c r="E1927" s="245"/>
      <c r="F1927" s="245"/>
      <c r="G1927" s="579"/>
      <c r="H1927" s="245"/>
      <c r="I1927" s="245"/>
      <c r="J1927" s="245"/>
      <c r="K1927" s="245"/>
      <c r="L1927" s="245"/>
      <c r="N1927" s="579"/>
      <c r="O1927" s="579"/>
      <c r="P1927" s="579"/>
      <c r="Q1927" s="66"/>
      <c r="R1927" s="66"/>
      <c r="S1927" s="66"/>
    </row>
    <row r="1928" spans="2:19" x14ac:dyDescent="0.2">
      <c r="B1928" s="245"/>
      <c r="C1928" s="245"/>
      <c r="D1928" s="245"/>
      <c r="E1928" s="245"/>
      <c r="F1928" s="245"/>
      <c r="G1928" s="579"/>
      <c r="H1928" s="245"/>
      <c r="I1928" s="245"/>
      <c r="J1928" s="245"/>
      <c r="K1928" s="245"/>
      <c r="L1928" s="245"/>
      <c r="N1928" s="579"/>
      <c r="O1928" s="579"/>
      <c r="P1928" s="579"/>
      <c r="Q1928" s="66"/>
      <c r="R1928" s="66"/>
      <c r="S1928" s="66"/>
    </row>
    <row r="1929" spans="2:19" x14ac:dyDescent="0.2">
      <c r="B1929" s="245"/>
      <c r="C1929" s="245"/>
      <c r="D1929" s="245"/>
      <c r="E1929" s="245"/>
      <c r="F1929" s="245"/>
      <c r="G1929" s="579"/>
      <c r="H1929" s="245"/>
      <c r="I1929" s="245"/>
      <c r="J1929" s="245"/>
      <c r="K1929" s="245"/>
      <c r="L1929" s="245"/>
      <c r="N1929" s="579"/>
      <c r="O1929" s="579"/>
      <c r="P1929" s="579"/>
      <c r="Q1929" s="66"/>
      <c r="R1929" s="66"/>
      <c r="S1929" s="66"/>
    </row>
    <row r="1930" spans="2:19" x14ac:dyDescent="0.2">
      <c r="B1930" s="245"/>
      <c r="C1930" s="245"/>
      <c r="D1930" s="245"/>
      <c r="E1930" s="245"/>
      <c r="F1930" s="245"/>
      <c r="G1930" s="579"/>
      <c r="H1930" s="245"/>
      <c r="I1930" s="245"/>
      <c r="J1930" s="245"/>
      <c r="K1930" s="245"/>
      <c r="L1930" s="245"/>
      <c r="N1930" s="579"/>
      <c r="O1930" s="579"/>
      <c r="P1930" s="579"/>
      <c r="Q1930" s="66"/>
      <c r="R1930" s="66"/>
      <c r="S1930" s="66"/>
    </row>
    <row r="1931" spans="2:19" x14ac:dyDescent="0.2">
      <c r="B1931" s="245"/>
      <c r="C1931" s="245"/>
      <c r="D1931" s="245"/>
      <c r="E1931" s="245"/>
      <c r="F1931" s="245"/>
      <c r="G1931" s="579"/>
      <c r="H1931" s="245"/>
      <c r="I1931" s="245"/>
      <c r="J1931" s="245"/>
      <c r="K1931" s="245"/>
      <c r="L1931" s="245"/>
      <c r="N1931" s="579"/>
      <c r="O1931" s="579"/>
      <c r="P1931" s="579"/>
      <c r="Q1931" s="66"/>
      <c r="R1931" s="66"/>
      <c r="S1931" s="66"/>
    </row>
    <row r="1932" spans="2:19" x14ac:dyDescent="0.2">
      <c r="B1932" s="245"/>
      <c r="C1932" s="245"/>
      <c r="D1932" s="245"/>
      <c r="E1932" s="245"/>
      <c r="F1932" s="245"/>
      <c r="G1932" s="579"/>
      <c r="H1932" s="245"/>
      <c r="I1932" s="245"/>
      <c r="J1932" s="245"/>
      <c r="K1932" s="245"/>
      <c r="L1932" s="245"/>
      <c r="N1932" s="579"/>
      <c r="O1932" s="579"/>
      <c r="P1932" s="579"/>
      <c r="Q1932" s="66"/>
      <c r="R1932" s="66"/>
      <c r="S1932" s="66"/>
    </row>
    <row r="1933" spans="2:19" x14ac:dyDescent="0.2">
      <c r="B1933" s="245"/>
      <c r="C1933" s="245"/>
      <c r="D1933" s="245"/>
      <c r="E1933" s="245"/>
      <c r="F1933" s="245"/>
      <c r="G1933" s="579"/>
      <c r="H1933" s="245"/>
      <c r="I1933" s="245"/>
      <c r="J1933" s="245"/>
      <c r="K1933" s="245"/>
      <c r="L1933" s="245"/>
      <c r="N1933" s="579"/>
      <c r="O1933" s="579"/>
      <c r="P1933" s="579"/>
      <c r="Q1933" s="66"/>
      <c r="R1933" s="66"/>
      <c r="S1933" s="66"/>
    </row>
    <row r="1934" spans="2:19" x14ac:dyDescent="0.2">
      <c r="B1934" s="245"/>
      <c r="C1934" s="245"/>
      <c r="D1934" s="245"/>
      <c r="E1934" s="245"/>
      <c r="F1934" s="245"/>
      <c r="G1934" s="579"/>
      <c r="H1934" s="245"/>
      <c r="I1934" s="245"/>
      <c r="J1934" s="245"/>
      <c r="K1934" s="245"/>
      <c r="L1934" s="245"/>
      <c r="N1934" s="579"/>
      <c r="O1934" s="579"/>
      <c r="P1934" s="579"/>
      <c r="Q1934" s="66"/>
      <c r="R1934" s="66"/>
      <c r="S1934" s="66"/>
    </row>
    <row r="1935" spans="2:19" x14ac:dyDescent="0.2">
      <c r="B1935" s="245"/>
      <c r="C1935" s="245"/>
      <c r="D1935" s="245"/>
      <c r="E1935" s="245"/>
      <c r="F1935" s="245"/>
      <c r="G1935" s="579"/>
      <c r="H1935" s="245"/>
      <c r="I1935" s="245"/>
      <c r="J1935" s="245"/>
      <c r="K1935" s="245"/>
      <c r="L1935" s="245"/>
      <c r="N1935" s="579"/>
      <c r="O1935" s="579"/>
      <c r="P1935" s="579"/>
      <c r="Q1935" s="66"/>
      <c r="R1935" s="66"/>
      <c r="S1935" s="66"/>
    </row>
    <row r="1936" spans="2:19" x14ac:dyDescent="0.2">
      <c r="B1936" s="245"/>
      <c r="C1936" s="245"/>
      <c r="D1936" s="245"/>
      <c r="E1936" s="245"/>
      <c r="F1936" s="245"/>
      <c r="G1936" s="579"/>
      <c r="H1936" s="245"/>
      <c r="I1936" s="245"/>
      <c r="J1936" s="245"/>
      <c r="K1936" s="245"/>
      <c r="L1936" s="245"/>
      <c r="N1936" s="579"/>
      <c r="O1936" s="579"/>
      <c r="P1936" s="579"/>
      <c r="Q1936" s="66"/>
      <c r="R1936" s="66"/>
      <c r="S1936" s="66"/>
    </row>
    <row r="1937" spans="2:19" x14ac:dyDescent="0.2">
      <c r="B1937" s="245"/>
      <c r="C1937" s="245"/>
      <c r="D1937" s="245"/>
      <c r="E1937" s="245"/>
      <c r="F1937" s="245"/>
      <c r="G1937" s="579"/>
      <c r="H1937" s="245"/>
      <c r="I1937" s="245"/>
      <c r="J1937" s="245"/>
      <c r="K1937" s="245"/>
      <c r="L1937" s="245"/>
      <c r="N1937" s="579"/>
      <c r="O1937" s="579"/>
      <c r="P1937" s="579"/>
      <c r="Q1937" s="66"/>
      <c r="R1937" s="66"/>
      <c r="S1937" s="66"/>
    </row>
    <row r="1938" spans="2:19" x14ac:dyDescent="0.2">
      <c r="B1938" s="245"/>
      <c r="C1938" s="245"/>
      <c r="D1938" s="245"/>
      <c r="E1938" s="245"/>
      <c r="F1938" s="245"/>
      <c r="G1938" s="579"/>
      <c r="H1938" s="245"/>
      <c r="I1938" s="245"/>
      <c r="J1938" s="245"/>
      <c r="K1938" s="245"/>
      <c r="L1938" s="245"/>
      <c r="N1938" s="579"/>
      <c r="O1938" s="579"/>
      <c r="P1938" s="579"/>
      <c r="Q1938" s="66"/>
      <c r="R1938" s="66"/>
      <c r="S1938" s="66"/>
    </row>
    <row r="1939" spans="2:19" x14ac:dyDescent="0.2">
      <c r="B1939" s="245"/>
      <c r="C1939" s="245"/>
      <c r="D1939" s="245"/>
      <c r="E1939" s="245"/>
      <c r="F1939" s="245"/>
      <c r="G1939" s="579"/>
      <c r="H1939" s="245"/>
      <c r="I1939" s="245"/>
      <c r="J1939" s="245"/>
      <c r="K1939" s="245"/>
      <c r="L1939" s="245"/>
      <c r="N1939" s="579"/>
      <c r="O1939" s="579"/>
      <c r="P1939" s="579"/>
      <c r="Q1939" s="66"/>
      <c r="R1939" s="66"/>
      <c r="S1939" s="66"/>
    </row>
    <row r="1940" spans="2:19" x14ac:dyDescent="0.2">
      <c r="B1940" s="245"/>
      <c r="C1940" s="245"/>
      <c r="D1940" s="245"/>
      <c r="E1940" s="245"/>
      <c r="F1940" s="245"/>
      <c r="G1940" s="579"/>
      <c r="H1940" s="245"/>
      <c r="I1940" s="245"/>
      <c r="J1940" s="245"/>
      <c r="K1940" s="245"/>
      <c r="L1940" s="245"/>
      <c r="N1940" s="579"/>
      <c r="O1940" s="579"/>
      <c r="P1940" s="579"/>
      <c r="Q1940" s="66"/>
      <c r="R1940" s="66"/>
      <c r="S1940" s="66"/>
    </row>
    <row r="1941" spans="2:19" x14ac:dyDescent="0.2">
      <c r="B1941" s="245"/>
      <c r="C1941" s="245"/>
      <c r="D1941" s="245"/>
      <c r="E1941" s="245"/>
      <c r="F1941" s="245"/>
      <c r="G1941" s="579"/>
      <c r="H1941" s="245"/>
      <c r="I1941" s="245"/>
      <c r="J1941" s="245"/>
      <c r="K1941" s="245"/>
      <c r="L1941" s="245"/>
      <c r="N1941" s="579"/>
      <c r="O1941" s="579"/>
      <c r="P1941" s="579"/>
      <c r="Q1941" s="66"/>
      <c r="R1941" s="66"/>
      <c r="S1941" s="66"/>
    </row>
    <row r="1942" spans="2:19" x14ac:dyDescent="0.2">
      <c r="B1942" s="245"/>
      <c r="C1942" s="245"/>
      <c r="D1942" s="245"/>
      <c r="E1942" s="245"/>
      <c r="F1942" s="245"/>
      <c r="G1942" s="579"/>
      <c r="H1942" s="245"/>
      <c r="I1942" s="245"/>
      <c r="J1942" s="245"/>
      <c r="K1942" s="245"/>
      <c r="L1942" s="245"/>
      <c r="N1942" s="579"/>
      <c r="O1942" s="579"/>
      <c r="P1942" s="579"/>
      <c r="Q1942" s="66"/>
      <c r="R1942" s="66"/>
      <c r="S1942" s="66"/>
    </row>
    <row r="1943" spans="2:19" x14ac:dyDescent="0.2">
      <c r="B1943" s="245"/>
      <c r="C1943" s="245"/>
      <c r="D1943" s="245"/>
      <c r="E1943" s="245"/>
      <c r="F1943" s="245"/>
      <c r="G1943" s="579"/>
      <c r="H1943" s="245"/>
      <c r="I1943" s="245"/>
      <c r="J1943" s="245"/>
      <c r="K1943" s="245"/>
      <c r="L1943" s="245"/>
      <c r="N1943" s="579"/>
      <c r="O1943" s="579"/>
      <c r="P1943" s="579"/>
      <c r="Q1943" s="66"/>
      <c r="R1943" s="66"/>
      <c r="S1943" s="66"/>
    </row>
    <row r="1944" spans="2:19" x14ac:dyDescent="0.2">
      <c r="B1944" s="245"/>
      <c r="C1944" s="245"/>
      <c r="D1944" s="245"/>
      <c r="E1944" s="245"/>
      <c r="F1944" s="245"/>
      <c r="G1944" s="579"/>
      <c r="H1944" s="245"/>
      <c r="I1944" s="245"/>
      <c r="J1944" s="245"/>
      <c r="K1944" s="245"/>
      <c r="L1944" s="245"/>
      <c r="N1944" s="579"/>
      <c r="O1944" s="579"/>
      <c r="P1944" s="579"/>
      <c r="Q1944" s="66"/>
      <c r="R1944" s="66"/>
      <c r="S1944" s="66"/>
    </row>
    <row r="1945" spans="2:19" x14ac:dyDescent="0.2">
      <c r="B1945" s="245"/>
      <c r="C1945" s="245"/>
      <c r="D1945" s="245"/>
      <c r="E1945" s="245"/>
      <c r="F1945" s="245"/>
      <c r="G1945" s="579"/>
      <c r="H1945" s="245"/>
      <c r="I1945" s="245"/>
      <c r="J1945" s="245"/>
      <c r="K1945" s="245"/>
      <c r="L1945" s="245"/>
      <c r="N1945" s="579"/>
      <c r="O1945" s="579"/>
      <c r="P1945" s="579"/>
      <c r="Q1945" s="66"/>
      <c r="R1945" s="66"/>
      <c r="S1945" s="66"/>
    </row>
    <row r="1946" spans="2:19" x14ac:dyDescent="0.2">
      <c r="B1946" s="245"/>
      <c r="C1946" s="245"/>
      <c r="D1946" s="245"/>
      <c r="E1946" s="245"/>
      <c r="F1946" s="245"/>
      <c r="G1946" s="579"/>
      <c r="H1946" s="245"/>
      <c r="I1946" s="245"/>
      <c r="J1946" s="245"/>
      <c r="K1946" s="245"/>
      <c r="L1946" s="245"/>
      <c r="N1946" s="579"/>
      <c r="O1946" s="579"/>
      <c r="P1946" s="579"/>
      <c r="Q1946" s="66"/>
      <c r="R1946" s="66"/>
      <c r="S1946" s="66"/>
    </row>
    <row r="1947" spans="2:19" x14ac:dyDescent="0.2">
      <c r="B1947" s="245"/>
      <c r="C1947" s="245"/>
      <c r="D1947" s="245"/>
      <c r="E1947" s="245"/>
      <c r="F1947" s="245"/>
      <c r="G1947" s="579"/>
      <c r="H1947" s="245"/>
      <c r="I1947" s="245"/>
      <c r="J1947" s="245"/>
      <c r="K1947" s="245"/>
      <c r="L1947" s="245"/>
      <c r="N1947" s="579"/>
      <c r="O1947" s="579"/>
      <c r="P1947" s="579"/>
      <c r="Q1947" s="66"/>
      <c r="R1947" s="66"/>
      <c r="S1947" s="66"/>
    </row>
    <row r="1948" spans="2:19" x14ac:dyDescent="0.2">
      <c r="B1948" s="245"/>
      <c r="C1948" s="245"/>
      <c r="D1948" s="245"/>
      <c r="E1948" s="245"/>
      <c r="F1948" s="245"/>
      <c r="G1948" s="579"/>
      <c r="H1948" s="245"/>
      <c r="I1948" s="245"/>
      <c r="J1948" s="245"/>
      <c r="K1948" s="245"/>
      <c r="L1948" s="245"/>
      <c r="N1948" s="579"/>
      <c r="O1948" s="579"/>
      <c r="P1948" s="579"/>
      <c r="Q1948" s="66"/>
      <c r="R1948" s="66"/>
      <c r="S1948" s="66"/>
    </row>
    <row r="1949" spans="2:19" x14ac:dyDescent="0.2">
      <c r="B1949" s="245"/>
      <c r="C1949" s="245"/>
      <c r="D1949" s="245"/>
      <c r="E1949" s="245"/>
      <c r="F1949" s="245"/>
      <c r="G1949" s="579"/>
      <c r="H1949" s="245"/>
      <c r="I1949" s="245"/>
      <c r="J1949" s="245"/>
      <c r="K1949" s="245"/>
      <c r="L1949" s="245"/>
      <c r="N1949" s="579"/>
      <c r="O1949" s="579"/>
      <c r="P1949" s="579"/>
      <c r="Q1949" s="66"/>
      <c r="R1949" s="66"/>
      <c r="S1949" s="66"/>
    </row>
    <row r="1950" spans="2:19" x14ac:dyDescent="0.2">
      <c r="B1950" s="245"/>
      <c r="C1950" s="245"/>
      <c r="D1950" s="245"/>
      <c r="E1950" s="245"/>
      <c r="F1950" s="245"/>
      <c r="G1950" s="579"/>
      <c r="H1950" s="245"/>
      <c r="I1950" s="245"/>
      <c r="J1950" s="245"/>
      <c r="K1950" s="245"/>
      <c r="L1950" s="245"/>
      <c r="N1950" s="579"/>
      <c r="O1950" s="579"/>
      <c r="P1950" s="579"/>
      <c r="Q1950" s="66"/>
      <c r="R1950" s="66"/>
      <c r="S1950" s="66"/>
    </row>
    <row r="1951" spans="2:19" x14ac:dyDescent="0.2">
      <c r="B1951" s="245"/>
      <c r="C1951" s="245"/>
      <c r="D1951" s="245"/>
      <c r="E1951" s="245"/>
      <c r="F1951" s="245"/>
      <c r="G1951" s="579"/>
      <c r="H1951" s="245"/>
      <c r="I1951" s="245"/>
      <c r="J1951" s="245"/>
      <c r="K1951" s="245"/>
      <c r="L1951" s="245"/>
      <c r="N1951" s="579"/>
      <c r="O1951" s="579"/>
      <c r="P1951" s="579"/>
      <c r="Q1951" s="66"/>
      <c r="R1951" s="66"/>
      <c r="S1951" s="66"/>
    </row>
    <row r="1952" spans="2:19" x14ac:dyDescent="0.2">
      <c r="B1952" s="245"/>
      <c r="C1952" s="245"/>
      <c r="D1952" s="245"/>
      <c r="E1952" s="245"/>
      <c r="F1952" s="245"/>
      <c r="G1952" s="579"/>
      <c r="H1952" s="245"/>
      <c r="I1952" s="245"/>
      <c r="J1952" s="245"/>
      <c r="K1952" s="245"/>
      <c r="L1952" s="245"/>
      <c r="N1952" s="579"/>
      <c r="O1952" s="579"/>
      <c r="P1952" s="579"/>
      <c r="Q1952" s="66"/>
      <c r="R1952" s="66"/>
      <c r="S1952" s="66"/>
    </row>
    <row r="1953" spans="2:19" x14ac:dyDescent="0.2">
      <c r="B1953" s="245"/>
      <c r="C1953" s="245"/>
      <c r="D1953" s="245"/>
      <c r="E1953" s="245"/>
      <c r="F1953" s="245"/>
      <c r="G1953" s="579"/>
      <c r="H1953" s="245"/>
      <c r="I1953" s="245"/>
      <c r="J1953" s="245"/>
      <c r="K1953" s="245"/>
      <c r="L1953" s="245"/>
      <c r="N1953" s="579"/>
      <c r="O1953" s="579"/>
      <c r="P1953" s="579"/>
      <c r="Q1953" s="66"/>
      <c r="R1953" s="66"/>
      <c r="S1953" s="66"/>
    </row>
    <row r="1954" spans="2:19" x14ac:dyDescent="0.2">
      <c r="B1954" s="245"/>
      <c r="C1954" s="245"/>
      <c r="D1954" s="245"/>
      <c r="E1954" s="245"/>
      <c r="F1954" s="245"/>
      <c r="G1954" s="579"/>
      <c r="H1954" s="245"/>
      <c r="I1954" s="245"/>
      <c r="J1954" s="245"/>
      <c r="K1954" s="245"/>
      <c r="L1954" s="245"/>
      <c r="N1954" s="579"/>
      <c r="O1954" s="579"/>
      <c r="P1954" s="579"/>
      <c r="Q1954" s="66"/>
      <c r="R1954" s="66"/>
      <c r="S1954" s="66"/>
    </row>
    <row r="1955" spans="2:19" x14ac:dyDescent="0.2">
      <c r="B1955" s="245"/>
      <c r="C1955" s="245"/>
      <c r="D1955" s="245"/>
      <c r="E1955" s="245"/>
      <c r="F1955" s="245"/>
      <c r="G1955" s="579"/>
      <c r="H1955" s="245"/>
      <c r="I1955" s="245"/>
      <c r="J1955" s="245"/>
      <c r="K1955" s="245"/>
      <c r="L1955" s="245"/>
      <c r="N1955" s="579"/>
      <c r="O1955" s="579"/>
      <c r="P1955" s="579"/>
      <c r="Q1955" s="66"/>
      <c r="R1955" s="66"/>
      <c r="S1955" s="66"/>
    </row>
    <row r="1956" spans="2:19" x14ac:dyDescent="0.2">
      <c r="B1956" s="245"/>
      <c r="C1956" s="245"/>
      <c r="D1956" s="245"/>
      <c r="E1956" s="245"/>
      <c r="F1956" s="245"/>
      <c r="G1956" s="579"/>
      <c r="H1956" s="245"/>
      <c r="I1956" s="245"/>
      <c r="J1956" s="245"/>
      <c r="K1956" s="245"/>
      <c r="L1956" s="245"/>
      <c r="N1956" s="579"/>
      <c r="O1956" s="579"/>
      <c r="P1956" s="579"/>
      <c r="Q1956" s="66"/>
      <c r="R1956" s="66"/>
      <c r="S1956" s="66"/>
    </row>
    <row r="1957" spans="2:19" x14ac:dyDescent="0.2">
      <c r="B1957" s="245"/>
      <c r="C1957" s="245"/>
      <c r="D1957" s="245"/>
      <c r="E1957" s="245"/>
      <c r="F1957" s="245"/>
      <c r="G1957" s="579"/>
      <c r="H1957" s="245"/>
      <c r="I1957" s="245"/>
      <c r="J1957" s="245"/>
      <c r="K1957" s="245"/>
      <c r="L1957" s="245"/>
      <c r="N1957" s="579"/>
      <c r="O1957" s="579"/>
      <c r="P1957" s="579"/>
      <c r="Q1957" s="66"/>
      <c r="R1957" s="66"/>
      <c r="S1957" s="66"/>
    </row>
    <row r="1958" spans="2:19" x14ac:dyDescent="0.2">
      <c r="B1958" s="245"/>
      <c r="C1958" s="245"/>
      <c r="D1958" s="245"/>
      <c r="E1958" s="245"/>
      <c r="F1958" s="245"/>
      <c r="G1958" s="579"/>
      <c r="H1958" s="245"/>
      <c r="I1958" s="245"/>
      <c r="J1958" s="245"/>
      <c r="K1958" s="245"/>
      <c r="L1958" s="245"/>
      <c r="N1958" s="579"/>
      <c r="O1958" s="579"/>
      <c r="P1958" s="579"/>
      <c r="Q1958" s="66"/>
      <c r="R1958" s="66"/>
      <c r="S1958" s="66"/>
    </row>
    <row r="1959" spans="2:19" x14ac:dyDescent="0.2">
      <c r="B1959" s="245"/>
      <c r="C1959" s="245"/>
      <c r="D1959" s="245"/>
      <c r="E1959" s="245"/>
      <c r="F1959" s="245"/>
      <c r="G1959" s="579"/>
      <c r="H1959" s="245"/>
      <c r="I1959" s="245"/>
      <c r="J1959" s="245"/>
      <c r="K1959" s="245"/>
      <c r="L1959" s="245"/>
      <c r="N1959" s="579"/>
      <c r="O1959" s="579"/>
      <c r="P1959" s="579"/>
      <c r="Q1959" s="66"/>
      <c r="R1959" s="66"/>
      <c r="S1959" s="66"/>
    </row>
    <row r="1960" spans="2:19" x14ac:dyDescent="0.2">
      <c r="B1960" s="245"/>
      <c r="C1960" s="245"/>
      <c r="D1960" s="245"/>
      <c r="E1960" s="245"/>
      <c r="F1960" s="245"/>
      <c r="G1960" s="579"/>
      <c r="H1960" s="245"/>
      <c r="I1960" s="245"/>
      <c r="J1960" s="245"/>
      <c r="K1960" s="245"/>
      <c r="L1960" s="245"/>
      <c r="N1960" s="579"/>
      <c r="O1960" s="579"/>
      <c r="P1960" s="579"/>
      <c r="Q1960" s="66"/>
      <c r="R1960" s="66"/>
      <c r="S1960" s="66"/>
    </row>
    <row r="1961" spans="2:19" x14ac:dyDescent="0.2">
      <c r="B1961" s="245"/>
      <c r="C1961" s="245"/>
      <c r="D1961" s="245"/>
      <c r="E1961" s="245"/>
      <c r="F1961" s="245"/>
      <c r="G1961" s="579"/>
      <c r="H1961" s="245"/>
      <c r="I1961" s="245"/>
      <c r="J1961" s="245"/>
      <c r="K1961" s="245"/>
      <c r="L1961" s="245"/>
      <c r="N1961" s="579"/>
      <c r="O1961" s="579"/>
      <c r="P1961" s="579"/>
      <c r="Q1961" s="66"/>
      <c r="R1961" s="66"/>
      <c r="S1961" s="66"/>
    </row>
    <row r="1962" spans="2:19" x14ac:dyDescent="0.2">
      <c r="B1962" s="245"/>
      <c r="C1962" s="245"/>
      <c r="D1962" s="245"/>
      <c r="E1962" s="245"/>
      <c r="F1962" s="245"/>
      <c r="G1962" s="579"/>
      <c r="H1962" s="245"/>
      <c r="I1962" s="245"/>
      <c r="J1962" s="245"/>
      <c r="K1962" s="245"/>
      <c r="L1962" s="245"/>
      <c r="N1962" s="579"/>
      <c r="O1962" s="579"/>
      <c r="P1962" s="579"/>
      <c r="Q1962" s="66"/>
      <c r="R1962" s="66"/>
      <c r="S1962" s="66"/>
    </row>
    <row r="1963" spans="2:19" x14ac:dyDescent="0.2">
      <c r="B1963" s="245"/>
      <c r="C1963" s="245"/>
      <c r="D1963" s="245"/>
      <c r="E1963" s="245"/>
      <c r="F1963" s="245"/>
      <c r="G1963" s="579"/>
      <c r="H1963" s="245"/>
      <c r="I1963" s="245"/>
      <c r="J1963" s="245"/>
      <c r="K1963" s="245"/>
      <c r="L1963" s="245"/>
      <c r="N1963" s="579"/>
      <c r="O1963" s="579"/>
      <c r="P1963" s="579"/>
      <c r="Q1963" s="66"/>
      <c r="R1963" s="66"/>
      <c r="S1963" s="66"/>
    </row>
    <row r="1964" spans="2:19" x14ac:dyDescent="0.2">
      <c r="B1964" s="245"/>
      <c r="C1964" s="245"/>
      <c r="D1964" s="245"/>
      <c r="E1964" s="245"/>
      <c r="F1964" s="245"/>
      <c r="G1964" s="579"/>
      <c r="H1964" s="245"/>
      <c r="I1964" s="245"/>
      <c r="J1964" s="245"/>
      <c r="K1964" s="245"/>
      <c r="L1964" s="245"/>
      <c r="N1964" s="579"/>
      <c r="O1964" s="579"/>
      <c r="P1964" s="579"/>
      <c r="Q1964" s="66"/>
      <c r="R1964" s="66"/>
      <c r="S1964" s="66"/>
    </row>
    <row r="1965" spans="2:19" x14ac:dyDescent="0.2">
      <c r="B1965" s="245"/>
      <c r="C1965" s="245"/>
      <c r="D1965" s="245"/>
      <c r="E1965" s="245"/>
      <c r="F1965" s="245"/>
      <c r="G1965" s="579"/>
      <c r="H1965" s="245"/>
      <c r="I1965" s="245"/>
      <c r="J1965" s="245"/>
      <c r="K1965" s="245"/>
      <c r="L1965" s="245"/>
      <c r="N1965" s="579"/>
      <c r="O1965" s="579"/>
      <c r="P1965" s="579"/>
      <c r="Q1965" s="66"/>
      <c r="R1965" s="66"/>
      <c r="S1965" s="66"/>
    </row>
    <row r="1966" spans="2:19" x14ac:dyDescent="0.2">
      <c r="B1966" s="245"/>
      <c r="C1966" s="245"/>
      <c r="D1966" s="245"/>
      <c r="E1966" s="245"/>
      <c r="F1966" s="245"/>
      <c r="G1966" s="579"/>
      <c r="H1966" s="245"/>
      <c r="I1966" s="245"/>
      <c r="J1966" s="245"/>
      <c r="K1966" s="245"/>
      <c r="L1966" s="245"/>
      <c r="N1966" s="579"/>
      <c r="O1966" s="579"/>
      <c r="P1966" s="579"/>
      <c r="Q1966" s="66"/>
      <c r="R1966" s="66"/>
      <c r="S1966" s="66"/>
    </row>
    <row r="1967" spans="2:19" x14ac:dyDescent="0.2">
      <c r="B1967" s="245"/>
      <c r="C1967" s="245"/>
      <c r="D1967" s="245"/>
      <c r="E1967" s="245"/>
      <c r="F1967" s="245"/>
      <c r="G1967" s="579"/>
      <c r="H1967" s="245"/>
      <c r="I1967" s="245"/>
      <c r="J1967" s="245"/>
      <c r="K1967" s="245"/>
      <c r="L1967" s="245"/>
      <c r="N1967" s="579"/>
      <c r="O1967" s="579"/>
      <c r="P1967" s="579"/>
      <c r="Q1967" s="66"/>
      <c r="R1967" s="66"/>
      <c r="S1967" s="66"/>
    </row>
    <row r="1968" spans="2:19" x14ac:dyDescent="0.2">
      <c r="B1968" s="245"/>
      <c r="C1968" s="245"/>
      <c r="D1968" s="245"/>
      <c r="E1968" s="245"/>
      <c r="F1968" s="245"/>
      <c r="G1968" s="579"/>
      <c r="H1968" s="245"/>
      <c r="I1968" s="245"/>
      <c r="J1968" s="245"/>
      <c r="K1968" s="245"/>
      <c r="L1968" s="245"/>
      <c r="N1968" s="579"/>
      <c r="O1968" s="579"/>
      <c r="P1968" s="579"/>
      <c r="Q1968" s="66"/>
      <c r="R1968" s="66"/>
      <c r="S1968" s="66"/>
    </row>
    <row r="1969" spans="2:19" x14ac:dyDescent="0.2">
      <c r="B1969" s="245"/>
      <c r="C1969" s="245"/>
      <c r="D1969" s="245"/>
      <c r="E1969" s="245"/>
      <c r="F1969" s="245"/>
      <c r="G1969" s="579"/>
      <c r="H1969" s="245"/>
      <c r="I1969" s="245"/>
      <c r="J1969" s="245"/>
      <c r="K1969" s="245"/>
      <c r="L1969" s="245"/>
      <c r="N1969" s="579"/>
      <c r="O1969" s="579"/>
      <c r="P1969" s="579"/>
      <c r="Q1969" s="66"/>
      <c r="R1969" s="66"/>
      <c r="S1969" s="66"/>
    </row>
    <row r="1970" spans="2:19" x14ac:dyDescent="0.2">
      <c r="B1970" s="245"/>
      <c r="C1970" s="245"/>
      <c r="D1970" s="245"/>
      <c r="E1970" s="245"/>
      <c r="F1970" s="245"/>
      <c r="G1970" s="579"/>
      <c r="H1970" s="245"/>
      <c r="I1970" s="245"/>
      <c r="J1970" s="245"/>
      <c r="K1970" s="245"/>
      <c r="L1970" s="245"/>
      <c r="N1970" s="579"/>
      <c r="O1970" s="579"/>
      <c r="P1970" s="579"/>
      <c r="Q1970" s="66"/>
      <c r="R1970" s="66"/>
      <c r="S1970" s="66"/>
    </row>
    <row r="1971" spans="2:19" x14ac:dyDescent="0.2">
      <c r="B1971" s="245"/>
      <c r="C1971" s="245"/>
      <c r="D1971" s="245"/>
      <c r="E1971" s="245"/>
      <c r="F1971" s="245"/>
      <c r="G1971" s="579"/>
      <c r="H1971" s="245"/>
      <c r="I1971" s="245"/>
      <c r="J1971" s="245"/>
      <c r="K1971" s="245"/>
      <c r="L1971" s="245"/>
      <c r="N1971" s="579"/>
      <c r="O1971" s="579"/>
      <c r="P1971" s="579"/>
      <c r="Q1971" s="66"/>
      <c r="R1971" s="66"/>
      <c r="S1971" s="66"/>
    </row>
    <row r="1972" spans="2:19" x14ac:dyDescent="0.2">
      <c r="B1972" s="245"/>
      <c r="C1972" s="245"/>
      <c r="D1972" s="245"/>
      <c r="E1972" s="245"/>
      <c r="F1972" s="245"/>
      <c r="G1972" s="579"/>
      <c r="H1972" s="245"/>
      <c r="I1972" s="245"/>
      <c r="J1972" s="245"/>
      <c r="K1972" s="245"/>
      <c r="L1972" s="245"/>
      <c r="N1972" s="579"/>
      <c r="O1972" s="579"/>
      <c r="P1972" s="579"/>
      <c r="Q1972" s="66"/>
      <c r="R1972" s="66"/>
      <c r="S1972" s="66"/>
    </row>
    <row r="1973" spans="2:19" x14ac:dyDescent="0.2">
      <c r="B1973" s="245"/>
      <c r="C1973" s="245"/>
      <c r="D1973" s="245"/>
      <c r="E1973" s="245"/>
      <c r="F1973" s="245"/>
      <c r="G1973" s="579"/>
      <c r="H1973" s="245"/>
      <c r="I1973" s="245"/>
      <c r="J1973" s="245"/>
      <c r="K1973" s="245"/>
      <c r="L1973" s="245"/>
      <c r="N1973" s="579"/>
      <c r="O1973" s="579"/>
      <c r="P1973" s="579"/>
      <c r="Q1973" s="66"/>
      <c r="R1973" s="66"/>
      <c r="S1973" s="66"/>
    </row>
    <row r="1974" spans="2:19" x14ac:dyDescent="0.2">
      <c r="B1974" s="245"/>
      <c r="C1974" s="245"/>
      <c r="D1974" s="245"/>
      <c r="E1974" s="245"/>
      <c r="F1974" s="245"/>
      <c r="G1974" s="579"/>
      <c r="H1974" s="245"/>
      <c r="I1974" s="245"/>
      <c r="J1974" s="245"/>
      <c r="K1974" s="245"/>
      <c r="L1974" s="245"/>
      <c r="N1974" s="579"/>
      <c r="O1974" s="579"/>
      <c r="P1974" s="579"/>
      <c r="Q1974" s="66"/>
      <c r="R1974" s="66"/>
      <c r="S1974" s="66"/>
    </row>
    <row r="1975" spans="2:19" x14ac:dyDescent="0.2">
      <c r="B1975" s="245"/>
      <c r="C1975" s="245"/>
      <c r="D1975" s="245"/>
      <c r="E1975" s="245"/>
      <c r="F1975" s="245"/>
      <c r="G1975" s="579"/>
      <c r="H1975" s="245"/>
      <c r="I1975" s="245"/>
      <c r="J1975" s="245"/>
      <c r="K1975" s="245"/>
      <c r="L1975" s="245"/>
      <c r="N1975" s="579"/>
      <c r="O1975" s="579"/>
      <c r="P1975" s="579"/>
      <c r="Q1975" s="66"/>
      <c r="R1975" s="66"/>
      <c r="S1975" s="66"/>
    </row>
    <row r="1976" spans="2:19" x14ac:dyDescent="0.2">
      <c r="B1976" s="245"/>
      <c r="C1976" s="245"/>
      <c r="D1976" s="245"/>
      <c r="E1976" s="245"/>
      <c r="F1976" s="245"/>
      <c r="G1976" s="579"/>
      <c r="H1976" s="245"/>
      <c r="I1976" s="245"/>
      <c r="J1976" s="245"/>
      <c r="K1976" s="245"/>
      <c r="L1976" s="245"/>
      <c r="N1976" s="579"/>
      <c r="O1976" s="579"/>
      <c r="P1976" s="579"/>
      <c r="Q1976" s="66"/>
      <c r="R1976" s="66"/>
      <c r="S1976" s="66"/>
    </row>
    <row r="1977" spans="2:19" x14ac:dyDescent="0.2">
      <c r="B1977" s="245"/>
      <c r="C1977" s="245"/>
      <c r="D1977" s="245"/>
      <c r="E1977" s="245"/>
      <c r="F1977" s="245"/>
      <c r="G1977" s="579"/>
      <c r="H1977" s="245"/>
      <c r="I1977" s="245"/>
      <c r="J1977" s="245"/>
      <c r="K1977" s="245"/>
      <c r="L1977" s="245"/>
      <c r="N1977" s="579"/>
      <c r="O1977" s="579"/>
      <c r="P1977" s="579"/>
      <c r="Q1977" s="66"/>
      <c r="R1977" s="66"/>
      <c r="S1977" s="66"/>
    </row>
    <row r="1978" spans="2:19" x14ac:dyDescent="0.2">
      <c r="B1978" s="245"/>
      <c r="C1978" s="245"/>
      <c r="D1978" s="245"/>
      <c r="E1978" s="245"/>
      <c r="F1978" s="245"/>
      <c r="G1978" s="579"/>
      <c r="H1978" s="245"/>
      <c r="I1978" s="245"/>
      <c r="J1978" s="245"/>
      <c r="K1978" s="245"/>
      <c r="L1978" s="245"/>
      <c r="N1978" s="579"/>
      <c r="O1978" s="579"/>
      <c r="P1978" s="579"/>
      <c r="Q1978" s="66"/>
      <c r="R1978" s="66"/>
      <c r="S1978" s="66"/>
    </row>
    <row r="1979" spans="2:19" x14ac:dyDescent="0.2">
      <c r="B1979" s="245"/>
      <c r="C1979" s="245"/>
      <c r="D1979" s="245"/>
      <c r="E1979" s="245"/>
      <c r="F1979" s="245"/>
      <c r="G1979" s="579"/>
      <c r="H1979" s="245"/>
      <c r="I1979" s="245"/>
      <c r="J1979" s="245"/>
      <c r="K1979" s="245"/>
      <c r="L1979" s="245"/>
      <c r="N1979" s="579"/>
      <c r="O1979" s="579"/>
      <c r="P1979" s="579"/>
      <c r="Q1979" s="66"/>
      <c r="R1979" s="66"/>
      <c r="S1979" s="66"/>
    </row>
    <row r="1980" spans="2:19" x14ac:dyDescent="0.2">
      <c r="B1980" s="245"/>
      <c r="C1980" s="245"/>
      <c r="D1980" s="245"/>
      <c r="E1980" s="245"/>
      <c r="F1980" s="245"/>
      <c r="G1980" s="579"/>
      <c r="H1980" s="245"/>
      <c r="I1980" s="245"/>
      <c r="J1980" s="245"/>
      <c r="K1980" s="245"/>
      <c r="L1980" s="245"/>
      <c r="N1980" s="579"/>
      <c r="O1980" s="579"/>
      <c r="P1980" s="579"/>
      <c r="Q1980" s="66"/>
      <c r="R1980" s="66"/>
      <c r="S1980" s="66"/>
    </row>
    <row r="1981" spans="2:19" x14ac:dyDescent="0.2">
      <c r="B1981" s="245"/>
      <c r="C1981" s="245"/>
      <c r="D1981" s="245"/>
      <c r="E1981" s="245"/>
      <c r="F1981" s="245"/>
      <c r="G1981" s="579"/>
      <c r="H1981" s="245"/>
      <c r="I1981" s="245"/>
      <c r="J1981" s="245"/>
      <c r="K1981" s="245"/>
      <c r="L1981" s="245"/>
      <c r="N1981" s="579"/>
      <c r="O1981" s="579"/>
      <c r="P1981" s="579"/>
      <c r="Q1981" s="66"/>
      <c r="R1981" s="66"/>
      <c r="S1981" s="66"/>
    </row>
    <row r="1982" spans="2:19" x14ac:dyDescent="0.2">
      <c r="B1982" s="245"/>
      <c r="C1982" s="245"/>
      <c r="D1982" s="245"/>
      <c r="E1982" s="245"/>
      <c r="F1982" s="245"/>
      <c r="G1982" s="579"/>
      <c r="H1982" s="245"/>
      <c r="I1982" s="245"/>
      <c r="J1982" s="245"/>
      <c r="K1982" s="245"/>
      <c r="L1982" s="245"/>
      <c r="N1982" s="579"/>
      <c r="O1982" s="579"/>
      <c r="P1982" s="579"/>
      <c r="Q1982" s="66"/>
      <c r="R1982" s="66"/>
      <c r="S1982" s="66"/>
    </row>
    <row r="1983" spans="2:19" x14ac:dyDescent="0.2">
      <c r="B1983" s="245"/>
      <c r="C1983" s="245"/>
      <c r="D1983" s="245"/>
      <c r="E1983" s="245"/>
      <c r="F1983" s="245"/>
      <c r="G1983" s="579"/>
      <c r="H1983" s="245"/>
      <c r="I1983" s="245"/>
      <c r="J1983" s="245"/>
      <c r="K1983" s="245"/>
      <c r="L1983" s="245"/>
      <c r="N1983" s="579"/>
      <c r="O1983" s="579"/>
      <c r="P1983" s="579"/>
      <c r="Q1983" s="66"/>
      <c r="R1983" s="66"/>
      <c r="S1983" s="66"/>
    </row>
    <row r="1984" spans="2:19" x14ac:dyDescent="0.2">
      <c r="B1984" s="245"/>
      <c r="C1984" s="245"/>
      <c r="D1984" s="245"/>
      <c r="E1984" s="245"/>
      <c r="F1984" s="245"/>
      <c r="G1984" s="579"/>
      <c r="H1984" s="245"/>
      <c r="I1984" s="245"/>
      <c r="J1984" s="245"/>
      <c r="K1984" s="245"/>
      <c r="L1984" s="245"/>
      <c r="N1984" s="579"/>
      <c r="O1984" s="579"/>
      <c r="P1984" s="579"/>
      <c r="Q1984" s="66"/>
      <c r="R1984" s="66"/>
      <c r="S1984" s="66"/>
    </row>
    <row r="1985" spans="2:19" x14ac:dyDescent="0.2">
      <c r="B1985" s="245"/>
      <c r="C1985" s="245"/>
      <c r="D1985" s="245"/>
      <c r="E1985" s="245"/>
      <c r="F1985" s="245"/>
      <c r="G1985" s="579"/>
      <c r="H1985" s="245"/>
      <c r="I1985" s="245"/>
      <c r="J1985" s="245"/>
      <c r="K1985" s="245"/>
      <c r="L1985" s="245"/>
      <c r="N1985" s="579"/>
      <c r="O1985" s="579"/>
      <c r="P1985" s="579"/>
      <c r="Q1985" s="66"/>
      <c r="R1985" s="66"/>
      <c r="S1985" s="66"/>
    </row>
    <row r="1986" spans="2:19" x14ac:dyDescent="0.2">
      <c r="B1986" s="245"/>
      <c r="C1986" s="245"/>
      <c r="D1986" s="245"/>
      <c r="E1986" s="245"/>
      <c r="F1986" s="245"/>
      <c r="G1986" s="579"/>
      <c r="H1986" s="245"/>
      <c r="I1986" s="245"/>
      <c r="J1986" s="245"/>
      <c r="K1986" s="245"/>
      <c r="L1986" s="245"/>
      <c r="N1986" s="579"/>
      <c r="O1986" s="579"/>
      <c r="P1986" s="579"/>
      <c r="Q1986" s="66"/>
      <c r="R1986" s="66"/>
      <c r="S1986" s="66"/>
    </row>
    <row r="1987" spans="2:19" x14ac:dyDescent="0.2">
      <c r="B1987" s="245"/>
      <c r="C1987" s="245"/>
      <c r="D1987" s="245"/>
      <c r="E1987" s="245"/>
      <c r="F1987" s="245"/>
      <c r="G1987" s="579"/>
      <c r="H1987" s="245"/>
      <c r="I1987" s="245"/>
      <c r="J1987" s="245"/>
      <c r="K1987" s="245"/>
      <c r="L1987" s="245"/>
      <c r="N1987" s="579"/>
      <c r="O1987" s="579"/>
      <c r="P1987" s="579"/>
      <c r="Q1987" s="66"/>
      <c r="R1987" s="66"/>
      <c r="S1987" s="66"/>
    </row>
    <row r="1988" spans="2:19" x14ac:dyDescent="0.2">
      <c r="B1988" s="245"/>
      <c r="C1988" s="245"/>
      <c r="D1988" s="245"/>
      <c r="E1988" s="245"/>
      <c r="F1988" s="245"/>
      <c r="G1988" s="579"/>
      <c r="H1988" s="245"/>
      <c r="I1988" s="245"/>
      <c r="J1988" s="245"/>
      <c r="K1988" s="245"/>
      <c r="L1988" s="245"/>
      <c r="N1988" s="579"/>
      <c r="O1988" s="579"/>
      <c r="P1988" s="579"/>
      <c r="Q1988" s="66"/>
      <c r="R1988" s="66"/>
      <c r="S1988" s="66"/>
    </row>
    <row r="1989" spans="2:19" x14ac:dyDescent="0.2">
      <c r="B1989" s="245"/>
      <c r="C1989" s="245"/>
      <c r="D1989" s="245"/>
      <c r="E1989" s="245"/>
      <c r="F1989" s="245"/>
      <c r="G1989" s="579"/>
      <c r="H1989" s="245"/>
      <c r="I1989" s="245"/>
      <c r="J1989" s="245"/>
      <c r="K1989" s="245"/>
      <c r="L1989" s="245"/>
      <c r="N1989" s="579"/>
      <c r="O1989" s="579"/>
      <c r="P1989" s="579"/>
      <c r="Q1989" s="66"/>
      <c r="R1989" s="66"/>
      <c r="S1989" s="66"/>
    </row>
    <row r="1990" spans="2:19" x14ac:dyDescent="0.2">
      <c r="B1990" s="245"/>
      <c r="C1990" s="245"/>
      <c r="D1990" s="245"/>
      <c r="E1990" s="245"/>
      <c r="F1990" s="245"/>
      <c r="G1990" s="579"/>
      <c r="H1990" s="245"/>
      <c r="I1990" s="245"/>
      <c r="J1990" s="245"/>
      <c r="K1990" s="245"/>
      <c r="L1990" s="245"/>
      <c r="N1990" s="579"/>
      <c r="O1990" s="579"/>
      <c r="P1990" s="579"/>
      <c r="Q1990" s="66"/>
      <c r="R1990" s="66"/>
      <c r="S1990" s="66"/>
    </row>
    <row r="1991" spans="2:19" x14ac:dyDescent="0.2">
      <c r="B1991" s="245"/>
      <c r="C1991" s="245"/>
      <c r="D1991" s="245"/>
      <c r="E1991" s="245"/>
      <c r="F1991" s="245"/>
      <c r="G1991" s="579"/>
      <c r="H1991" s="245"/>
      <c r="I1991" s="245"/>
      <c r="J1991" s="245"/>
      <c r="K1991" s="245"/>
      <c r="L1991" s="245"/>
      <c r="N1991" s="579"/>
      <c r="O1991" s="579"/>
      <c r="P1991" s="579"/>
      <c r="Q1991" s="66"/>
      <c r="R1991" s="66"/>
      <c r="S1991" s="66"/>
    </row>
    <row r="1992" spans="2:19" x14ac:dyDescent="0.2">
      <c r="B1992" s="245"/>
      <c r="C1992" s="245"/>
      <c r="D1992" s="245"/>
      <c r="E1992" s="245"/>
      <c r="F1992" s="245"/>
      <c r="G1992" s="579"/>
      <c r="H1992" s="245"/>
      <c r="I1992" s="245"/>
      <c r="J1992" s="245"/>
      <c r="K1992" s="245"/>
      <c r="L1992" s="245"/>
      <c r="N1992" s="579"/>
      <c r="O1992" s="579"/>
      <c r="P1992" s="579"/>
      <c r="Q1992" s="66"/>
      <c r="R1992" s="66"/>
      <c r="S1992" s="66"/>
    </row>
    <row r="1993" spans="2:19" x14ac:dyDescent="0.2">
      <c r="B1993" s="245"/>
      <c r="C1993" s="245"/>
      <c r="D1993" s="245"/>
      <c r="E1993" s="245"/>
      <c r="F1993" s="245"/>
      <c r="G1993" s="579"/>
      <c r="H1993" s="245"/>
      <c r="I1993" s="245"/>
      <c r="J1993" s="245"/>
      <c r="K1993" s="245"/>
      <c r="L1993" s="245"/>
      <c r="N1993" s="579"/>
      <c r="O1993" s="579"/>
      <c r="P1993" s="579"/>
      <c r="Q1993" s="66"/>
      <c r="R1993" s="66"/>
      <c r="S1993" s="66"/>
    </row>
    <row r="1994" spans="2:19" x14ac:dyDescent="0.2">
      <c r="B1994" s="245"/>
      <c r="C1994" s="245"/>
      <c r="D1994" s="245"/>
      <c r="E1994" s="245"/>
      <c r="F1994" s="245"/>
      <c r="G1994" s="579"/>
      <c r="H1994" s="245"/>
      <c r="I1994" s="245"/>
      <c r="J1994" s="245"/>
      <c r="K1994" s="245"/>
      <c r="L1994" s="245"/>
      <c r="N1994" s="579"/>
      <c r="O1994" s="579"/>
      <c r="P1994" s="579"/>
      <c r="Q1994" s="66"/>
      <c r="R1994" s="66"/>
      <c r="S1994" s="66"/>
    </row>
    <row r="1995" spans="2:19" x14ac:dyDescent="0.2">
      <c r="B1995" s="245"/>
      <c r="C1995" s="245"/>
      <c r="D1995" s="245"/>
      <c r="E1995" s="245"/>
      <c r="F1995" s="245"/>
      <c r="G1995" s="579"/>
      <c r="H1995" s="245"/>
      <c r="I1995" s="245"/>
      <c r="J1995" s="245"/>
      <c r="K1995" s="245"/>
      <c r="L1995" s="245"/>
      <c r="N1995" s="579"/>
      <c r="O1995" s="579"/>
      <c r="P1995" s="579"/>
      <c r="Q1995" s="66"/>
      <c r="R1995" s="66"/>
      <c r="S1995" s="66"/>
    </row>
    <row r="1996" spans="2:19" x14ac:dyDescent="0.2">
      <c r="B1996" s="245"/>
      <c r="C1996" s="245"/>
      <c r="D1996" s="245"/>
      <c r="E1996" s="245"/>
      <c r="F1996" s="245"/>
      <c r="G1996" s="579"/>
      <c r="H1996" s="245"/>
      <c r="I1996" s="245"/>
      <c r="J1996" s="245"/>
      <c r="K1996" s="245"/>
      <c r="L1996" s="245"/>
      <c r="N1996" s="579"/>
      <c r="O1996" s="579"/>
      <c r="P1996" s="579"/>
      <c r="Q1996" s="66"/>
      <c r="R1996" s="66"/>
      <c r="S1996" s="66"/>
    </row>
    <row r="1997" spans="2:19" x14ac:dyDescent="0.2">
      <c r="B1997" s="245"/>
      <c r="C1997" s="245"/>
      <c r="D1997" s="245"/>
      <c r="E1997" s="245"/>
      <c r="F1997" s="245"/>
      <c r="G1997" s="579"/>
      <c r="H1997" s="245"/>
      <c r="I1997" s="245"/>
      <c r="J1997" s="245"/>
      <c r="K1997" s="245"/>
      <c r="L1997" s="245"/>
      <c r="N1997" s="579"/>
      <c r="O1997" s="579"/>
      <c r="P1997" s="579"/>
      <c r="Q1997" s="66"/>
      <c r="R1997" s="66"/>
      <c r="S1997" s="66"/>
    </row>
    <row r="1998" spans="2:19" x14ac:dyDescent="0.2">
      <c r="B1998" s="245"/>
      <c r="C1998" s="245"/>
      <c r="D1998" s="245"/>
      <c r="E1998" s="245"/>
      <c r="F1998" s="245"/>
      <c r="G1998" s="579"/>
      <c r="H1998" s="245"/>
      <c r="I1998" s="245"/>
      <c r="J1998" s="245"/>
      <c r="K1998" s="245"/>
      <c r="L1998" s="245"/>
      <c r="N1998" s="579"/>
      <c r="O1998" s="579"/>
      <c r="P1998" s="579"/>
      <c r="Q1998" s="66"/>
      <c r="R1998" s="66"/>
      <c r="S1998" s="66"/>
    </row>
    <row r="1999" spans="2:19" x14ac:dyDescent="0.2">
      <c r="B1999" s="245"/>
      <c r="C1999" s="245"/>
      <c r="D1999" s="245"/>
      <c r="E1999" s="245"/>
      <c r="F1999" s="245"/>
      <c r="G1999" s="579"/>
      <c r="H1999" s="245"/>
      <c r="I1999" s="245"/>
      <c r="J1999" s="245"/>
      <c r="K1999" s="245"/>
      <c r="L1999" s="245"/>
      <c r="N1999" s="579"/>
      <c r="O1999" s="579"/>
      <c r="P1999" s="579"/>
      <c r="Q1999" s="66"/>
      <c r="R1999" s="66"/>
      <c r="S1999" s="66"/>
    </row>
    <row r="2000" spans="2:19" x14ac:dyDescent="0.2">
      <c r="B2000" s="245"/>
      <c r="C2000" s="245"/>
      <c r="D2000" s="245"/>
      <c r="E2000" s="245"/>
      <c r="F2000" s="245"/>
      <c r="G2000" s="579"/>
      <c r="H2000" s="245"/>
      <c r="I2000" s="245"/>
      <c r="J2000" s="245"/>
      <c r="K2000" s="245"/>
      <c r="L2000" s="245"/>
      <c r="N2000" s="579"/>
      <c r="O2000" s="579"/>
      <c r="P2000" s="579"/>
      <c r="Q2000" s="66"/>
      <c r="R2000" s="66"/>
      <c r="S2000" s="66"/>
    </row>
    <row r="2001" spans="2:19" x14ac:dyDescent="0.2">
      <c r="B2001" s="245"/>
      <c r="C2001" s="245"/>
      <c r="D2001" s="245"/>
      <c r="E2001" s="245"/>
      <c r="F2001" s="245"/>
      <c r="G2001" s="579"/>
      <c r="H2001" s="245"/>
      <c r="I2001" s="245"/>
      <c r="J2001" s="245"/>
      <c r="K2001" s="245"/>
      <c r="L2001" s="245"/>
      <c r="N2001" s="579"/>
      <c r="O2001" s="579"/>
      <c r="P2001" s="579"/>
      <c r="Q2001" s="66"/>
      <c r="R2001" s="66"/>
      <c r="S2001" s="66"/>
    </row>
    <row r="2002" spans="2:19" x14ac:dyDescent="0.2">
      <c r="B2002" s="245"/>
      <c r="C2002" s="245"/>
      <c r="D2002" s="245"/>
      <c r="E2002" s="245"/>
      <c r="F2002" s="245"/>
      <c r="G2002" s="579"/>
      <c r="H2002" s="245"/>
      <c r="I2002" s="245"/>
      <c r="J2002" s="245"/>
      <c r="K2002" s="245"/>
      <c r="L2002" s="245"/>
      <c r="N2002" s="579"/>
      <c r="O2002" s="579"/>
      <c r="P2002" s="579"/>
      <c r="Q2002" s="66"/>
      <c r="R2002" s="66"/>
      <c r="S2002" s="66"/>
    </row>
    <row r="2003" spans="2:19" x14ac:dyDescent="0.2">
      <c r="B2003" s="245"/>
      <c r="C2003" s="245"/>
      <c r="D2003" s="245"/>
      <c r="E2003" s="245"/>
      <c r="F2003" s="245"/>
      <c r="G2003" s="579"/>
      <c r="H2003" s="245"/>
      <c r="I2003" s="245"/>
      <c r="J2003" s="245"/>
      <c r="K2003" s="245"/>
      <c r="L2003" s="245"/>
      <c r="N2003" s="579"/>
      <c r="O2003" s="579"/>
      <c r="P2003" s="579"/>
      <c r="Q2003" s="66"/>
      <c r="R2003" s="66"/>
      <c r="S2003" s="66"/>
    </row>
    <row r="2004" spans="2:19" x14ac:dyDescent="0.2">
      <c r="B2004" s="245"/>
      <c r="C2004" s="245"/>
      <c r="D2004" s="245"/>
      <c r="E2004" s="245"/>
      <c r="F2004" s="245"/>
      <c r="G2004" s="579"/>
      <c r="H2004" s="245"/>
      <c r="I2004" s="245"/>
      <c r="J2004" s="245"/>
      <c r="K2004" s="245"/>
      <c r="L2004" s="245"/>
      <c r="N2004" s="579"/>
      <c r="O2004" s="579"/>
      <c r="P2004" s="579"/>
      <c r="Q2004" s="66"/>
      <c r="R2004" s="66"/>
      <c r="S2004" s="66"/>
    </row>
    <row r="2005" spans="2:19" x14ac:dyDescent="0.2">
      <c r="B2005" s="245"/>
      <c r="C2005" s="245"/>
      <c r="D2005" s="245"/>
      <c r="E2005" s="245"/>
      <c r="F2005" s="245"/>
      <c r="G2005" s="579"/>
      <c r="H2005" s="245"/>
      <c r="I2005" s="245"/>
      <c r="J2005" s="245"/>
      <c r="K2005" s="245"/>
      <c r="L2005" s="245"/>
      <c r="N2005" s="579"/>
      <c r="O2005" s="579"/>
      <c r="P2005" s="579"/>
      <c r="Q2005" s="66"/>
      <c r="R2005" s="66"/>
      <c r="S2005" s="66"/>
    </row>
    <row r="2006" spans="2:19" x14ac:dyDescent="0.2">
      <c r="B2006" s="245"/>
      <c r="C2006" s="245"/>
      <c r="D2006" s="245"/>
      <c r="E2006" s="245"/>
      <c r="F2006" s="245"/>
      <c r="G2006" s="579"/>
      <c r="H2006" s="245"/>
      <c r="I2006" s="245"/>
      <c r="J2006" s="245"/>
      <c r="K2006" s="245"/>
      <c r="L2006" s="245"/>
      <c r="N2006" s="245"/>
      <c r="O2006" s="245"/>
    </row>
    <row r="2007" spans="2:19" x14ac:dyDescent="0.2">
      <c r="B2007" s="245"/>
      <c r="C2007" s="245"/>
      <c r="D2007" s="245"/>
      <c r="E2007" s="245"/>
      <c r="F2007" s="245"/>
      <c r="G2007" s="579"/>
      <c r="H2007" s="245"/>
      <c r="I2007" s="245"/>
      <c r="J2007" s="245"/>
      <c r="K2007" s="245"/>
      <c r="L2007" s="245"/>
      <c r="N2007" s="245"/>
      <c r="O2007" s="245"/>
    </row>
    <row r="2008" spans="2:19" x14ac:dyDescent="0.2">
      <c r="B2008" s="245"/>
      <c r="C2008" s="245"/>
      <c r="D2008" s="245"/>
      <c r="E2008" s="245"/>
      <c r="F2008" s="245"/>
      <c r="G2008" s="579"/>
      <c r="H2008" s="245"/>
      <c r="I2008" s="245"/>
      <c r="J2008" s="245"/>
      <c r="K2008" s="245"/>
      <c r="L2008" s="245"/>
      <c r="N2008" s="245"/>
      <c r="O2008" s="245"/>
    </row>
    <row r="2009" spans="2:19" x14ac:dyDescent="0.2">
      <c r="B2009" s="245"/>
      <c r="C2009" s="245"/>
      <c r="D2009" s="245"/>
      <c r="E2009" s="245"/>
      <c r="F2009" s="245"/>
      <c r="G2009" s="579"/>
      <c r="H2009" s="245"/>
      <c r="I2009" s="245"/>
      <c r="J2009" s="245"/>
      <c r="K2009" s="245"/>
      <c r="L2009" s="245"/>
      <c r="N2009" s="245"/>
      <c r="O2009" s="245"/>
    </row>
    <row r="2010" spans="2:19" x14ac:dyDescent="0.2">
      <c r="B2010" s="245"/>
      <c r="C2010" s="245"/>
      <c r="D2010" s="245"/>
      <c r="E2010" s="245"/>
      <c r="F2010" s="245"/>
      <c r="G2010" s="579"/>
      <c r="H2010" s="245"/>
      <c r="I2010" s="245"/>
      <c r="J2010" s="245"/>
      <c r="K2010" s="245"/>
      <c r="L2010" s="245"/>
      <c r="N2010" s="245"/>
      <c r="O2010" s="245"/>
    </row>
    <row r="2011" spans="2:19" x14ac:dyDescent="0.2">
      <c r="B2011" s="245"/>
      <c r="C2011" s="245"/>
      <c r="D2011" s="245"/>
      <c r="E2011" s="245"/>
      <c r="F2011" s="245"/>
      <c r="G2011" s="579"/>
      <c r="H2011" s="245"/>
      <c r="I2011" s="245"/>
      <c r="J2011" s="245"/>
      <c r="K2011" s="245"/>
      <c r="L2011" s="245"/>
      <c r="N2011" s="245"/>
      <c r="O2011" s="245"/>
    </row>
    <row r="2012" spans="2:19" x14ac:dyDescent="0.2">
      <c r="B2012" s="245"/>
      <c r="C2012" s="245"/>
      <c r="D2012" s="245"/>
      <c r="E2012" s="245"/>
      <c r="F2012" s="245"/>
      <c r="G2012" s="579"/>
      <c r="H2012" s="245"/>
      <c r="I2012" s="245"/>
      <c r="J2012" s="245"/>
      <c r="K2012" s="245"/>
      <c r="L2012" s="245"/>
      <c r="N2012" s="245"/>
      <c r="O2012" s="245"/>
    </row>
    <row r="2013" spans="2:19" x14ac:dyDescent="0.2">
      <c r="B2013" s="245"/>
      <c r="C2013" s="245"/>
      <c r="D2013" s="245"/>
      <c r="E2013" s="245"/>
      <c r="F2013" s="245"/>
      <c r="G2013" s="579"/>
      <c r="H2013" s="245"/>
      <c r="I2013" s="245"/>
      <c r="J2013" s="245"/>
      <c r="K2013" s="245"/>
      <c r="L2013" s="245"/>
      <c r="N2013" s="245"/>
      <c r="O2013" s="245"/>
    </row>
    <row r="2014" spans="2:19" x14ac:dyDescent="0.2">
      <c r="B2014" s="245"/>
      <c r="C2014" s="245"/>
      <c r="D2014" s="245"/>
      <c r="E2014" s="245"/>
      <c r="F2014" s="245"/>
      <c r="G2014" s="579"/>
      <c r="H2014" s="245"/>
      <c r="I2014" s="245"/>
      <c r="J2014" s="245"/>
      <c r="K2014" s="245"/>
      <c r="L2014" s="245"/>
      <c r="N2014" s="245"/>
      <c r="O2014" s="245"/>
    </row>
    <row r="2015" spans="2:19" x14ac:dyDescent="0.2">
      <c r="B2015" s="245"/>
      <c r="C2015" s="245"/>
      <c r="D2015" s="245"/>
      <c r="E2015" s="245"/>
      <c r="F2015" s="245"/>
      <c r="G2015" s="579"/>
      <c r="H2015" s="245"/>
      <c r="I2015" s="245"/>
      <c r="J2015" s="245"/>
      <c r="K2015" s="245"/>
      <c r="L2015" s="245"/>
      <c r="N2015" s="245"/>
      <c r="O2015" s="245"/>
    </row>
    <row r="2016" spans="2:19" x14ac:dyDescent="0.2">
      <c r="B2016" s="245"/>
      <c r="C2016" s="245"/>
      <c r="D2016" s="245"/>
      <c r="E2016" s="245"/>
      <c r="F2016" s="245"/>
      <c r="G2016" s="579"/>
      <c r="H2016" s="245"/>
      <c r="I2016" s="245"/>
      <c r="J2016" s="245"/>
      <c r="K2016" s="245"/>
      <c r="L2016" s="245"/>
      <c r="N2016" s="245"/>
      <c r="O2016" s="245"/>
    </row>
    <row r="2017" spans="2:15" x14ac:dyDescent="0.2">
      <c r="B2017" s="245"/>
      <c r="C2017" s="245"/>
      <c r="D2017" s="245"/>
      <c r="E2017" s="245"/>
      <c r="F2017" s="245"/>
      <c r="G2017" s="579"/>
      <c r="H2017" s="245"/>
      <c r="I2017" s="245"/>
      <c r="J2017" s="245"/>
      <c r="K2017" s="245"/>
      <c r="L2017" s="245"/>
      <c r="N2017" s="245"/>
      <c r="O2017" s="245"/>
    </row>
    <row r="2018" spans="2:15" x14ac:dyDescent="0.2">
      <c r="B2018" s="245"/>
      <c r="C2018" s="245"/>
      <c r="D2018" s="245"/>
      <c r="E2018" s="245"/>
      <c r="F2018" s="245"/>
      <c r="G2018" s="579"/>
      <c r="H2018" s="245"/>
      <c r="I2018" s="245"/>
      <c r="J2018" s="245"/>
      <c r="K2018" s="245"/>
      <c r="L2018" s="245"/>
      <c r="N2018" s="245"/>
      <c r="O2018" s="245"/>
    </row>
    <row r="2019" spans="2:15" x14ac:dyDescent="0.2">
      <c r="B2019" s="245"/>
      <c r="C2019" s="245"/>
      <c r="D2019" s="245"/>
      <c r="E2019" s="245"/>
      <c r="F2019" s="245"/>
      <c r="G2019" s="579"/>
      <c r="H2019" s="245"/>
      <c r="I2019" s="245"/>
      <c r="J2019" s="245"/>
      <c r="K2019" s="245"/>
      <c r="L2019" s="245"/>
      <c r="N2019" s="245"/>
      <c r="O2019" s="245"/>
    </row>
    <row r="2020" spans="2:15" x14ac:dyDescent="0.2">
      <c r="B2020" s="245"/>
      <c r="C2020" s="245"/>
      <c r="D2020" s="245"/>
      <c r="E2020" s="245"/>
      <c r="F2020" s="245"/>
      <c r="G2020" s="579"/>
      <c r="H2020" s="245"/>
      <c r="I2020" s="245"/>
      <c r="J2020" s="245"/>
      <c r="K2020" s="245"/>
      <c r="L2020" s="245"/>
      <c r="N2020" s="245"/>
      <c r="O2020" s="245"/>
    </row>
    <row r="2021" spans="2:15" x14ac:dyDescent="0.2">
      <c r="B2021" s="245"/>
      <c r="C2021" s="245"/>
      <c r="D2021" s="245"/>
      <c r="E2021" s="245"/>
      <c r="F2021" s="245"/>
      <c r="G2021" s="579"/>
      <c r="H2021" s="245"/>
      <c r="I2021" s="245"/>
      <c r="J2021" s="245"/>
      <c r="K2021" s="245"/>
      <c r="L2021" s="245"/>
      <c r="N2021" s="245"/>
      <c r="O2021" s="245"/>
    </row>
    <row r="2022" spans="2:15" x14ac:dyDescent="0.2">
      <c r="B2022" s="245"/>
      <c r="C2022" s="245"/>
      <c r="D2022" s="245"/>
      <c r="E2022" s="245"/>
      <c r="F2022" s="245"/>
      <c r="G2022" s="579"/>
      <c r="H2022" s="245"/>
      <c r="I2022" s="245"/>
      <c r="J2022" s="245"/>
      <c r="K2022" s="245"/>
      <c r="L2022" s="245"/>
      <c r="N2022" s="245"/>
      <c r="O2022" s="245"/>
    </row>
    <row r="2023" spans="2:15" x14ac:dyDescent="0.2">
      <c r="B2023" s="245"/>
      <c r="C2023" s="245"/>
      <c r="D2023" s="245"/>
      <c r="E2023" s="245"/>
      <c r="F2023" s="245"/>
      <c r="G2023" s="579"/>
      <c r="H2023" s="245"/>
      <c r="I2023" s="245"/>
      <c r="J2023" s="245"/>
      <c r="K2023" s="245"/>
      <c r="L2023" s="245"/>
      <c r="N2023" s="245"/>
      <c r="O2023" s="245"/>
    </row>
    <row r="2024" spans="2:15" x14ac:dyDescent="0.2">
      <c r="B2024" s="245"/>
      <c r="C2024" s="245"/>
      <c r="D2024" s="245"/>
      <c r="E2024" s="245"/>
      <c r="F2024" s="245"/>
      <c r="G2024" s="579"/>
      <c r="H2024" s="245"/>
      <c r="I2024" s="245"/>
      <c r="J2024" s="245"/>
      <c r="K2024" s="245"/>
      <c r="L2024" s="245"/>
      <c r="N2024" s="245"/>
      <c r="O2024" s="245"/>
    </row>
    <row r="2025" spans="2:15" x14ac:dyDescent="0.2">
      <c r="B2025" s="245"/>
      <c r="C2025" s="245"/>
      <c r="D2025" s="245"/>
      <c r="E2025" s="245"/>
      <c r="F2025" s="245"/>
      <c r="G2025" s="579"/>
      <c r="H2025" s="245"/>
      <c r="I2025" s="245"/>
      <c r="J2025" s="245"/>
      <c r="K2025" s="245"/>
      <c r="L2025" s="245"/>
      <c r="N2025" s="245"/>
      <c r="O2025" s="245"/>
    </row>
    <row r="2026" spans="2:15" x14ac:dyDescent="0.2">
      <c r="B2026" s="245"/>
      <c r="C2026" s="245"/>
      <c r="D2026" s="245"/>
      <c r="E2026" s="245"/>
      <c r="F2026" s="245"/>
      <c r="G2026" s="579"/>
      <c r="H2026" s="579"/>
      <c r="I2026" s="579"/>
      <c r="J2026" s="579"/>
      <c r="K2026" s="579"/>
      <c r="L2026" s="245"/>
      <c r="N2026" s="245"/>
      <c r="O2026" s="245"/>
    </row>
    <row r="2027" spans="2:15" x14ac:dyDescent="0.2">
      <c r="B2027" s="245"/>
      <c r="C2027" s="245"/>
      <c r="D2027" s="245"/>
      <c r="E2027" s="245"/>
      <c r="F2027" s="245"/>
      <c r="G2027" s="579"/>
      <c r="H2027" s="579"/>
      <c r="I2027" s="579"/>
      <c r="J2027" s="579"/>
      <c r="K2027" s="579"/>
      <c r="L2027" s="245"/>
      <c r="N2027" s="245"/>
      <c r="O2027" s="245"/>
    </row>
    <row r="2028" spans="2:15" hidden="1" x14ac:dyDescent="0.2">
      <c r="G2028" s="579"/>
      <c r="H2028" s="356"/>
      <c r="I2028" s="356"/>
      <c r="J2028" s="356"/>
      <c r="K2028" s="356"/>
    </row>
    <row r="2029" spans="2:15" hidden="1" x14ac:dyDescent="0.2">
      <c r="G2029" s="579"/>
      <c r="H2029" s="356"/>
      <c r="I2029" s="356"/>
      <c r="J2029" s="356"/>
      <c r="K2029" s="356"/>
    </row>
    <row r="2030" spans="2:15" hidden="1" x14ac:dyDescent="0.2">
      <c r="G2030" s="579"/>
      <c r="H2030" s="356"/>
      <c r="I2030" s="356"/>
      <c r="J2030" s="356"/>
      <c r="K2030" s="356"/>
    </row>
    <row r="2031" spans="2:15" hidden="1" x14ac:dyDescent="0.2">
      <c r="G2031" s="579"/>
      <c r="H2031" s="356"/>
      <c r="I2031" s="356"/>
      <c r="J2031" s="356"/>
      <c r="K2031" s="356"/>
    </row>
    <row r="2032" spans="2:15" hidden="1" x14ac:dyDescent="0.2">
      <c r="G2032" s="579"/>
      <c r="H2032" s="356"/>
      <c r="I2032" s="356"/>
      <c r="J2032" s="356"/>
      <c r="K2032" s="356"/>
    </row>
    <row r="2033" spans="7:11" hidden="1" x14ac:dyDescent="0.2">
      <c r="G2033" s="579"/>
      <c r="H2033" s="356"/>
      <c r="I2033" s="356"/>
      <c r="J2033" s="356"/>
      <c r="K2033" s="356"/>
    </row>
    <row r="2034" spans="7:11" hidden="1" x14ac:dyDescent="0.2">
      <c r="G2034" s="579"/>
      <c r="H2034" s="356"/>
      <c r="I2034" s="356"/>
      <c r="J2034" s="356"/>
      <c r="K2034" s="356"/>
    </row>
    <row r="2035" spans="7:11" hidden="1" x14ac:dyDescent="0.2">
      <c r="G2035" s="579"/>
      <c r="H2035" s="356"/>
      <c r="I2035" s="356"/>
      <c r="J2035" s="356"/>
      <c r="K2035" s="356"/>
    </row>
    <row r="2036" spans="7:11" hidden="1" x14ac:dyDescent="0.2">
      <c r="G2036" s="579"/>
      <c r="H2036" s="356"/>
      <c r="I2036" s="356"/>
      <c r="J2036" s="356"/>
      <c r="K2036" s="356"/>
    </row>
    <row r="2037" spans="7:11" hidden="1" x14ac:dyDescent="0.2">
      <c r="G2037" s="579"/>
      <c r="H2037" s="356"/>
      <c r="I2037" s="356"/>
      <c r="J2037" s="356"/>
      <c r="K2037" s="356"/>
    </row>
    <row r="2038" spans="7:11" hidden="1" x14ac:dyDescent="0.2">
      <c r="G2038" s="579"/>
      <c r="H2038" s="356"/>
      <c r="I2038" s="356"/>
      <c r="J2038" s="356"/>
      <c r="K2038" s="356"/>
    </row>
    <row r="2039" spans="7:11" hidden="1" x14ac:dyDescent="0.2">
      <c r="G2039" s="579"/>
      <c r="H2039" s="356"/>
      <c r="I2039" s="356"/>
      <c r="J2039" s="356"/>
      <c r="K2039" s="356"/>
    </row>
    <row r="2040" spans="7:11" hidden="1" x14ac:dyDescent="0.2">
      <c r="G2040" s="579"/>
      <c r="H2040" s="356"/>
      <c r="I2040" s="356"/>
      <c r="J2040" s="356"/>
      <c r="K2040" s="356"/>
    </row>
    <row r="2041" spans="7:11" hidden="1" x14ac:dyDescent="0.2">
      <c r="G2041" s="579"/>
      <c r="H2041" s="356"/>
      <c r="I2041" s="356"/>
      <c r="J2041" s="356"/>
      <c r="K2041" s="356"/>
    </row>
    <row r="2042" spans="7:11" hidden="1" x14ac:dyDescent="0.2">
      <c r="G2042" s="579"/>
      <c r="H2042" s="356"/>
      <c r="I2042" s="356"/>
      <c r="J2042" s="356"/>
      <c r="K2042" s="356"/>
    </row>
    <row r="2043" spans="7:11" hidden="1" x14ac:dyDescent="0.2">
      <c r="G2043" s="579"/>
      <c r="H2043" s="356"/>
      <c r="I2043" s="356"/>
      <c r="J2043" s="356"/>
      <c r="K2043" s="356"/>
    </row>
    <row r="2044" spans="7:11" hidden="1" x14ac:dyDescent="0.2">
      <c r="G2044" s="579"/>
      <c r="H2044" s="356"/>
      <c r="I2044" s="356"/>
      <c r="J2044" s="356"/>
      <c r="K2044" s="356"/>
    </row>
    <row r="2045" spans="7:11" hidden="1" x14ac:dyDescent="0.2">
      <c r="G2045" s="579"/>
      <c r="H2045" s="356"/>
      <c r="I2045" s="356"/>
      <c r="J2045" s="356"/>
      <c r="K2045" s="356"/>
    </row>
    <row r="2046" spans="7:11" hidden="1" x14ac:dyDescent="0.2">
      <c r="G2046" s="579"/>
      <c r="H2046" s="356"/>
      <c r="I2046" s="356"/>
      <c r="J2046" s="356"/>
      <c r="K2046" s="356"/>
    </row>
    <row r="2047" spans="7:11" hidden="1" x14ac:dyDescent="0.2">
      <c r="G2047" s="579"/>
      <c r="H2047" s="356"/>
      <c r="I2047" s="356"/>
      <c r="J2047" s="356"/>
      <c r="K2047" s="356"/>
    </row>
    <row r="2048" spans="7:11" hidden="1" x14ac:dyDescent="0.2">
      <c r="G2048" s="579"/>
      <c r="H2048" s="356"/>
      <c r="I2048" s="356"/>
      <c r="J2048" s="356"/>
      <c r="K2048" s="356"/>
    </row>
    <row r="2049" spans="7:11" hidden="1" x14ac:dyDescent="0.2">
      <c r="G2049" s="579"/>
      <c r="H2049" s="356"/>
      <c r="I2049" s="356"/>
      <c r="J2049" s="356"/>
      <c r="K2049" s="356"/>
    </row>
    <row r="2050" spans="7:11" hidden="1" x14ac:dyDescent="0.2">
      <c r="G2050" s="579"/>
      <c r="H2050" s="356"/>
      <c r="I2050" s="356"/>
      <c r="J2050" s="356"/>
      <c r="K2050" s="356"/>
    </row>
    <row r="2051" spans="7:11" hidden="1" x14ac:dyDescent="0.2">
      <c r="G2051" s="579"/>
      <c r="H2051" s="356"/>
      <c r="I2051" s="356"/>
      <c r="J2051" s="356"/>
      <c r="K2051" s="356"/>
    </row>
    <row r="2052" spans="7:11" hidden="1" x14ac:dyDescent="0.2">
      <c r="G2052" s="579"/>
      <c r="H2052" s="356"/>
      <c r="I2052" s="356"/>
      <c r="J2052" s="356"/>
      <c r="K2052" s="356"/>
    </row>
    <row r="2053" spans="7:11" hidden="1" x14ac:dyDescent="0.2">
      <c r="G2053" s="579"/>
      <c r="H2053" s="356"/>
      <c r="I2053" s="356"/>
      <c r="J2053" s="356"/>
      <c r="K2053" s="356"/>
    </row>
    <row r="2054" spans="7:11" hidden="1" x14ac:dyDescent="0.2">
      <c r="G2054" s="579"/>
      <c r="H2054" s="356"/>
      <c r="I2054" s="356"/>
      <c r="J2054" s="356"/>
      <c r="K2054" s="356"/>
    </row>
    <row r="2055" spans="7:11" hidden="1" x14ac:dyDescent="0.2">
      <c r="G2055" s="579"/>
      <c r="H2055" s="356"/>
      <c r="I2055" s="356"/>
      <c r="J2055" s="356"/>
      <c r="K2055" s="356"/>
    </row>
    <row r="2056" spans="7:11" hidden="1" x14ac:dyDescent="0.2">
      <c r="G2056" s="579"/>
      <c r="H2056" s="356"/>
      <c r="I2056" s="356"/>
      <c r="J2056" s="356"/>
      <c r="K2056" s="356"/>
    </row>
    <row r="2057" spans="7:11" hidden="1" x14ac:dyDescent="0.2">
      <c r="G2057" s="579"/>
      <c r="H2057" s="356"/>
      <c r="I2057" s="356"/>
      <c r="J2057" s="356"/>
      <c r="K2057" s="356"/>
    </row>
    <row r="2058" spans="7:11" hidden="1" x14ac:dyDescent="0.2">
      <c r="G2058" s="579"/>
      <c r="H2058" s="356"/>
      <c r="I2058" s="356"/>
      <c r="J2058" s="356"/>
      <c r="K2058" s="356"/>
    </row>
    <row r="2059" spans="7:11" hidden="1" x14ac:dyDescent="0.2">
      <c r="G2059" s="579"/>
      <c r="H2059" s="356"/>
      <c r="I2059" s="356"/>
      <c r="J2059" s="356"/>
      <c r="K2059" s="356"/>
    </row>
    <row r="2060" spans="7:11" hidden="1" x14ac:dyDescent="0.2">
      <c r="G2060" s="579"/>
      <c r="H2060" s="356"/>
      <c r="I2060" s="356"/>
      <c r="J2060" s="356"/>
      <c r="K2060" s="356"/>
    </row>
    <row r="2061" spans="7:11" hidden="1" x14ac:dyDescent="0.2">
      <c r="G2061" s="579"/>
      <c r="H2061" s="356"/>
      <c r="I2061" s="356"/>
      <c r="J2061" s="356"/>
      <c r="K2061" s="356"/>
    </row>
    <row r="2062" spans="7:11" hidden="1" x14ac:dyDescent="0.2">
      <c r="G2062" s="579"/>
      <c r="H2062" s="356"/>
      <c r="I2062" s="356"/>
      <c r="J2062" s="356"/>
      <c r="K2062" s="356"/>
    </row>
    <row r="2063" spans="7:11" hidden="1" x14ac:dyDescent="0.2">
      <c r="G2063" s="579"/>
      <c r="H2063" s="356"/>
      <c r="I2063" s="356"/>
      <c r="J2063" s="356"/>
      <c r="K2063" s="356"/>
    </row>
    <row r="2064" spans="7:11" hidden="1" x14ac:dyDescent="0.2">
      <c r="G2064" s="579"/>
      <c r="H2064" s="356"/>
      <c r="I2064" s="356"/>
      <c r="J2064" s="356"/>
      <c r="K2064" s="356"/>
    </row>
    <row r="2065" spans="7:11" hidden="1" x14ac:dyDescent="0.2">
      <c r="G2065" s="579"/>
      <c r="H2065" s="356"/>
      <c r="I2065" s="356"/>
      <c r="J2065" s="356"/>
      <c r="K2065" s="356"/>
    </row>
    <row r="2066" spans="7:11" hidden="1" x14ac:dyDescent="0.2">
      <c r="G2066" s="579"/>
      <c r="H2066" s="356"/>
      <c r="I2066" s="356"/>
      <c r="J2066" s="356"/>
      <c r="K2066" s="356"/>
    </row>
    <row r="2067" spans="7:11" hidden="1" x14ac:dyDescent="0.2">
      <c r="G2067" s="579"/>
      <c r="H2067" s="356"/>
      <c r="I2067" s="356"/>
      <c r="J2067" s="356"/>
      <c r="K2067" s="356"/>
    </row>
    <row r="2068" spans="7:11" hidden="1" x14ac:dyDescent="0.2">
      <c r="G2068" s="579"/>
      <c r="H2068" s="356"/>
      <c r="I2068" s="356"/>
      <c r="J2068" s="356"/>
      <c r="K2068" s="356"/>
    </row>
    <row r="2069" spans="7:11" hidden="1" x14ac:dyDescent="0.2">
      <c r="G2069" s="579"/>
      <c r="H2069" s="356"/>
      <c r="I2069" s="356"/>
      <c r="J2069" s="356"/>
      <c r="K2069" s="356"/>
    </row>
    <row r="2070" spans="7:11" hidden="1" x14ac:dyDescent="0.2">
      <c r="G2070" s="579"/>
      <c r="H2070" s="356"/>
      <c r="I2070" s="356"/>
      <c r="J2070" s="356"/>
      <c r="K2070" s="356"/>
    </row>
    <row r="2071" spans="7:11" hidden="1" x14ac:dyDescent="0.2">
      <c r="G2071" s="579"/>
      <c r="H2071" s="356"/>
      <c r="I2071" s="356"/>
      <c r="J2071" s="356"/>
      <c r="K2071" s="356"/>
    </row>
    <row r="2072" spans="7:11" hidden="1" x14ac:dyDescent="0.2">
      <c r="G2072" s="579"/>
      <c r="H2072" s="356"/>
      <c r="I2072" s="356"/>
      <c r="J2072" s="356"/>
      <c r="K2072" s="356"/>
    </row>
    <row r="2073" spans="7:11" hidden="1" x14ac:dyDescent="0.2">
      <c r="G2073" s="579"/>
      <c r="H2073" s="356"/>
      <c r="I2073" s="356"/>
      <c r="J2073" s="356"/>
      <c r="K2073" s="356"/>
    </row>
    <row r="2074" spans="7:11" hidden="1" x14ac:dyDescent="0.2">
      <c r="G2074" s="579"/>
      <c r="H2074" s="356"/>
      <c r="I2074" s="356"/>
      <c r="J2074" s="356"/>
      <c r="K2074" s="356"/>
    </row>
    <row r="2075" spans="7:11" hidden="1" x14ac:dyDescent="0.2">
      <c r="G2075" s="579"/>
      <c r="H2075" s="356"/>
      <c r="I2075" s="356"/>
      <c r="J2075" s="356"/>
      <c r="K2075" s="356"/>
    </row>
    <row r="2076" spans="7:11" hidden="1" x14ac:dyDescent="0.2">
      <c r="G2076" s="579"/>
      <c r="H2076" s="356"/>
      <c r="I2076" s="356"/>
      <c r="J2076" s="356"/>
      <c r="K2076" s="356"/>
    </row>
    <row r="2077" spans="7:11" hidden="1" x14ac:dyDescent="0.2">
      <c r="G2077" s="579"/>
      <c r="H2077" s="356"/>
      <c r="I2077" s="356"/>
      <c r="J2077" s="356"/>
      <c r="K2077" s="356"/>
    </row>
    <row r="2078" spans="7:11" hidden="1" x14ac:dyDescent="0.2">
      <c r="G2078" s="579"/>
      <c r="H2078" s="356"/>
      <c r="I2078" s="356"/>
      <c r="J2078" s="356"/>
      <c r="K2078" s="356"/>
    </row>
    <row r="2079" spans="7:11" hidden="1" x14ac:dyDescent="0.2">
      <c r="G2079" s="579"/>
      <c r="H2079" s="356"/>
      <c r="I2079" s="356"/>
      <c r="J2079" s="356"/>
      <c r="K2079" s="356"/>
    </row>
    <row r="2080" spans="7:11" hidden="1" x14ac:dyDescent="0.2">
      <c r="G2080" s="579"/>
      <c r="H2080" s="356"/>
      <c r="I2080" s="356"/>
      <c r="J2080" s="356"/>
      <c r="K2080" s="356"/>
    </row>
    <row r="2081" spans="7:11" hidden="1" x14ac:dyDescent="0.2">
      <c r="G2081" s="579"/>
      <c r="H2081" s="356"/>
      <c r="I2081" s="356"/>
      <c r="J2081" s="356"/>
      <c r="K2081" s="356"/>
    </row>
    <row r="2082" spans="7:11" hidden="1" x14ac:dyDescent="0.2">
      <c r="G2082" s="579"/>
      <c r="H2082" s="356"/>
      <c r="I2082" s="356"/>
      <c r="J2082" s="356"/>
      <c r="K2082" s="356"/>
    </row>
    <row r="2083" spans="7:11" hidden="1" x14ac:dyDescent="0.2">
      <c r="G2083" s="579"/>
      <c r="H2083" s="356"/>
      <c r="I2083" s="356"/>
      <c r="J2083" s="356"/>
      <c r="K2083" s="356"/>
    </row>
    <row r="2084" spans="7:11" hidden="1" x14ac:dyDescent="0.2">
      <c r="G2084" s="579"/>
      <c r="H2084" s="356"/>
      <c r="I2084" s="356"/>
      <c r="J2084" s="356"/>
      <c r="K2084" s="356"/>
    </row>
    <row r="2085" spans="7:11" hidden="1" x14ac:dyDescent="0.2">
      <c r="G2085" s="579"/>
      <c r="H2085" s="356"/>
      <c r="I2085" s="356"/>
      <c r="J2085" s="356"/>
      <c r="K2085" s="356"/>
    </row>
    <row r="2086" spans="7:11" hidden="1" x14ac:dyDescent="0.2">
      <c r="G2086" s="579"/>
      <c r="H2086" s="356"/>
      <c r="I2086" s="356"/>
      <c r="J2086" s="356"/>
      <c r="K2086" s="356"/>
    </row>
    <row r="2087" spans="7:11" hidden="1" x14ac:dyDescent="0.2">
      <c r="G2087" s="579"/>
      <c r="H2087" s="356"/>
      <c r="I2087" s="356"/>
      <c r="J2087" s="356"/>
      <c r="K2087" s="356"/>
    </row>
    <row r="2088" spans="7:11" hidden="1" x14ac:dyDescent="0.2">
      <c r="G2088" s="579"/>
      <c r="H2088" s="356"/>
      <c r="I2088" s="356"/>
      <c r="J2088" s="356"/>
      <c r="K2088" s="356"/>
    </row>
    <row r="2089" spans="7:11" hidden="1" x14ac:dyDescent="0.2">
      <c r="G2089" s="579"/>
      <c r="H2089" s="356"/>
      <c r="I2089" s="356"/>
      <c r="J2089" s="356"/>
      <c r="K2089" s="356"/>
    </row>
    <row r="2090" spans="7:11" hidden="1" x14ac:dyDescent="0.2">
      <c r="G2090" s="579"/>
      <c r="H2090" s="356"/>
      <c r="I2090" s="356"/>
      <c r="J2090" s="356"/>
      <c r="K2090" s="356"/>
    </row>
    <row r="2091" spans="7:11" hidden="1" x14ac:dyDescent="0.2">
      <c r="G2091" s="579"/>
      <c r="H2091" s="356"/>
      <c r="I2091" s="356"/>
      <c r="J2091" s="356"/>
      <c r="K2091" s="356"/>
    </row>
    <row r="2092" spans="7:11" hidden="1" x14ac:dyDescent="0.2">
      <c r="G2092" s="579"/>
      <c r="H2092" s="356"/>
      <c r="I2092" s="356"/>
      <c r="J2092" s="356"/>
      <c r="K2092" s="356"/>
    </row>
    <row r="2093" spans="7:11" hidden="1" x14ac:dyDescent="0.2">
      <c r="G2093" s="579"/>
      <c r="H2093" s="356"/>
      <c r="I2093" s="356"/>
      <c r="J2093" s="356"/>
      <c r="K2093" s="356"/>
    </row>
    <row r="2094" spans="7:11" hidden="1" x14ac:dyDescent="0.2">
      <c r="G2094" s="579"/>
      <c r="H2094" s="356"/>
      <c r="I2094" s="356"/>
      <c r="J2094" s="356"/>
      <c r="K2094" s="356"/>
    </row>
    <row r="2095" spans="7:11" hidden="1" x14ac:dyDescent="0.2">
      <c r="G2095" s="579"/>
      <c r="H2095" s="356"/>
      <c r="I2095" s="356"/>
      <c r="J2095" s="356"/>
      <c r="K2095" s="356"/>
    </row>
    <row r="2096" spans="7:11" hidden="1" x14ac:dyDescent="0.2">
      <c r="G2096" s="579"/>
      <c r="H2096" s="356"/>
      <c r="I2096" s="356"/>
      <c r="J2096" s="356"/>
      <c r="K2096" s="356"/>
    </row>
    <row r="2097" spans="7:11" hidden="1" x14ac:dyDescent="0.2">
      <c r="G2097" s="579"/>
      <c r="H2097" s="356"/>
      <c r="I2097" s="356"/>
      <c r="J2097" s="356"/>
      <c r="K2097" s="356"/>
    </row>
    <row r="2098" spans="7:11" hidden="1" x14ac:dyDescent="0.2">
      <c r="G2098" s="579"/>
      <c r="H2098" s="356"/>
      <c r="I2098" s="356"/>
      <c r="J2098" s="356"/>
      <c r="K2098" s="356"/>
    </row>
    <row r="2099" spans="7:11" hidden="1" x14ac:dyDescent="0.2">
      <c r="G2099" s="579"/>
      <c r="H2099" s="356"/>
      <c r="I2099" s="356"/>
      <c r="J2099" s="356"/>
      <c r="K2099" s="356"/>
    </row>
    <row r="2100" spans="7:11" hidden="1" x14ac:dyDescent="0.2">
      <c r="G2100" s="579"/>
      <c r="H2100" s="356"/>
      <c r="I2100" s="356"/>
      <c r="J2100" s="356"/>
      <c r="K2100" s="356"/>
    </row>
    <row r="2101" spans="7:11" hidden="1" x14ac:dyDescent="0.2">
      <c r="G2101" s="579"/>
      <c r="H2101" s="356"/>
      <c r="I2101" s="356"/>
      <c r="J2101" s="356"/>
      <c r="K2101" s="356"/>
    </row>
    <row r="2102" spans="7:11" hidden="1" x14ac:dyDescent="0.2">
      <c r="G2102" s="579"/>
      <c r="H2102" s="356"/>
      <c r="I2102" s="356"/>
      <c r="J2102" s="356"/>
      <c r="K2102" s="356"/>
    </row>
    <row r="2103" spans="7:11" hidden="1" x14ac:dyDescent="0.2">
      <c r="G2103" s="579"/>
      <c r="H2103" s="356"/>
      <c r="I2103" s="356"/>
      <c r="J2103" s="356"/>
      <c r="K2103" s="356"/>
    </row>
    <row r="2104" spans="7:11" hidden="1" x14ac:dyDescent="0.2">
      <c r="G2104" s="579"/>
      <c r="H2104" s="356"/>
      <c r="I2104" s="356"/>
      <c r="J2104" s="356"/>
      <c r="K2104" s="356"/>
    </row>
    <row r="2105" spans="7:11" hidden="1" x14ac:dyDescent="0.2">
      <c r="G2105" s="579"/>
      <c r="H2105" s="356"/>
      <c r="I2105" s="356"/>
      <c r="J2105" s="356"/>
      <c r="K2105" s="356"/>
    </row>
    <row r="2106" spans="7:11" hidden="1" x14ac:dyDescent="0.2">
      <c r="G2106" s="579"/>
      <c r="H2106" s="356"/>
      <c r="I2106" s="356"/>
      <c r="J2106" s="356"/>
      <c r="K2106" s="356"/>
    </row>
    <row r="2107" spans="7:11" hidden="1" x14ac:dyDescent="0.2">
      <c r="G2107" s="579"/>
      <c r="H2107" s="356"/>
      <c r="I2107" s="356"/>
      <c r="J2107" s="356"/>
      <c r="K2107" s="356"/>
    </row>
    <row r="2108" spans="7:11" hidden="1" x14ac:dyDescent="0.2">
      <c r="G2108" s="579"/>
      <c r="H2108" s="356"/>
      <c r="I2108" s="356"/>
      <c r="J2108" s="356"/>
      <c r="K2108" s="356"/>
    </row>
    <row r="2109" spans="7:11" hidden="1" x14ac:dyDescent="0.2">
      <c r="G2109" s="579"/>
      <c r="H2109" s="356"/>
      <c r="I2109" s="356"/>
      <c r="J2109" s="356"/>
      <c r="K2109" s="356"/>
    </row>
    <row r="2110" spans="7:11" hidden="1" x14ac:dyDescent="0.2">
      <c r="G2110" s="579"/>
      <c r="H2110" s="356"/>
      <c r="I2110" s="356"/>
      <c r="J2110" s="356"/>
      <c r="K2110" s="356"/>
    </row>
    <row r="2111" spans="7:11" hidden="1" x14ac:dyDescent="0.2">
      <c r="G2111" s="579"/>
      <c r="H2111" s="356"/>
      <c r="I2111" s="356"/>
      <c r="J2111" s="356"/>
      <c r="K2111" s="356"/>
    </row>
    <row r="2112" spans="7:11" hidden="1" x14ac:dyDescent="0.2">
      <c r="G2112" s="579"/>
      <c r="H2112" s="356"/>
      <c r="I2112" s="356"/>
      <c r="J2112" s="356"/>
      <c r="K2112" s="356"/>
    </row>
    <row r="2113" spans="7:11" hidden="1" x14ac:dyDescent="0.2">
      <c r="G2113" s="579"/>
      <c r="H2113" s="356"/>
      <c r="I2113" s="356"/>
      <c r="J2113" s="356"/>
      <c r="K2113" s="356"/>
    </row>
    <row r="2114" spans="7:11" hidden="1" x14ac:dyDescent="0.2">
      <c r="G2114" s="579"/>
      <c r="H2114" s="356"/>
      <c r="I2114" s="356"/>
      <c r="J2114" s="356"/>
      <c r="K2114" s="356"/>
    </row>
    <row r="2115" spans="7:11" hidden="1" x14ac:dyDescent="0.2">
      <c r="G2115" s="579"/>
      <c r="H2115" s="356"/>
      <c r="I2115" s="356"/>
      <c r="J2115" s="356"/>
      <c r="K2115" s="356"/>
    </row>
    <row r="2116" spans="7:11" hidden="1" x14ac:dyDescent="0.2">
      <c r="G2116" s="579"/>
      <c r="H2116" s="356"/>
      <c r="I2116" s="356"/>
      <c r="J2116" s="356"/>
      <c r="K2116" s="356"/>
    </row>
    <row r="2117" spans="7:11" hidden="1" x14ac:dyDescent="0.2">
      <c r="G2117" s="579"/>
      <c r="H2117" s="356"/>
      <c r="I2117" s="356"/>
      <c r="J2117" s="356"/>
      <c r="K2117" s="356"/>
    </row>
    <row r="2118" spans="7:11" hidden="1" x14ac:dyDescent="0.2">
      <c r="G2118" s="579"/>
      <c r="H2118" s="356"/>
      <c r="I2118" s="356"/>
      <c r="J2118" s="356"/>
      <c r="K2118" s="356"/>
    </row>
    <row r="2119" spans="7:11" hidden="1" x14ac:dyDescent="0.2">
      <c r="G2119" s="579"/>
      <c r="H2119" s="356"/>
      <c r="I2119" s="356"/>
      <c r="J2119" s="356"/>
      <c r="K2119" s="356"/>
    </row>
    <row r="2120" spans="7:11" hidden="1" x14ac:dyDescent="0.2">
      <c r="G2120" s="579"/>
      <c r="H2120" s="356"/>
      <c r="I2120" s="356"/>
      <c r="J2120" s="356"/>
      <c r="K2120" s="356"/>
    </row>
    <row r="2121" spans="7:11" hidden="1" x14ac:dyDescent="0.2">
      <c r="G2121" s="579"/>
      <c r="H2121" s="356"/>
      <c r="I2121" s="356"/>
      <c r="J2121" s="356"/>
      <c r="K2121" s="356"/>
    </row>
    <row r="2122" spans="7:11" hidden="1" x14ac:dyDescent="0.2">
      <c r="G2122" s="579"/>
      <c r="H2122" s="356"/>
      <c r="I2122" s="356"/>
      <c r="J2122" s="356"/>
      <c r="K2122" s="356"/>
    </row>
    <row r="2123" spans="7:11" hidden="1" x14ac:dyDescent="0.2">
      <c r="G2123" s="579"/>
      <c r="H2123" s="356"/>
      <c r="I2123" s="356"/>
      <c r="J2123" s="356"/>
      <c r="K2123" s="356"/>
    </row>
    <row r="2124" spans="7:11" hidden="1" x14ac:dyDescent="0.2">
      <c r="G2124" s="579"/>
      <c r="H2124" s="356"/>
      <c r="I2124" s="356"/>
      <c r="J2124" s="356"/>
      <c r="K2124" s="356"/>
    </row>
    <row r="2125" spans="7:11" hidden="1" x14ac:dyDescent="0.2">
      <c r="G2125" s="579"/>
      <c r="H2125" s="356"/>
      <c r="I2125" s="356"/>
      <c r="J2125" s="356"/>
      <c r="K2125" s="356"/>
    </row>
    <row r="2126" spans="7:11" hidden="1" x14ac:dyDescent="0.2">
      <c r="G2126" s="579"/>
      <c r="H2126" s="356"/>
      <c r="I2126" s="356"/>
      <c r="J2126" s="356"/>
      <c r="K2126" s="356"/>
    </row>
    <row r="2127" spans="7:11" hidden="1" x14ac:dyDescent="0.2">
      <c r="G2127" s="579"/>
      <c r="H2127" s="356"/>
      <c r="I2127" s="356"/>
      <c r="J2127" s="356"/>
      <c r="K2127" s="356"/>
    </row>
    <row r="2128" spans="7:11" hidden="1" x14ac:dyDescent="0.2">
      <c r="G2128" s="579"/>
      <c r="H2128" s="356"/>
      <c r="I2128" s="356"/>
      <c r="J2128" s="356"/>
      <c r="K2128" s="356"/>
    </row>
    <row r="2129" spans="7:11" hidden="1" x14ac:dyDescent="0.2">
      <c r="G2129" s="579"/>
      <c r="H2129" s="356"/>
      <c r="I2129" s="356"/>
      <c r="J2129" s="356"/>
      <c r="K2129" s="356"/>
    </row>
    <row r="2130" spans="7:11" hidden="1" x14ac:dyDescent="0.2">
      <c r="G2130" s="579"/>
      <c r="H2130" s="356"/>
      <c r="I2130" s="356"/>
      <c r="J2130" s="356"/>
      <c r="K2130" s="356"/>
    </row>
    <row r="2131" spans="7:11" hidden="1" x14ac:dyDescent="0.2">
      <c r="G2131" s="579"/>
      <c r="H2131" s="356"/>
      <c r="I2131" s="356"/>
      <c r="J2131" s="356"/>
      <c r="K2131" s="356"/>
    </row>
    <row r="2132" spans="7:11" hidden="1" x14ac:dyDescent="0.2">
      <c r="G2132" s="579"/>
      <c r="H2132" s="356"/>
      <c r="I2132" s="356"/>
      <c r="J2132" s="356"/>
      <c r="K2132" s="356"/>
    </row>
    <row r="2133" spans="7:11" hidden="1" x14ac:dyDescent="0.2">
      <c r="G2133" s="579"/>
      <c r="H2133" s="356"/>
      <c r="I2133" s="356"/>
      <c r="J2133" s="356"/>
      <c r="K2133" s="356"/>
    </row>
    <row r="2134" spans="7:11" hidden="1" x14ac:dyDescent="0.2">
      <c r="G2134" s="579"/>
      <c r="H2134" s="356"/>
      <c r="I2134" s="356"/>
      <c r="J2134" s="356"/>
      <c r="K2134" s="356"/>
    </row>
    <row r="2135" spans="7:11" hidden="1" x14ac:dyDescent="0.2">
      <c r="G2135" s="579"/>
      <c r="H2135" s="356"/>
      <c r="I2135" s="356"/>
      <c r="J2135" s="356"/>
      <c r="K2135" s="356"/>
    </row>
    <row r="2136" spans="7:11" hidden="1" x14ac:dyDescent="0.2">
      <c r="G2136" s="579"/>
      <c r="H2136" s="356"/>
      <c r="I2136" s="356"/>
      <c r="J2136" s="356"/>
      <c r="K2136" s="356"/>
    </row>
    <row r="2137" spans="7:11" hidden="1" x14ac:dyDescent="0.2">
      <c r="G2137" s="579"/>
      <c r="H2137" s="356"/>
      <c r="I2137" s="356"/>
      <c r="J2137" s="356"/>
      <c r="K2137" s="356"/>
    </row>
    <row r="2138" spans="7:11" hidden="1" x14ac:dyDescent="0.2">
      <c r="G2138" s="579"/>
      <c r="H2138" s="356"/>
      <c r="I2138" s="356"/>
      <c r="J2138" s="356"/>
      <c r="K2138" s="356"/>
    </row>
    <row r="2139" spans="7:11" hidden="1" x14ac:dyDescent="0.2">
      <c r="G2139" s="579"/>
      <c r="H2139" s="356"/>
      <c r="I2139" s="356"/>
      <c r="J2139" s="356"/>
      <c r="K2139" s="356"/>
    </row>
    <row r="2140" spans="7:11" hidden="1" x14ac:dyDescent="0.2">
      <c r="G2140" s="579"/>
      <c r="H2140" s="356"/>
      <c r="I2140" s="356"/>
      <c r="J2140" s="356"/>
      <c r="K2140" s="356"/>
    </row>
    <row r="2141" spans="7:11" hidden="1" x14ac:dyDescent="0.2">
      <c r="G2141" s="579"/>
      <c r="H2141" s="356"/>
      <c r="I2141" s="356"/>
      <c r="J2141" s="356"/>
      <c r="K2141" s="356"/>
    </row>
    <row r="2142" spans="7:11" hidden="1" x14ac:dyDescent="0.2">
      <c r="G2142" s="579"/>
      <c r="H2142" s="356"/>
      <c r="I2142" s="356"/>
      <c r="J2142" s="356"/>
      <c r="K2142" s="356"/>
    </row>
    <row r="2143" spans="7:11" hidden="1" x14ac:dyDescent="0.2">
      <c r="G2143" s="579"/>
      <c r="H2143" s="356"/>
      <c r="I2143" s="356"/>
      <c r="J2143" s="356"/>
      <c r="K2143" s="356"/>
    </row>
    <row r="2144" spans="7:11" hidden="1" x14ac:dyDescent="0.2">
      <c r="G2144" s="579"/>
      <c r="H2144" s="356"/>
      <c r="I2144" s="356"/>
      <c r="J2144" s="356"/>
      <c r="K2144" s="356"/>
    </row>
    <row r="2145" spans="7:11" hidden="1" x14ac:dyDescent="0.2">
      <c r="G2145" s="579"/>
      <c r="H2145" s="356"/>
      <c r="I2145" s="356"/>
      <c r="J2145" s="356"/>
      <c r="K2145" s="356"/>
    </row>
    <row r="2146" spans="7:11" hidden="1" x14ac:dyDescent="0.2">
      <c r="G2146" s="579"/>
      <c r="H2146" s="356"/>
      <c r="I2146" s="356"/>
      <c r="J2146" s="356"/>
      <c r="K2146" s="356"/>
    </row>
    <row r="2147" spans="7:11" hidden="1" x14ac:dyDescent="0.2">
      <c r="G2147" s="579"/>
      <c r="H2147" s="356"/>
      <c r="I2147" s="356"/>
      <c r="J2147" s="356"/>
      <c r="K2147" s="356"/>
    </row>
    <row r="2148" spans="7:11" hidden="1" x14ac:dyDescent="0.2">
      <c r="G2148" s="579"/>
      <c r="H2148" s="356"/>
      <c r="I2148" s="356"/>
      <c r="J2148" s="356"/>
      <c r="K2148" s="356"/>
    </row>
    <row r="2149" spans="7:11" hidden="1" x14ac:dyDescent="0.2">
      <c r="G2149" s="579"/>
      <c r="H2149" s="356"/>
      <c r="I2149" s="356"/>
      <c r="J2149" s="356"/>
      <c r="K2149" s="356"/>
    </row>
    <row r="2150" spans="7:11" hidden="1" x14ac:dyDescent="0.2">
      <c r="G2150" s="579"/>
      <c r="H2150" s="356"/>
      <c r="I2150" s="356"/>
      <c r="J2150" s="356"/>
      <c r="K2150" s="356"/>
    </row>
    <row r="2151" spans="7:11" hidden="1" x14ac:dyDescent="0.2">
      <c r="G2151" s="579"/>
      <c r="H2151" s="356"/>
      <c r="I2151" s="356"/>
      <c r="J2151" s="356"/>
      <c r="K2151" s="356"/>
    </row>
    <row r="2152" spans="7:11" hidden="1" x14ac:dyDescent="0.2">
      <c r="G2152" s="579"/>
      <c r="H2152" s="356"/>
      <c r="I2152" s="356"/>
      <c r="J2152" s="356"/>
      <c r="K2152" s="356"/>
    </row>
    <row r="2153" spans="7:11" hidden="1" x14ac:dyDescent="0.2">
      <c r="G2153" s="579"/>
      <c r="H2153" s="356"/>
      <c r="I2153" s="356"/>
      <c r="J2153" s="356"/>
      <c r="K2153" s="356"/>
    </row>
    <row r="2154" spans="7:11" hidden="1" x14ac:dyDescent="0.2">
      <c r="G2154" s="579"/>
      <c r="H2154" s="356"/>
      <c r="I2154" s="356"/>
      <c r="J2154" s="356"/>
      <c r="K2154" s="356"/>
    </row>
    <row r="2155" spans="7:11" hidden="1" x14ac:dyDescent="0.2">
      <c r="G2155" s="579"/>
      <c r="H2155" s="356"/>
      <c r="I2155" s="356"/>
      <c r="J2155" s="356"/>
      <c r="K2155" s="356"/>
    </row>
    <row r="2156" spans="7:11" hidden="1" x14ac:dyDescent="0.2">
      <c r="G2156" s="579"/>
      <c r="H2156" s="356"/>
      <c r="I2156" s="356"/>
      <c r="J2156" s="356"/>
      <c r="K2156" s="356"/>
    </row>
    <row r="2157" spans="7:11" hidden="1" x14ac:dyDescent="0.2">
      <c r="G2157" s="579"/>
      <c r="H2157" s="356"/>
      <c r="I2157" s="356"/>
      <c r="J2157" s="356"/>
      <c r="K2157" s="356"/>
    </row>
    <row r="2158" spans="7:11" hidden="1" x14ac:dyDescent="0.2">
      <c r="G2158" s="579"/>
      <c r="H2158" s="356"/>
      <c r="I2158" s="356"/>
      <c r="J2158" s="356"/>
      <c r="K2158" s="356"/>
    </row>
    <row r="2159" spans="7:11" hidden="1" x14ac:dyDescent="0.2">
      <c r="G2159" s="579"/>
      <c r="H2159" s="356"/>
      <c r="I2159" s="356"/>
      <c r="J2159" s="356"/>
      <c r="K2159" s="356"/>
    </row>
    <row r="2160" spans="7:11" hidden="1" x14ac:dyDescent="0.2">
      <c r="G2160" s="579"/>
      <c r="H2160" s="356"/>
      <c r="I2160" s="356"/>
      <c r="J2160" s="356"/>
      <c r="K2160" s="356"/>
    </row>
    <row r="2161" spans="7:11" hidden="1" x14ac:dyDescent="0.2">
      <c r="G2161" s="579"/>
      <c r="H2161" s="356"/>
      <c r="I2161" s="356"/>
      <c r="J2161" s="356"/>
      <c r="K2161" s="356"/>
    </row>
    <row r="2162" spans="7:11" hidden="1" x14ac:dyDescent="0.2">
      <c r="G2162" s="579"/>
      <c r="H2162" s="356"/>
      <c r="I2162" s="356"/>
      <c r="J2162" s="356"/>
      <c r="K2162" s="356"/>
    </row>
    <row r="2163" spans="7:11" hidden="1" x14ac:dyDescent="0.2">
      <c r="G2163" s="579"/>
      <c r="H2163" s="356"/>
      <c r="I2163" s="356"/>
      <c r="J2163" s="356"/>
      <c r="K2163" s="356"/>
    </row>
    <row r="2164" spans="7:11" hidden="1" x14ac:dyDescent="0.2">
      <c r="G2164" s="579"/>
      <c r="H2164" s="356"/>
      <c r="I2164" s="356"/>
      <c r="J2164" s="356"/>
      <c r="K2164" s="356"/>
    </row>
    <row r="2165" spans="7:11" hidden="1" x14ac:dyDescent="0.2">
      <c r="G2165" s="579"/>
      <c r="H2165" s="356"/>
      <c r="I2165" s="356"/>
      <c r="J2165" s="356"/>
      <c r="K2165" s="356"/>
    </row>
    <row r="2166" spans="7:11" hidden="1" x14ac:dyDescent="0.2">
      <c r="G2166" s="579"/>
      <c r="H2166" s="356"/>
      <c r="I2166" s="356"/>
      <c r="J2166" s="356"/>
      <c r="K2166" s="356"/>
    </row>
    <row r="2167" spans="7:11" hidden="1" x14ac:dyDescent="0.2">
      <c r="G2167" s="579"/>
      <c r="H2167" s="356"/>
      <c r="I2167" s="356"/>
      <c r="J2167" s="356"/>
      <c r="K2167" s="356"/>
    </row>
    <row r="2168" spans="7:11" hidden="1" x14ac:dyDescent="0.2">
      <c r="G2168" s="579"/>
      <c r="H2168" s="356"/>
      <c r="I2168" s="356"/>
      <c r="J2168" s="356"/>
      <c r="K2168" s="356"/>
    </row>
    <row r="2169" spans="7:11" hidden="1" x14ac:dyDescent="0.2">
      <c r="G2169" s="579"/>
      <c r="H2169" s="356"/>
      <c r="I2169" s="356"/>
      <c r="J2169" s="356"/>
      <c r="K2169" s="356"/>
    </row>
    <row r="2170" spans="7:11" hidden="1" x14ac:dyDescent="0.2">
      <c r="G2170" s="579"/>
      <c r="H2170" s="356"/>
      <c r="I2170" s="356"/>
      <c r="J2170" s="356"/>
      <c r="K2170" s="356"/>
    </row>
    <row r="2171" spans="7:11" hidden="1" x14ac:dyDescent="0.2">
      <c r="G2171" s="579"/>
      <c r="H2171" s="356"/>
      <c r="I2171" s="356"/>
      <c r="J2171" s="356"/>
      <c r="K2171" s="356"/>
    </row>
    <row r="2172" spans="7:11" hidden="1" x14ac:dyDescent="0.2">
      <c r="G2172" s="579"/>
      <c r="H2172" s="356"/>
      <c r="I2172" s="356"/>
      <c r="J2172" s="356"/>
      <c r="K2172" s="356"/>
    </row>
    <row r="2173" spans="7:11" hidden="1" x14ac:dyDescent="0.2">
      <c r="G2173" s="579"/>
      <c r="H2173" s="356"/>
      <c r="I2173" s="356"/>
      <c r="J2173" s="356"/>
      <c r="K2173" s="356"/>
    </row>
    <row r="2174" spans="7:11" hidden="1" x14ac:dyDescent="0.2">
      <c r="G2174" s="579"/>
      <c r="H2174" s="356"/>
      <c r="I2174" s="356"/>
      <c r="J2174" s="356"/>
      <c r="K2174" s="356"/>
    </row>
    <row r="2175" spans="7:11" hidden="1" x14ac:dyDescent="0.2">
      <c r="G2175" s="579"/>
      <c r="H2175" s="356"/>
      <c r="I2175" s="356"/>
      <c r="J2175" s="356"/>
      <c r="K2175" s="356"/>
    </row>
    <row r="2176" spans="7:11" hidden="1" x14ac:dyDescent="0.2">
      <c r="G2176" s="579"/>
      <c r="H2176" s="356"/>
      <c r="I2176" s="356"/>
      <c r="J2176" s="356"/>
      <c r="K2176" s="356"/>
    </row>
    <row r="2177" spans="7:11" hidden="1" x14ac:dyDescent="0.2">
      <c r="G2177" s="579"/>
      <c r="H2177" s="356"/>
      <c r="I2177" s="356"/>
      <c r="J2177" s="356"/>
      <c r="K2177" s="356"/>
    </row>
    <row r="2178" spans="7:11" hidden="1" x14ac:dyDescent="0.2">
      <c r="G2178" s="579"/>
      <c r="H2178" s="356"/>
      <c r="I2178" s="356"/>
      <c r="J2178" s="356"/>
      <c r="K2178" s="356"/>
    </row>
    <row r="2179" spans="7:11" hidden="1" x14ac:dyDescent="0.2">
      <c r="G2179" s="579"/>
      <c r="H2179" s="356"/>
      <c r="I2179" s="356"/>
      <c r="J2179" s="356"/>
      <c r="K2179" s="356"/>
    </row>
    <row r="2180" spans="7:11" hidden="1" x14ac:dyDescent="0.2">
      <c r="G2180" s="579"/>
      <c r="H2180" s="356"/>
      <c r="I2180" s="356"/>
      <c r="J2180" s="356"/>
      <c r="K2180" s="356"/>
    </row>
    <row r="2181" spans="7:11" hidden="1" x14ac:dyDescent="0.2">
      <c r="G2181" s="579"/>
      <c r="H2181" s="356"/>
      <c r="I2181" s="356"/>
      <c r="J2181" s="356"/>
      <c r="K2181" s="356"/>
    </row>
    <row r="2182" spans="7:11" hidden="1" x14ac:dyDescent="0.2">
      <c r="G2182" s="579"/>
      <c r="H2182" s="356"/>
      <c r="I2182" s="356"/>
      <c r="J2182" s="356"/>
      <c r="K2182" s="356"/>
    </row>
    <row r="2183" spans="7:11" hidden="1" x14ac:dyDescent="0.2">
      <c r="G2183" s="579"/>
      <c r="H2183" s="356"/>
      <c r="I2183" s="356"/>
      <c r="J2183" s="356"/>
      <c r="K2183" s="356"/>
    </row>
    <row r="2184" spans="7:11" hidden="1" x14ac:dyDescent="0.2">
      <c r="G2184" s="579"/>
      <c r="H2184" s="356"/>
      <c r="I2184" s="356"/>
      <c r="J2184" s="356"/>
      <c r="K2184" s="356"/>
    </row>
    <row r="2185" spans="7:11" hidden="1" x14ac:dyDescent="0.2">
      <c r="G2185" s="579"/>
      <c r="H2185" s="356"/>
      <c r="I2185" s="356"/>
      <c r="J2185" s="356"/>
      <c r="K2185" s="356"/>
    </row>
    <row r="2186" spans="7:11" hidden="1" x14ac:dyDescent="0.2">
      <c r="G2186" s="579"/>
      <c r="H2186" s="356"/>
      <c r="I2186" s="356"/>
      <c r="J2186" s="356"/>
      <c r="K2186" s="356"/>
    </row>
    <row r="2187" spans="7:11" hidden="1" x14ac:dyDescent="0.2">
      <c r="G2187" s="579"/>
      <c r="H2187" s="356"/>
      <c r="I2187" s="356"/>
      <c r="J2187" s="356"/>
      <c r="K2187" s="356"/>
    </row>
    <row r="2188" spans="7:11" hidden="1" x14ac:dyDescent="0.2">
      <c r="G2188" s="579"/>
      <c r="H2188" s="356"/>
      <c r="I2188" s="356"/>
      <c r="J2188" s="356"/>
      <c r="K2188" s="356"/>
    </row>
    <row r="2189" spans="7:11" hidden="1" x14ac:dyDescent="0.2">
      <c r="G2189" s="579"/>
      <c r="H2189" s="356"/>
      <c r="I2189" s="356"/>
      <c r="J2189" s="356"/>
      <c r="K2189" s="356"/>
    </row>
    <row r="2190" spans="7:11" hidden="1" x14ac:dyDescent="0.2">
      <c r="G2190" s="579"/>
      <c r="H2190" s="356"/>
      <c r="I2190" s="356"/>
      <c r="J2190" s="356"/>
      <c r="K2190" s="356"/>
    </row>
    <row r="2191" spans="7:11" hidden="1" x14ac:dyDescent="0.2">
      <c r="G2191" s="579"/>
      <c r="H2191" s="356"/>
      <c r="I2191" s="356"/>
      <c r="J2191" s="356"/>
      <c r="K2191" s="356"/>
    </row>
    <row r="2192" spans="7:11" hidden="1" x14ac:dyDescent="0.2">
      <c r="G2192" s="579"/>
      <c r="H2192" s="356"/>
      <c r="I2192" s="356"/>
      <c r="J2192" s="356"/>
      <c r="K2192" s="356"/>
    </row>
    <row r="2193" spans="7:11" hidden="1" x14ac:dyDescent="0.2">
      <c r="G2193" s="579"/>
      <c r="H2193" s="356"/>
      <c r="I2193" s="356"/>
      <c r="J2193" s="356"/>
      <c r="K2193" s="356"/>
    </row>
    <row r="2194" spans="7:11" hidden="1" x14ac:dyDescent="0.2">
      <c r="G2194" s="579"/>
      <c r="H2194" s="356"/>
      <c r="I2194" s="356"/>
      <c r="J2194" s="356"/>
      <c r="K2194" s="356"/>
    </row>
    <row r="2195" spans="7:11" hidden="1" x14ac:dyDescent="0.2">
      <c r="G2195" s="579"/>
      <c r="H2195" s="356"/>
      <c r="I2195" s="356"/>
      <c r="J2195" s="356"/>
      <c r="K2195" s="356"/>
    </row>
    <row r="2196" spans="7:11" hidden="1" x14ac:dyDescent="0.2">
      <c r="G2196" s="579"/>
      <c r="H2196" s="356"/>
      <c r="I2196" s="356"/>
      <c r="J2196" s="356"/>
      <c r="K2196" s="356"/>
    </row>
    <row r="2197" spans="7:11" hidden="1" x14ac:dyDescent="0.2">
      <c r="G2197" s="579"/>
      <c r="H2197" s="356"/>
      <c r="I2197" s="356"/>
      <c r="J2197" s="356"/>
      <c r="K2197" s="356"/>
    </row>
    <row r="2198" spans="7:11" hidden="1" x14ac:dyDescent="0.2">
      <c r="G2198" s="579"/>
      <c r="H2198" s="356"/>
      <c r="I2198" s="356"/>
      <c r="J2198" s="356"/>
      <c r="K2198" s="356"/>
    </row>
    <row r="2199" spans="7:11" hidden="1" x14ac:dyDescent="0.2">
      <c r="G2199" s="579"/>
      <c r="H2199" s="356"/>
      <c r="I2199" s="356"/>
      <c r="J2199" s="356"/>
      <c r="K2199" s="356"/>
    </row>
    <row r="2200" spans="7:11" hidden="1" x14ac:dyDescent="0.2">
      <c r="G2200" s="579"/>
      <c r="H2200" s="356"/>
      <c r="I2200" s="356"/>
      <c r="J2200" s="356"/>
      <c r="K2200" s="356"/>
    </row>
    <row r="2201" spans="7:11" hidden="1" x14ac:dyDescent="0.2">
      <c r="G2201" s="579"/>
      <c r="H2201" s="356"/>
      <c r="I2201" s="356"/>
      <c r="J2201" s="356"/>
      <c r="K2201" s="356"/>
    </row>
    <row r="2202" spans="7:11" hidden="1" x14ac:dyDescent="0.2">
      <c r="G2202" s="579"/>
      <c r="H2202" s="356"/>
      <c r="I2202" s="356"/>
      <c r="J2202" s="356"/>
      <c r="K2202" s="356"/>
    </row>
    <row r="2203" spans="7:11" hidden="1" x14ac:dyDescent="0.2">
      <c r="G2203" s="579"/>
      <c r="H2203" s="356"/>
      <c r="I2203" s="356"/>
      <c r="J2203" s="356"/>
      <c r="K2203" s="356"/>
    </row>
    <row r="2204" spans="7:11" hidden="1" x14ac:dyDescent="0.2">
      <c r="G2204" s="579"/>
      <c r="H2204" s="356"/>
      <c r="I2204" s="356"/>
      <c r="J2204" s="356"/>
      <c r="K2204" s="356"/>
    </row>
    <row r="2205" spans="7:11" hidden="1" x14ac:dyDescent="0.2">
      <c r="G2205" s="579"/>
      <c r="H2205" s="356"/>
      <c r="I2205" s="356"/>
      <c r="J2205" s="356"/>
      <c r="K2205" s="356"/>
    </row>
    <row r="2206" spans="7:11" hidden="1" x14ac:dyDescent="0.2">
      <c r="G2206" s="579"/>
      <c r="H2206" s="356"/>
      <c r="I2206" s="356"/>
      <c r="J2206" s="356"/>
      <c r="K2206" s="356"/>
    </row>
    <row r="2207" spans="7:11" hidden="1" x14ac:dyDescent="0.2">
      <c r="G2207" s="579"/>
      <c r="H2207" s="356"/>
      <c r="I2207" s="356"/>
      <c r="J2207" s="356"/>
      <c r="K2207" s="356"/>
    </row>
    <row r="2208" spans="7:11" hidden="1" x14ac:dyDescent="0.2">
      <c r="G2208" s="579"/>
      <c r="H2208" s="356"/>
      <c r="I2208" s="356"/>
      <c r="J2208" s="356"/>
      <c r="K2208" s="356"/>
    </row>
    <row r="2209" spans="7:11" hidden="1" x14ac:dyDescent="0.2">
      <c r="G2209" s="579"/>
      <c r="H2209" s="356"/>
      <c r="I2209" s="356"/>
      <c r="J2209" s="356"/>
      <c r="K2209" s="356"/>
    </row>
    <row r="2210" spans="7:11" hidden="1" x14ac:dyDescent="0.2">
      <c r="G2210" s="579"/>
      <c r="H2210" s="356"/>
      <c r="I2210" s="356"/>
      <c r="J2210" s="356"/>
      <c r="K2210" s="356"/>
    </row>
    <row r="2211" spans="7:11" hidden="1" x14ac:dyDescent="0.2">
      <c r="G2211" s="579"/>
      <c r="H2211" s="356"/>
      <c r="I2211" s="356"/>
      <c r="J2211" s="356"/>
      <c r="K2211" s="356"/>
    </row>
    <row r="2212" spans="7:11" hidden="1" x14ac:dyDescent="0.2">
      <c r="G2212" s="579"/>
      <c r="H2212" s="356"/>
      <c r="I2212" s="356"/>
      <c r="J2212" s="356"/>
      <c r="K2212" s="356"/>
    </row>
    <row r="2213" spans="7:11" hidden="1" x14ac:dyDescent="0.2">
      <c r="G2213" s="579"/>
      <c r="H2213" s="356"/>
      <c r="I2213" s="356"/>
      <c r="J2213" s="356"/>
      <c r="K2213" s="356"/>
    </row>
    <row r="2214" spans="7:11" hidden="1" x14ac:dyDescent="0.2">
      <c r="G2214" s="579"/>
      <c r="H2214" s="356"/>
      <c r="I2214" s="356"/>
      <c r="J2214" s="356"/>
      <c r="K2214" s="356"/>
    </row>
    <row r="2215" spans="7:11" hidden="1" x14ac:dyDescent="0.2">
      <c r="G2215" s="579"/>
      <c r="H2215" s="356"/>
      <c r="I2215" s="356"/>
      <c r="J2215" s="356"/>
      <c r="K2215" s="356"/>
    </row>
    <row r="2216" spans="7:11" hidden="1" x14ac:dyDescent="0.2">
      <c r="G2216" s="579"/>
      <c r="H2216" s="356"/>
      <c r="I2216" s="356"/>
      <c r="J2216" s="356"/>
      <c r="K2216" s="356"/>
    </row>
    <row r="2217" spans="7:11" hidden="1" x14ac:dyDescent="0.2">
      <c r="G2217" s="579"/>
      <c r="H2217" s="356"/>
      <c r="I2217" s="356"/>
      <c r="J2217" s="356"/>
      <c r="K2217" s="356"/>
    </row>
    <row r="2218" spans="7:11" hidden="1" x14ac:dyDescent="0.2">
      <c r="G2218" s="579"/>
      <c r="H2218" s="356"/>
      <c r="I2218" s="356"/>
      <c r="J2218" s="356"/>
      <c r="K2218" s="356"/>
    </row>
    <row r="2219" spans="7:11" hidden="1" x14ac:dyDescent="0.2">
      <c r="G2219" s="579"/>
      <c r="H2219" s="356"/>
      <c r="I2219" s="356"/>
      <c r="J2219" s="356"/>
      <c r="K2219" s="356"/>
    </row>
    <row r="2220" spans="7:11" hidden="1" x14ac:dyDescent="0.2">
      <c r="G2220" s="579"/>
      <c r="H2220" s="356"/>
      <c r="I2220" s="356"/>
      <c r="J2220" s="356"/>
      <c r="K2220" s="356"/>
    </row>
    <row r="2221" spans="7:11" hidden="1" x14ac:dyDescent="0.2">
      <c r="G2221" s="579"/>
      <c r="H2221" s="356"/>
      <c r="I2221" s="356"/>
      <c r="J2221" s="356"/>
      <c r="K2221" s="356"/>
    </row>
    <row r="2222" spans="7:11" hidden="1" x14ac:dyDescent="0.2">
      <c r="G2222" s="579"/>
      <c r="H2222" s="356"/>
      <c r="I2222" s="356"/>
      <c r="J2222" s="356"/>
      <c r="K2222" s="356"/>
    </row>
    <row r="2223" spans="7:11" hidden="1" x14ac:dyDescent="0.2">
      <c r="G2223" s="579"/>
      <c r="H2223" s="356"/>
      <c r="I2223" s="356"/>
      <c r="J2223" s="356"/>
      <c r="K2223" s="356"/>
    </row>
    <row r="2224" spans="7:11" hidden="1" x14ac:dyDescent="0.2">
      <c r="G2224" s="579"/>
      <c r="H2224" s="356"/>
      <c r="I2224" s="356"/>
      <c r="J2224" s="356"/>
      <c r="K2224" s="356"/>
    </row>
    <row r="2225" spans="7:11" hidden="1" x14ac:dyDescent="0.2">
      <c r="G2225" s="579"/>
      <c r="H2225" s="356"/>
      <c r="I2225" s="356"/>
      <c r="J2225" s="356"/>
      <c r="K2225" s="356"/>
    </row>
    <row r="2226" spans="7:11" hidden="1" x14ac:dyDescent="0.2">
      <c r="G2226" s="579"/>
      <c r="H2226" s="356"/>
      <c r="I2226" s="356"/>
      <c r="J2226" s="356"/>
      <c r="K2226" s="356"/>
    </row>
    <row r="2227" spans="7:11" hidden="1" x14ac:dyDescent="0.2">
      <c r="G2227" s="579"/>
      <c r="H2227" s="356"/>
      <c r="I2227" s="356"/>
      <c r="J2227" s="356"/>
      <c r="K2227" s="356"/>
    </row>
    <row r="2228" spans="7:11" hidden="1" x14ac:dyDescent="0.2">
      <c r="G2228" s="579"/>
      <c r="H2228" s="356"/>
      <c r="I2228" s="356"/>
      <c r="J2228" s="356"/>
      <c r="K2228" s="356"/>
    </row>
    <row r="2229" spans="7:11" hidden="1" x14ac:dyDescent="0.2">
      <c r="G2229" s="579"/>
      <c r="H2229" s="356"/>
      <c r="I2229" s="356"/>
      <c r="J2229" s="356"/>
      <c r="K2229" s="356"/>
    </row>
    <row r="2230" spans="7:11" hidden="1" x14ac:dyDescent="0.2">
      <c r="G2230" s="579"/>
      <c r="H2230" s="356"/>
      <c r="I2230" s="356"/>
      <c r="J2230" s="356"/>
      <c r="K2230" s="356"/>
    </row>
    <row r="2231" spans="7:11" hidden="1" x14ac:dyDescent="0.2">
      <c r="G2231" s="579"/>
      <c r="H2231" s="356"/>
      <c r="I2231" s="356"/>
      <c r="J2231" s="356"/>
      <c r="K2231" s="356"/>
    </row>
    <row r="2232" spans="7:11" hidden="1" x14ac:dyDescent="0.2">
      <c r="G2232" s="579"/>
      <c r="H2232" s="356"/>
      <c r="I2232" s="356"/>
      <c r="J2232" s="356"/>
      <c r="K2232" s="356"/>
    </row>
    <row r="2233" spans="7:11" hidden="1" x14ac:dyDescent="0.2">
      <c r="G2233" s="579"/>
      <c r="H2233" s="356"/>
      <c r="I2233" s="356"/>
      <c r="J2233" s="356"/>
      <c r="K2233" s="356"/>
    </row>
    <row r="2234" spans="7:11" hidden="1" x14ac:dyDescent="0.2">
      <c r="G2234" s="579"/>
      <c r="H2234" s="356"/>
      <c r="I2234" s="356"/>
      <c r="J2234" s="356"/>
      <c r="K2234" s="356"/>
    </row>
    <row r="2235" spans="7:11" hidden="1" x14ac:dyDescent="0.2">
      <c r="G2235" s="579"/>
      <c r="H2235" s="356"/>
      <c r="I2235" s="356"/>
      <c r="J2235" s="356"/>
      <c r="K2235" s="356"/>
    </row>
    <row r="2236" spans="7:11" hidden="1" x14ac:dyDescent="0.2">
      <c r="G2236" s="579"/>
      <c r="H2236" s="356"/>
      <c r="I2236" s="356"/>
      <c r="J2236" s="356"/>
      <c r="K2236" s="356"/>
    </row>
    <row r="2237" spans="7:11" hidden="1" x14ac:dyDescent="0.2">
      <c r="G2237" s="579"/>
      <c r="H2237" s="356"/>
      <c r="I2237" s="356"/>
      <c r="J2237" s="356"/>
      <c r="K2237" s="356"/>
    </row>
    <row r="2238" spans="7:11" hidden="1" x14ac:dyDescent="0.2">
      <c r="G2238" s="579"/>
      <c r="H2238" s="356"/>
      <c r="I2238" s="356"/>
      <c r="J2238" s="356"/>
      <c r="K2238" s="356"/>
    </row>
    <row r="2239" spans="7:11" hidden="1" x14ac:dyDescent="0.2">
      <c r="G2239" s="579"/>
      <c r="H2239" s="356"/>
      <c r="I2239" s="356"/>
      <c r="J2239" s="356"/>
      <c r="K2239" s="356"/>
    </row>
    <row r="2240" spans="7:11" hidden="1" x14ac:dyDescent="0.2">
      <c r="G2240" s="579"/>
      <c r="H2240" s="356"/>
      <c r="I2240" s="356"/>
      <c r="J2240" s="356"/>
      <c r="K2240" s="356"/>
    </row>
    <row r="2241" spans="7:11" hidden="1" x14ac:dyDescent="0.2">
      <c r="G2241" s="579"/>
      <c r="H2241" s="356"/>
      <c r="I2241" s="356"/>
      <c r="J2241" s="356"/>
      <c r="K2241" s="356"/>
    </row>
    <row r="2242" spans="7:11" hidden="1" x14ac:dyDescent="0.2">
      <c r="G2242" s="579"/>
      <c r="H2242" s="356"/>
      <c r="I2242" s="356"/>
      <c r="J2242" s="356"/>
      <c r="K2242" s="356"/>
    </row>
    <row r="2243" spans="7:11" hidden="1" x14ac:dyDescent="0.2">
      <c r="G2243" s="579"/>
      <c r="H2243" s="356"/>
      <c r="I2243" s="356"/>
      <c r="J2243" s="356"/>
      <c r="K2243" s="356"/>
    </row>
    <row r="2244" spans="7:11" hidden="1" x14ac:dyDescent="0.2">
      <c r="G2244" s="579"/>
      <c r="H2244" s="356"/>
      <c r="I2244" s="356"/>
      <c r="J2244" s="356"/>
      <c r="K2244" s="356"/>
    </row>
    <row r="2245" spans="7:11" hidden="1" x14ac:dyDescent="0.2">
      <c r="G2245" s="579"/>
      <c r="H2245" s="356"/>
      <c r="I2245" s="356"/>
      <c r="J2245" s="356"/>
      <c r="K2245" s="356"/>
    </row>
    <row r="2246" spans="7:11" hidden="1" x14ac:dyDescent="0.2">
      <c r="G2246" s="579"/>
      <c r="H2246" s="356"/>
      <c r="I2246" s="356"/>
      <c r="J2246" s="356"/>
      <c r="K2246" s="356"/>
    </row>
    <row r="2247" spans="7:11" hidden="1" x14ac:dyDescent="0.2">
      <c r="G2247" s="579"/>
      <c r="H2247" s="356"/>
      <c r="I2247" s="356"/>
      <c r="J2247" s="356"/>
      <c r="K2247" s="356"/>
    </row>
    <row r="2248" spans="7:11" hidden="1" x14ac:dyDescent="0.2">
      <c r="G2248" s="579"/>
      <c r="H2248" s="356"/>
      <c r="I2248" s="356"/>
      <c r="J2248" s="356"/>
      <c r="K2248" s="356"/>
    </row>
    <row r="2249" spans="7:11" hidden="1" x14ac:dyDescent="0.2">
      <c r="G2249" s="579"/>
      <c r="H2249" s="356"/>
      <c r="I2249" s="356"/>
      <c r="J2249" s="356"/>
      <c r="K2249" s="356"/>
    </row>
    <row r="2250" spans="7:11" hidden="1" x14ac:dyDescent="0.2">
      <c r="G2250" s="579"/>
      <c r="H2250" s="356"/>
      <c r="I2250" s="356"/>
      <c r="J2250" s="356"/>
      <c r="K2250" s="356"/>
    </row>
    <row r="2251" spans="7:11" hidden="1" x14ac:dyDescent="0.2">
      <c r="G2251" s="579"/>
      <c r="H2251" s="356"/>
      <c r="I2251" s="356"/>
      <c r="J2251" s="356"/>
      <c r="K2251" s="356"/>
    </row>
    <row r="2252" spans="7:11" hidden="1" x14ac:dyDescent="0.2">
      <c r="G2252" s="579"/>
      <c r="H2252" s="356"/>
      <c r="I2252" s="356"/>
      <c r="J2252" s="356"/>
      <c r="K2252" s="356"/>
    </row>
    <row r="2253" spans="7:11" hidden="1" x14ac:dyDescent="0.2">
      <c r="G2253" s="579"/>
      <c r="H2253" s="356"/>
      <c r="I2253" s="356"/>
      <c r="J2253" s="356"/>
      <c r="K2253" s="356"/>
    </row>
    <row r="2254" spans="7:11" hidden="1" x14ac:dyDescent="0.2">
      <c r="G2254" s="579"/>
      <c r="H2254" s="356"/>
      <c r="I2254" s="356"/>
      <c r="J2254" s="356"/>
      <c r="K2254" s="356"/>
    </row>
    <row r="2255" spans="7:11" hidden="1" x14ac:dyDescent="0.2">
      <c r="G2255" s="579"/>
      <c r="H2255" s="356"/>
      <c r="I2255" s="356"/>
      <c r="J2255" s="356"/>
      <c r="K2255" s="356"/>
    </row>
    <row r="2256" spans="7:11" hidden="1" x14ac:dyDescent="0.2">
      <c r="G2256" s="579"/>
      <c r="H2256" s="356"/>
      <c r="I2256" s="356"/>
      <c r="J2256" s="356"/>
      <c r="K2256" s="356"/>
    </row>
    <row r="2257" spans="7:11" hidden="1" x14ac:dyDescent="0.2">
      <c r="G2257" s="579"/>
      <c r="H2257" s="356"/>
      <c r="I2257" s="356"/>
      <c r="J2257" s="356"/>
      <c r="K2257" s="356"/>
    </row>
    <row r="2258" spans="7:11" hidden="1" x14ac:dyDescent="0.2">
      <c r="G2258" s="579"/>
      <c r="H2258" s="356"/>
      <c r="I2258" s="356"/>
      <c r="J2258" s="356"/>
      <c r="K2258" s="356"/>
    </row>
    <row r="2259" spans="7:11" hidden="1" x14ac:dyDescent="0.2">
      <c r="G2259" s="579"/>
      <c r="H2259" s="356"/>
      <c r="I2259" s="356"/>
      <c r="J2259" s="356"/>
      <c r="K2259" s="356"/>
    </row>
    <row r="2260" spans="7:11" hidden="1" x14ac:dyDescent="0.2">
      <c r="G2260" s="579"/>
      <c r="H2260" s="356"/>
      <c r="I2260" s="356"/>
      <c r="J2260" s="356"/>
      <c r="K2260" s="356"/>
    </row>
    <row r="2261" spans="7:11" hidden="1" x14ac:dyDescent="0.2">
      <c r="G2261" s="579"/>
      <c r="H2261" s="356"/>
      <c r="I2261" s="356"/>
      <c r="J2261" s="356"/>
      <c r="K2261" s="356"/>
    </row>
    <row r="2262" spans="7:11" hidden="1" x14ac:dyDescent="0.2">
      <c r="G2262" s="579"/>
      <c r="H2262" s="356"/>
      <c r="I2262" s="356"/>
      <c r="J2262" s="356"/>
      <c r="K2262" s="356"/>
    </row>
    <row r="2263" spans="7:11" hidden="1" x14ac:dyDescent="0.2">
      <c r="G2263" s="579"/>
      <c r="H2263" s="356"/>
      <c r="I2263" s="356"/>
      <c r="J2263" s="356"/>
      <c r="K2263" s="356"/>
    </row>
    <row r="2264" spans="7:11" hidden="1" x14ac:dyDescent="0.2">
      <c r="G2264" s="579"/>
      <c r="H2264" s="356"/>
      <c r="I2264" s="356"/>
      <c r="J2264" s="356"/>
      <c r="K2264" s="356"/>
    </row>
    <row r="2265" spans="7:11" hidden="1" x14ac:dyDescent="0.2">
      <c r="G2265" s="579"/>
      <c r="H2265" s="356"/>
      <c r="I2265" s="356"/>
      <c r="J2265" s="356"/>
      <c r="K2265" s="356"/>
    </row>
    <row r="2266" spans="7:11" hidden="1" x14ac:dyDescent="0.2">
      <c r="G2266" s="579"/>
      <c r="H2266" s="356"/>
      <c r="I2266" s="356"/>
      <c r="J2266" s="356"/>
      <c r="K2266" s="356"/>
    </row>
    <row r="2267" spans="7:11" hidden="1" x14ac:dyDescent="0.2">
      <c r="G2267" s="579"/>
      <c r="H2267" s="356"/>
      <c r="I2267" s="356"/>
      <c r="J2267" s="356"/>
      <c r="K2267" s="356"/>
    </row>
    <row r="2268" spans="7:11" hidden="1" x14ac:dyDescent="0.2">
      <c r="G2268" s="579"/>
      <c r="H2268" s="356"/>
      <c r="I2268" s="356"/>
      <c r="J2268" s="356"/>
      <c r="K2268" s="356"/>
    </row>
    <row r="2269" spans="7:11" hidden="1" x14ac:dyDescent="0.2">
      <c r="G2269" s="579"/>
      <c r="H2269" s="356"/>
      <c r="I2269" s="356"/>
      <c r="J2269" s="356"/>
      <c r="K2269" s="356"/>
    </row>
    <row r="2270" spans="7:11" hidden="1" x14ac:dyDescent="0.2">
      <c r="G2270" s="579"/>
      <c r="H2270" s="356"/>
      <c r="I2270" s="356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>
      <selection sqref="A1:B1"/>
    </sheetView>
  </sheetViews>
  <sheetFormatPr defaultColWidth="15.7109375" defaultRowHeight="12.75" x14ac:dyDescent="0.2"/>
  <cols>
    <col min="1" max="6" width="15.7109375" style="356"/>
    <col min="7" max="7" width="2.7109375" style="356" customWidth="1"/>
    <col min="8" max="8" width="21.140625" style="356" bestFit="1" customWidth="1"/>
    <col min="9" max="12" width="15.7109375" style="356"/>
    <col min="13" max="13" width="2.7109375" style="356" customWidth="1"/>
    <col min="14" max="25" width="15.7109375" style="356" hidden="1" customWidth="1"/>
    <col min="26" max="16384" width="15.7109375" style="356"/>
  </cols>
  <sheetData>
    <row r="1" spans="1:46" s="58" customFormat="1" ht="30.75" customHeight="1" x14ac:dyDescent="0.2">
      <c r="A1" s="777" t="s">
        <v>490</v>
      </c>
      <c r="B1" s="777"/>
      <c r="C1" s="778" t="s">
        <v>491</v>
      </c>
      <c r="D1" s="778"/>
      <c r="E1" s="776" t="s">
        <v>492</v>
      </c>
      <c r="F1" s="776"/>
      <c r="J1" s="351"/>
      <c r="Z1" s="563" t="s">
        <v>1954</v>
      </c>
      <c r="AA1" s="357" t="s">
        <v>493</v>
      </c>
      <c r="AB1" s="337" t="s">
        <v>494</v>
      </c>
      <c r="AC1" s="337" t="s">
        <v>495</v>
      </c>
      <c r="AD1" s="776" t="s">
        <v>496</v>
      </c>
      <c r="AE1" s="776"/>
      <c r="AF1" s="776"/>
      <c r="AG1" s="776"/>
      <c r="AH1" s="776"/>
      <c r="AI1" s="776"/>
      <c r="AJ1" s="776"/>
      <c r="AK1" s="357" t="s">
        <v>493</v>
      </c>
      <c r="AL1" s="337" t="s">
        <v>494</v>
      </c>
      <c r="AM1" s="363" t="s">
        <v>497</v>
      </c>
      <c r="AN1" s="363" t="s">
        <v>498</v>
      </c>
      <c r="AO1" s="363" t="s">
        <v>499</v>
      </c>
      <c r="AP1" s="363" t="s">
        <v>500</v>
      </c>
      <c r="AQ1" s="343" t="s">
        <v>501</v>
      </c>
      <c r="AR1" s="343" t="s">
        <v>502</v>
      </c>
      <c r="AS1" s="343" t="s">
        <v>503</v>
      </c>
      <c r="AT1" s="343" t="s">
        <v>504</v>
      </c>
    </row>
    <row r="2" spans="1:46" s="58" customFormat="1" ht="25.5" x14ac:dyDescent="0.2">
      <c r="A2" s="663"/>
      <c r="B2" s="664" t="s">
        <v>505</v>
      </c>
      <c r="C2" s="663"/>
      <c r="D2" s="665" t="s">
        <v>505</v>
      </c>
      <c r="E2" s="663"/>
      <c r="F2" s="663" t="s">
        <v>457</v>
      </c>
      <c r="Y2" s="355"/>
      <c r="Z2" s="358" t="str">
        <f>IF(COUNTIF(AA:AA,"*Peso*")&gt;0,"Peso","Boia")</f>
        <v>Boia</v>
      </c>
      <c r="AA2" s="358"/>
      <c r="AB2" s="358"/>
      <c r="AC2" s="358" t="str">
        <f>IFERROR(VALUE(RIGHT(AA2,LEN(AA2)-MIN(FIND({0;1;2;3;4;5;6;7;8;9},AA2&amp;"0123456789"))+1)),"")</f>
        <v/>
      </c>
      <c r="AD2" s="358">
        <v>1</v>
      </c>
      <c r="AE2" s="358" t="e">
        <f t="shared" ref="AE2:AE33" si="0">SMALL(AB:AB,AD2)</f>
        <v>#NUM!</v>
      </c>
      <c r="AF2" s="358">
        <f t="shared" ref="AF2:AF33" si="1">SUMIF(AB:AB,AE2,AC:AC)</f>
        <v>0</v>
      </c>
      <c r="AG2" s="358" t="str">
        <f>IFERROR(IF(AF2=0,"",IF(AND(AE2=AE1,AF2=AF1),"",AE2)),"")</f>
        <v/>
      </c>
      <c r="AH2" s="358" t="str">
        <f>IF(AF2=0,"",AF2)</f>
        <v/>
      </c>
      <c r="AI2" s="358">
        <v>1</v>
      </c>
      <c r="AJ2" s="358">
        <v>1</v>
      </c>
      <c r="AK2" s="358" t="str">
        <f>IF($Z$2="Peso",SUM(AH:AH),IFERROR(INDEX(AG2:AI121,MATCH(AJ2,AI2:AI121,0),2),""))</f>
        <v/>
      </c>
      <c r="AL2" s="358" t="str">
        <f>IF($Z$2="Peso",_xlfn.CONCAT(MIN(AG2:AG120)," : ",MAX(AG2:AG120)),IFERROR(INDEX(AG2:AI120,MATCH(AJ2,AI2:AI120,0),1),""))</f>
        <v/>
      </c>
      <c r="AM2" s="358"/>
      <c r="AN2" s="358"/>
      <c r="AO2" s="358"/>
      <c r="AP2" s="358"/>
      <c r="AQ2" s="358"/>
      <c r="AR2" s="358"/>
      <c r="AS2" s="358"/>
      <c r="AT2" s="358"/>
    </row>
    <row r="3" spans="1:46" s="58" customFormat="1" x14ac:dyDescent="0.2">
      <c r="A3" s="358"/>
      <c r="B3" s="358"/>
      <c r="C3" s="364"/>
      <c r="D3" s="359"/>
      <c r="E3" s="364"/>
      <c r="F3" s="364"/>
      <c r="H3" s="362" t="s">
        <v>1325</v>
      </c>
      <c r="I3" s="562" t="s">
        <v>1756</v>
      </c>
      <c r="J3" s="562" t="s">
        <v>457</v>
      </c>
      <c r="K3" s="562" t="s">
        <v>508</v>
      </c>
      <c r="L3" s="562" t="s">
        <v>1805</v>
      </c>
      <c r="AA3" s="358"/>
      <c r="AB3" s="358"/>
      <c r="AC3" s="358" t="str">
        <f>IFERROR(VALUE(RIGHT(AA3,LEN(AA3)-MIN(FIND({0;1;2;3;4;5;6;7;8;9},AA3&amp;"0123456789"))+1)),"")</f>
        <v/>
      </c>
      <c r="AD3" s="358" t="str">
        <f xml:space="preserve"> IF(AA3&lt;&gt;"",AD2+1,"")</f>
        <v/>
      </c>
      <c r="AE3" s="358" t="e">
        <f t="shared" si="0"/>
        <v>#VALUE!</v>
      </c>
      <c r="AF3" s="358">
        <f t="shared" si="1"/>
        <v>0</v>
      </c>
      <c r="AG3" s="358" t="str">
        <f t="shared" ref="AG3:AG66" si="2">IFERROR(IF(AF3=0,"",IF(AND(AE3=AE2,AF3=AF2),"",AE3)),"")</f>
        <v/>
      </c>
      <c r="AH3" s="358" t="str">
        <f t="shared" ref="AH3:AH66" si="3">IF(AF3=0,"",AF3)</f>
        <v/>
      </c>
      <c r="AI3" s="358" t="str">
        <f>IF(AG3="","",MAX($AI$2:AI2)+1)</f>
        <v/>
      </c>
      <c r="AJ3" s="358" t="str">
        <f xml:space="preserve"> IF(AA3&lt;&gt;"",AJ2+1,"")</f>
        <v/>
      </c>
      <c r="AK3" s="358" t="str">
        <f>IF($Z$2="Peso"," ",IFERROR(INDEX(AG3:AI121,MATCH(AJ3,AI3:AI121,0),2),""))</f>
        <v/>
      </c>
      <c r="AL3" s="358" t="str">
        <f>IF($Z$2="Peso","",IFERROR(INDEX(AG3:AI120,MATCH(AJ3,AI3:AI120,0),1),""))</f>
        <v/>
      </c>
      <c r="AM3" s="358"/>
      <c r="AN3" s="358"/>
      <c r="AO3" s="358"/>
      <c r="AP3" s="358"/>
      <c r="AQ3" s="358"/>
      <c r="AR3" s="358"/>
      <c r="AS3" s="358"/>
      <c r="AT3" s="358"/>
    </row>
    <row r="4" spans="1:46" s="58" customFormat="1" x14ac:dyDescent="0.2">
      <c r="A4" s="358"/>
      <c r="B4" s="358"/>
      <c r="C4" s="364"/>
      <c r="D4" s="359"/>
      <c r="E4" s="364"/>
      <c r="F4" s="364"/>
      <c r="H4" s="568" t="s">
        <v>506</v>
      </c>
      <c r="I4" s="108" t="e">
        <f>VLOOKUP(-0.001,B13:E2003,4,TRUE)</f>
        <v>#N/A</v>
      </c>
      <c r="J4" s="108" t="e">
        <f>VLOOKUP(I4,E:F,2,FALSE)</f>
        <v>#N/A</v>
      </c>
      <c r="K4" s="431" t="s">
        <v>1380</v>
      </c>
      <c r="L4" s="431" t="s">
        <v>1380</v>
      </c>
      <c r="AA4" s="358"/>
      <c r="AB4" s="358"/>
      <c r="AC4" s="358" t="str">
        <f>IFERROR(VALUE(RIGHT(AA4,LEN(AA4)-MIN(FIND({0;1;2;3;4;5;6;7;8;9},AA4&amp;"0123456789"))+1)),"")</f>
        <v/>
      </c>
      <c r="AD4" s="358" t="str">
        <f t="shared" ref="AD4:AD67" si="4" xml:space="preserve"> IF(AA4&lt;&gt;"",AD3+1,"")</f>
        <v/>
      </c>
      <c r="AE4" s="358" t="e">
        <f t="shared" si="0"/>
        <v>#VALUE!</v>
      </c>
      <c r="AF4" s="358">
        <f t="shared" si="1"/>
        <v>0</v>
      </c>
      <c r="AG4" s="358" t="str">
        <f t="shared" si="2"/>
        <v/>
      </c>
      <c r="AH4" s="358" t="str">
        <f t="shared" si="3"/>
        <v/>
      </c>
      <c r="AI4" s="358" t="str">
        <f>IF(AG4="","",MAX($AI$2:AI3)+1)</f>
        <v/>
      </c>
      <c r="AJ4" s="358" t="str">
        <f t="shared" ref="AJ4:AJ67" si="5" xml:space="preserve"> IF(AA4&lt;&gt;"",AJ3+1,"")</f>
        <v/>
      </c>
      <c r="AK4" s="358" t="str">
        <f>IF($Z$2="Peso"," ",IFERROR(INDEX(AG4:AI121,MATCH(AJ4,AI4:AI121,0),2),""))</f>
        <v/>
      </c>
      <c r="AL4" s="358" t="str">
        <f t="shared" ref="AL4:AL67" si="6">IF($Z$2="Peso","",IFERROR(INDEX(AG4:AI121,MATCH(AJ4,AI4:AI121,0),1),""))</f>
        <v/>
      </c>
      <c r="AM4" s="358"/>
      <c r="AN4" s="358"/>
      <c r="AO4" s="358"/>
      <c r="AP4" s="358"/>
      <c r="AQ4" s="358"/>
      <c r="AR4" s="358"/>
      <c r="AS4" s="358"/>
      <c r="AT4" s="358"/>
    </row>
    <row r="5" spans="1:46" s="58" customFormat="1" x14ac:dyDescent="0.2">
      <c r="A5" s="358"/>
      <c r="B5" s="358"/>
      <c r="C5" s="364"/>
      <c r="D5" s="359"/>
      <c r="E5" s="364"/>
      <c r="F5" s="364"/>
      <c r="H5" s="568" t="s">
        <v>325</v>
      </c>
      <c r="I5" s="108">
        <f>MAX(E:E)</f>
        <v>0</v>
      </c>
      <c r="J5" s="108" t="e">
        <f>VLOOKUP(I5,E:F,2,FALSE)</f>
        <v>#N/A</v>
      </c>
      <c r="K5" s="431" t="s">
        <v>1380</v>
      </c>
      <c r="L5" s="431" t="s">
        <v>1380</v>
      </c>
      <c r="AA5" s="358"/>
      <c r="AB5" s="358"/>
      <c r="AC5" s="358" t="str">
        <f>IFERROR(VALUE(RIGHT(AA5,LEN(AA5)-MIN(FIND({0;1;2;3;4;5;6;7;8;9},AA5&amp;"0123456789"))+1)),"")</f>
        <v/>
      </c>
      <c r="AD5" s="358" t="str">
        <f t="shared" si="4"/>
        <v/>
      </c>
      <c r="AE5" s="358" t="e">
        <f t="shared" si="0"/>
        <v>#VALUE!</v>
      </c>
      <c r="AF5" s="358">
        <f t="shared" si="1"/>
        <v>0</v>
      </c>
      <c r="AG5" s="358" t="str">
        <f t="shared" si="2"/>
        <v/>
      </c>
      <c r="AH5" s="358" t="str">
        <f t="shared" si="3"/>
        <v/>
      </c>
      <c r="AI5" s="358" t="str">
        <f>IF(AG5="","",MAX($AI$2:AI4)+1)</f>
        <v/>
      </c>
      <c r="AJ5" s="358" t="str">
        <f t="shared" si="5"/>
        <v/>
      </c>
      <c r="AK5" s="358" t="str">
        <f t="shared" ref="AK5:AK67" si="7">IF($Z$2="Peso","",IFERROR(INDEX(AG5:AI122,MATCH(AJ5,AI5:AI122,0),2),""))</f>
        <v/>
      </c>
      <c r="AL5" s="358" t="str">
        <f t="shared" si="6"/>
        <v/>
      </c>
      <c r="AM5" s="358"/>
      <c r="AN5" s="358"/>
      <c r="AO5" s="358"/>
      <c r="AP5" s="358"/>
      <c r="AQ5" s="358"/>
      <c r="AR5" s="358"/>
      <c r="AS5" s="358"/>
      <c r="AT5" s="358"/>
    </row>
    <row r="6" spans="1:46" s="58" customFormat="1" x14ac:dyDescent="0.2">
      <c r="A6" s="358"/>
      <c r="B6" s="358"/>
      <c r="C6" s="364"/>
      <c r="D6" s="359"/>
      <c r="E6" s="364"/>
      <c r="F6" s="364"/>
      <c r="H6" s="568" t="s">
        <v>509</v>
      </c>
      <c r="I6" s="108">
        <f>$I$5-case2_est_position_corc1</f>
        <v>0</v>
      </c>
      <c r="J6" s="431" t="s">
        <v>1380</v>
      </c>
      <c r="K6" s="365" t="e">
        <f>VLOOKUP($I$6,$A:$B,2,TRUE)</f>
        <v>#N/A</v>
      </c>
      <c r="L6" s="108" t="e">
        <f>MATCH(K6,B1:B2003,0)</f>
        <v>#N/A</v>
      </c>
      <c r="AA6" s="358"/>
      <c r="AB6" s="358"/>
      <c r="AC6" s="358" t="str">
        <f>IFERROR(VALUE(RIGHT(AA6,LEN(AA6)-MIN(FIND({0;1;2;3;4;5;6;7;8;9},AA6&amp;"0123456789"))+1)),"")</f>
        <v/>
      </c>
      <c r="AD6" s="358" t="str">
        <f t="shared" si="4"/>
        <v/>
      </c>
      <c r="AE6" s="358" t="e">
        <f t="shared" si="0"/>
        <v>#VALUE!</v>
      </c>
      <c r="AF6" s="358">
        <f t="shared" si="1"/>
        <v>0</v>
      </c>
      <c r="AG6" s="358" t="str">
        <f t="shared" si="2"/>
        <v/>
      </c>
      <c r="AH6" s="358" t="str">
        <f t="shared" si="3"/>
        <v/>
      </c>
      <c r="AI6" s="358" t="str">
        <f>IF(AG6="","",MAX($AI$2:AI5)+1)</f>
        <v/>
      </c>
      <c r="AJ6" s="358" t="str">
        <f t="shared" si="5"/>
        <v/>
      </c>
      <c r="AK6" s="358" t="str">
        <f t="shared" si="7"/>
        <v/>
      </c>
      <c r="AL6" s="358" t="str">
        <f t="shared" si="6"/>
        <v/>
      </c>
      <c r="AM6" s="358"/>
      <c r="AN6" s="358"/>
      <c r="AO6" s="358"/>
      <c r="AP6" s="358"/>
      <c r="AQ6" s="358"/>
      <c r="AR6" s="358"/>
      <c r="AS6" s="358"/>
      <c r="AT6" s="358"/>
    </row>
    <row r="7" spans="1:46" s="58" customFormat="1" x14ac:dyDescent="0.2">
      <c r="A7" s="358"/>
      <c r="B7" s="358"/>
      <c r="C7" s="364"/>
      <c r="D7" s="359"/>
      <c r="E7" s="364"/>
      <c r="F7" s="364"/>
      <c r="H7" s="568" t="s">
        <v>510</v>
      </c>
      <c r="I7" s="108">
        <f>$I$5-case2_est_position_corc2</f>
        <v>0</v>
      </c>
      <c r="J7" s="431" t="s">
        <v>1380</v>
      </c>
      <c r="K7" s="365" t="e">
        <f>VLOOKUP($I$7,$A:$B,2,TRUE)</f>
        <v>#N/A</v>
      </c>
      <c r="L7" s="108" t="e">
        <f>MATCH(K7,B1:B2003,0)</f>
        <v>#N/A</v>
      </c>
      <c r="AA7" s="358"/>
      <c r="AB7" s="358"/>
      <c r="AC7" s="358" t="str">
        <f>IFERROR(VALUE(RIGHT(AA7,LEN(AA7)-MIN(FIND({0;1;2;3;4;5;6;7;8;9},AA7&amp;"0123456789"))+1)),"")</f>
        <v/>
      </c>
      <c r="AD7" s="358" t="str">
        <f t="shared" si="4"/>
        <v/>
      </c>
      <c r="AE7" s="358" t="e">
        <f t="shared" si="0"/>
        <v>#VALUE!</v>
      </c>
      <c r="AF7" s="358">
        <f t="shared" si="1"/>
        <v>0</v>
      </c>
      <c r="AG7" s="358" t="str">
        <f t="shared" si="2"/>
        <v/>
      </c>
      <c r="AH7" s="358" t="str">
        <f t="shared" si="3"/>
        <v/>
      </c>
      <c r="AI7" s="358" t="str">
        <f>IF(AG7="","",MAX($AI$2:AI6)+1)</f>
        <v/>
      </c>
      <c r="AJ7" s="358" t="str">
        <f t="shared" si="5"/>
        <v/>
      </c>
      <c r="AK7" s="358" t="str">
        <f t="shared" si="7"/>
        <v/>
      </c>
      <c r="AL7" s="358" t="str">
        <f t="shared" si="6"/>
        <v/>
      </c>
      <c r="AM7" s="358"/>
      <c r="AN7" s="358"/>
      <c r="AO7" s="358"/>
      <c r="AP7" s="358"/>
      <c r="AQ7" s="358"/>
      <c r="AR7" s="358"/>
      <c r="AS7" s="358"/>
      <c r="AT7" s="358"/>
    </row>
    <row r="8" spans="1:46" s="58" customFormat="1" x14ac:dyDescent="0.2">
      <c r="A8" s="358"/>
      <c r="B8" s="358"/>
      <c r="C8" s="358"/>
      <c r="D8" s="359"/>
      <c r="E8" s="364"/>
      <c r="F8" s="364"/>
      <c r="H8" s="568" t="s">
        <v>507</v>
      </c>
      <c r="I8" s="108" t="s">
        <v>1380</v>
      </c>
      <c r="J8" s="108" t="s">
        <v>1380</v>
      </c>
      <c r="K8" s="610" t="e">
        <f ca="1">MAX(INDIRECT("B"&amp;L7&amp;":B"&amp;L6))</f>
        <v>#N/A</v>
      </c>
      <c r="L8" s="431" t="s">
        <v>1380</v>
      </c>
      <c r="AA8" s="358"/>
      <c r="AB8" s="358"/>
      <c r="AC8" s="358" t="str">
        <f>IFERROR(VALUE(RIGHT(AA8,LEN(AA8)-MIN(FIND({0;1;2;3;4;5;6;7;8;9},AA8&amp;"0123456789"))+1)),"")</f>
        <v/>
      </c>
      <c r="AD8" s="358" t="str">
        <f t="shared" si="4"/>
        <v/>
      </c>
      <c r="AE8" s="358" t="e">
        <f t="shared" si="0"/>
        <v>#VALUE!</v>
      </c>
      <c r="AF8" s="358">
        <f t="shared" si="1"/>
        <v>0</v>
      </c>
      <c r="AG8" s="358" t="str">
        <f t="shared" si="2"/>
        <v/>
      </c>
      <c r="AH8" s="358" t="str">
        <f t="shared" si="3"/>
        <v/>
      </c>
      <c r="AI8" s="358" t="str">
        <f>IF(AG8="","",MAX($AI$2:AI7)+1)</f>
        <v/>
      </c>
      <c r="AJ8" s="358" t="str">
        <f t="shared" si="5"/>
        <v/>
      </c>
      <c r="AK8" s="358" t="str">
        <f t="shared" si="7"/>
        <v/>
      </c>
      <c r="AL8" s="358" t="str">
        <f t="shared" si="6"/>
        <v/>
      </c>
      <c r="AM8" s="358"/>
      <c r="AN8" s="358"/>
      <c r="AO8" s="358"/>
      <c r="AP8" s="358"/>
      <c r="AQ8" s="358"/>
      <c r="AR8" s="358"/>
      <c r="AS8" s="358"/>
      <c r="AT8" s="358"/>
    </row>
    <row r="9" spans="1:46" s="58" customFormat="1" x14ac:dyDescent="0.2">
      <c r="A9" s="358"/>
      <c r="B9" s="358"/>
      <c r="C9" s="358"/>
      <c r="D9" s="359"/>
      <c r="E9" s="364"/>
      <c r="F9" s="364"/>
      <c r="H9" s="568" t="s">
        <v>511</v>
      </c>
      <c r="I9" s="365" t="s">
        <v>1380</v>
      </c>
      <c r="J9" s="431" t="s">
        <v>1380</v>
      </c>
      <c r="K9" s="611" t="e">
        <f ca="1">MIN(INDIRECT("B"&amp;$K$13&amp;":B"&amp;$K$14))</f>
        <v>#N/A</v>
      </c>
      <c r="L9" s="431" t="s">
        <v>1380</v>
      </c>
      <c r="AA9" s="358"/>
      <c r="AB9" s="358"/>
      <c r="AC9" s="358" t="str">
        <f>IFERROR(VALUE(RIGHT(AA9,LEN(AA9)-MIN(FIND({0;1;2;3;4;5;6;7;8;9},AA9&amp;"0123456789"))+1)),"")</f>
        <v/>
      </c>
      <c r="AD9" s="358" t="str">
        <f t="shared" si="4"/>
        <v/>
      </c>
      <c r="AE9" s="358" t="e">
        <f t="shared" si="0"/>
        <v>#VALUE!</v>
      </c>
      <c r="AF9" s="358">
        <f t="shared" si="1"/>
        <v>0</v>
      </c>
      <c r="AG9" s="358" t="str">
        <f t="shared" si="2"/>
        <v/>
      </c>
      <c r="AH9" s="358" t="str">
        <f t="shared" si="3"/>
        <v/>
      </c>
      <c r="AI9" s="358" t="str">
        <f>IF(AG9="","",MAX($AI$2:AI8)+1)</f>
        <v/>
      </c>
      <c r="AJ9" s="358" t="str">
        <f t="shared" si="5"/>
        <v/>
      </c>
      <c r="AK9" s="358" t="str">
        <f t="shared" si="7"/>
        <v/>
      </c>
      <c r="AL9" s="358" t="str">
        <f t="shared" si="6"/>
        <v/>
      </c>
      <c r="AM9" s="358"/>
      <c r="AN9" s="358"/>
      <c r="AO9" s="358"/>
      <c r="AP9" s="358"/>
      <c r="AQ9" s="358"/>
      <c r="AR9" s="358"/>
      <c r="AS9" s="358"/>
      <c r="AT9" s="358"/>
    </row>
    <row r="10" spans="1:46" s="58" customFormat="1" x14ac:dyDescent="0.2">
      <c r="A10" s="358"/>
      <c r="B10" s="358"/>
      <c r="C10" s="358"/>
      <c r="D10" s="359"/>
      <c r="E10" s="364"/>
      <c r="F10" s="364"/>
      <c r="H10" s="568" t="s">
        <v>1755</v>
      </c>
      <c r="I10" s="365" t="s">
        <v>1380</v>
      </c>
      <c r="J10" s="431" t="s">
        <v>1380</v>
      </c>
      <c r="K10" s="611" t="e">
        <f ca="1">MIN(INDIRECT("D"&amp;$L$13&amp;":D"&amp;$L$14))</f>
        <v>#N/A</v>
      </c>
      <c r="L10" s="431" t="s">
        <v>1380</v>
      </c>
      <c r="AA10" s="358"/>
      <c r="AB10" s="358"/>
      <c r="AC10" s="358" t="str">
        <f>IFERROR(VALUE(RIGHT(AA10,LEN(AA10)-MIN(FIND({0;1;2;3;4;5;6;7;8;9},AA10&amp;"0123456789"))+1)),"")</f>
        <v/>
      </c>
      <c r="AD10" s="358" t="str">
        <f t="shared" si="4"/>
        <v/>
      </c>
      <c r="AE10" s="358" t="e">
        <f t="shared" si="0"/>
        <v>#VALUE!</v>
      </c>
      <c r="AF10" s="358">
        <f t="shared" si="1"/>
        <v>0</v>
      </c>
      <c r="AG10" s="358" t="str">
        <f t="shared" si="2"/>
        <v/>
      </c>
      <c r="AH10" s="358" t="str">
        <f t="shared" si="3"/>
        <v/>
      </c>
      <c r="AI10" s="358" t="str">
        <f>IF(AG10="","",MAX($AI$2:AI9)+1)</f>
        <v/>
      </c>
      <c r="AJ10" s="358" t="str">
        <f t="shared" si="5"/>
        <v/>
      </c>
      <c r="AK10" s="358" t="str">
        <f t="shared" si="7"/>
        <v/>
      </c>
      <c r="AL10" s="358" t="str">
        <f t="shared" si="6"/>
        <v/>
      </c>
      <c r="AM10" s="358"/>
      <c r="AN10" s="358"/>
      <c r="AO10" s="358"/>
      <c r="AP10" s="358"/>
      <c r="AQ10" s="358"/>
      <c r="AR10" s="358"/>
      <c r="AS10" s="358"/>
      <c r="AT10" s="358"/>
    </row>
    <row r="11" spans="1:46" s="58" customFormat="1" x14ac:dyDescent="0.2">
      <c r="A11" s="358"/>
      <c r="B11" s="358"/>
      <c r="C11" s="358"/>
      <c r="D11" s="359"/>
      <c r="E11" s="364"/>
      <c r="F11" s="364"/>
      <c r="AA11" s="358"/>
      <c r="AB11" s="358"/>
      <c r="AC11" s="358" t="str">
        <f>IFERROR(VALUE(RIGHT(AA11,LEN(AA11)-MIN(FIND({0;1;2;3;4;5;6;7;8;9},AA11&amp;"0123456789"))+1)),"")</f>
        <v/>
      </c>
      <c r="AD11" s="358" t="str">
        <f t="shared" si="4"/>
        <v/>
      </c>
      <c r="AE11" s="358" t="e">
        <f t="shared" si="0"/>
        <v>#VALUE!</v>
      </c>
      <c r="AF11" s="358">
        <f t="shared" si="1"/>
        <v>0</v>
      </c>
      <c r="AG11" s="358" t="str">
        <f t="shared" si="2"/>
        <v/>
      </c>
      <c r="AH11" s="358" t="str">
        <f t="shared" si="3"/>
        <v/>
      </c>
      <c r="AI11" s="358" t="str">
        <f>IF(AG11="","",MAX($AI$2:AI10)+1)</f>
        <v/>
      </c>
      <c r="AJ11" s="358" t="str">
        <f t="shared" si="5"/>
        <v/>
      </c>
      <c r="AK11" s="358" t="str">
        <f t="shared" si="7"/>
        <v/>
      </c>
      <c r="AL11" s="358" t="str">
        <f t="shared" si="6"/>
        <v/>
      </c>
      <c r="AM11" s="358"/>
      <c r="AN11" s="358"/>
      <c r="AO11" s="358"/>
      <c r="AP11" s="358"/>
      <c r="AQ11" s="358"/>
      <c r="AR11" s="358"/>
      <c r="AS11" s="358"/>
      <c r="AT11" s="358"/>
    </row>
    <row r="12" spans="1:46" s="58" customFormat="1" x14ac:dyDescent="0.2">
      <c r="A12" s="358"/>
      <c r="B12" s="358"/>
      <c r="C12" s="364"/>
      <c r="D12" s="359"/>
      <c r="E12" s="364"/>
      <c r="F12" s="364"/>
      <c r="H12" s="337" t="s">
        <v>512</v>
      </c>
      <c r="I12" s="179">
        <f>MAX(C3:C476)</f>
        <v>0</v>
      </c>
      <c r="K12" s="337" t="s">
        <v>513</v>
      </c>
      <c r="L12" s="337" t="s">
        <v>1754</v>
      </c>
      <c r="AA12" s="358"/>
      <c r="AB12" s="358"/>
      <c r="AC12" s="358" t="str">
        <f>IFERROR(VALUE(RIGHT(AA12,LEN(AA12)-MIN(FIND({0;1;2;3;4;5;6;7;8;9},AA12&amp;"0123456789"))+1)),"")</f>
        <v/>
      </c>
      <c r="AD12" s="358" t="str">
        <f t="shared" si="4"/>
        <v/>
      </c>
      <c r="AE12" s="358" t="e">
        <f t="shared" si="0"/>
        <v>#VALUE!</v>
      </c>
      <c r="AF12" s="358">
        <f t="shared" si="1"/>
        <v>0</v>
      </c>
      <c r="AG12" s="358" t="str">
        <f t="shared" si="2"/>
        <v/>
      </c>
      <c r="AH12" s="358" t="str">
        <f t="shared" si="3"/>
        <v/>
      </c>
      <c r="AI12" s="358" t="str">
        <f>IF(AG12="","",MAX($AI$2:AI11)+1)</f>
        <v/>
      </c>
      <c r="AJ12" s="358" t="str">
        <f t="shared" si="5"/>
        <v/>
      </c>
      <c r="AK12" s="358" t="str">
        <f t="shared" si="7"/>
        <v/>
      </c>
      <c r="AL12" s="358" t="str">
        <f t="shared" si="6"/>
        <v/>
      </c>
      <c r="AM12" s="358"/>
      <c r="AN12" s="358"/>
      <c r="AO12" s="358"/>
      <c r="AP12" s="358"/>
      <c r="AQ12" s="358"/>
      <c r="AR12" s="358"/>
      <c r="AS12" s="358"/>
      <c r="AT12" s="358"/>
    </row>
    <row r="13" spans="1:46" s="58" customFormat="1" x14ac:dyDescent="0.2">
      <c r="A13" s="358"/>
      <c r="B13" s="358"/>
      <c r="C13" s="358"/>
      <c r="D13" s="359"/>
      <c r="E13" s="364"/>
      <c r="F13" s="364"/>
      <c r="K13" s="364" t="e">
        <f>MATCH($I$7,$A:$A,1)</f>
        <v>#N/A</v>
      </c>
      <c r="L13" s="365">
        <v>3</v>
      </c>
      <c r="AA13" s="358"/>
      <c r="AB13" s="358"/>
      <c r="AC13" s="358" t="str">
        <f>IFERROR(VALUE(RIGHT(AA13,LEN(AA13)-MIN(FIND({0;1;2;3;4;5;6;7;8;9},AA13&amp;"0123456789"))+1)),"")</f>
        <v/>
      </c>
      <c r="AD13" s="358" t="str">
        <f t="shared" si="4"/>
        <v/>
      </c>
      <c r="AE13" s="358" t="e">
        <f t="shared" si="0"/>
        <v>#VALUE!</v>
      </c>
      <c r="AF13" s="358">
        <f t="shared" si="1"/>
        <v>0</v>
      </c>
      <c r="AG13" s="358" t="str">
        <f t="shared" si="2"/>
        <v/>
      </c>
      <c r="AH13" s="358" t="str">
        <f t="shared" si="3"/>
        <v/>
      </c>
      <c r="AI13" s="358" t="str">
        <f>IF(AG13="","",MAX($AI$2:AI12)+1)</f>
        <v/>
      </c>
      <c r="AJ13" s="358" t="str">
        <f t="shared" si="5"/>
        <v/>
      </c>
      <c r="AK13" s="358" t="str">
        <f t="shared" si="7"/>
        <v/>
      </c>
      <c r="AL13" s="358" t="str">
        <f t="shared" si="6"/>
        <v/>
      </c>
      <c r="AM13" s="358"/>
      <c r="AN13" s="358"/>
      <c r="AO13" s="358"/>
      <c r="AP13" s="358"/>
      <c r="AQ13" s="358"/>
      <c r="AR13" s="358"/>
      <c r="AS13" s="358"/>
      <c r="AT13" s="358"/>
    </row>
    <row r="14" spans="1:46" s="58" customFormat="1" ht="12.75" customHeight="1" x14ac:dyDescent="0.2">
      <c r="A14" s="358"/>
      <c r="B14" s="358"/>
      <c r="C14" s="364"/>
      <c r="D14" s="359"/>
      <c r="E14" s="364"/>
      <c r="F14" s="364"/>
      <c r="K14" s="358" t="e">
        <f>MATCH($I$5,$A:$A,0)</f>
        <v>#N/A</v>
      </c>
      <c r="L14" s="358" t="e">
        <f>MATCH(I12,$C:$C,0)</f>
        <v>#N/A</v>
      </c>
      <c r="AA14" s="358"/>
      <c r="AB14" s="358"/>
      <c r="AC14" s="358" t="str">
        <f>IFERROR(VALUE(RIGHT(AA14,LEN(AA14)-MIN(FIND({0;1;2;3;4;5;6;7;8;9},AA14&amp;"0123456789"))+1)),"")</f>
        <v/>
      </c>
      <c r="AD14" s="358" t="str">
        <f t="shared" si="4"/>
        <v/>
      </c>
      <c r="AE14" s="358" t="e">
        <f t="shared" si="0"/>
        <v>#VALUE!</v>
      </c>
      <c r="AF14" s="358">
        <f t="shared" si="1"/>
        <v>0</v>
      </c>
      <c r="AG14" s="358" t="str">
        <f t="shared" si="2"/>
        <v/>
      </c>
      <c r="AH14" s="358" t="str">
        <f t="shared" si="3"/>
        <v/>
      </c>
      <c r="AI14" s="358" t="str">
        <f>IF(AG14="","",MAX($AI$2:AI13)+1)</f>
        <v/>
      </c>
      <c r="AJ14" s="358" t="str">
        <f t="shared" si="5"/>
        <v/>
      </c>
      <c r="AK14" s="358" t="str">
        <f t="shared" si="7"/>
        <v/>
      </c>
      <c r="AL14" s="358" t="str">
        <f t="shared" si="6"/>
        <v/>
      </c>
      <c r="AM14" s="358"/>
      <c r="AN14" s="358"/>
      <c r="AO14" s="358"/>
      <c r="AP14" s="358"/>
      <c r="AQ14" s="358"/>
      <c r="AR14" s="358"/>
      <c r="AS14" s="358"/>
      <c r="AT14" s="358"/>
    </row>
    <row r="15" spans="1:46" s="58" customFormat="1" x14ac:dyDescent="0.2">
      <c r="A15" s="358"/>
      <c r="B15" s="358"/>
      <c r="C15" s="358"/>
      <c r="D15" s="359"/>
      <c r="E15" s="364"/>
      <c r="F15" s="364"/>
      <c r="AA15" s="358"/>
      <c r="AB15" s="358"/>
      <c r="AC15" s="358" t="str">
        <f>IFERROR(VALUE(RIGHT(AA15,LEN(AA15)-MIN(FIND({0;1;2;3;4;5;6;7;8;9},AA15&amp;"0123456789"))+1)),"")</f>
        <v/>
      </c>
      <c r="AD15" s="358" t="str">
        <f t="shared" si="4"/>
        <v/>
      </c>
      <c r="AE15" s="358" t="e">
        <f t="shared" si="0"/>
        <v>#VALUE!</v>
      </c>
      <c r="AF15" s="358">
        <f t="shared" si="1"/>
        <v>0</v>
      </c>
      <c r="AG15" s="358" t="str">
        <f t="shared" si="2"/>
        <v/>
      </c>
      <c r="AH15" s="358" t="str">
        <f t="shared" si="3"/>
        <v/>
      </c>
      <c r="AI15" s="358" t="str">
        <f>IF(AG15="","",MAX($AI$2:AI14)+1)</f>
        <v/>
      </c>
      <c r="AJ15" s="358" t="str">
        <f t="shared" si="5"/>
        <v/>
      </c>
      <c r="AK15" s="358" t="str">
        <f t="shared" si="7"/>
        <v/>
      </c>
      <c r="AL15" s="358" t="str">
        <f t="shared" si="6"/>
        <v/>
      </c>
      <c r="AM15" s="358"/>
      <c r="AN15" s="358"/>
      <c r="AO15" s="358"/>
      <c r="AP15" s="358"/>
      <c r="AQ15" s="358"/>
      <c r="AR15" s="358"/>
      <c r="AS15" s="358"/>
      <c r="AT15" s="358"/>
    </row>
    <row r="16" spans="1:46" s="58" customFormat="1" x14ac:dyDescent="0.2">
      <c r="A16" s="358"/>
      <c r="B16" s="358"/>
      <c r="C16" s="358"/>
      <c r="D16" s="359"/>
      <c r="E16" s="364"/>
      <c r="F16" s="364"/>
      <c r="AA16" s="358"/>
      <c r="AB16" s="358"/>
      <c r="AC16" s="358" t="str">
        <f>IFERROR(VALUE(RIGHT(AA16,LEN(AA16)-MIN(FIND({0;1;2;3;4;5;6;7;8;9},AA16&amp;"0123456789"))+1)),"")</f>
        <v/>
      </c>
      <c r="AD16" s="358" t="str">
        <f t="shared" si="4"/>
        <v/>
      </c>
      <c r="AE16" s="358" t="e">
        <f t="shared" si="0"/>
        <v>#VALUE!</v>
      </c>
      <c r="AF16" s="358">
        <f t="shared" si="1"/>
        <v>0</v>
      </c>
      <c r="AG16" s="358" t="str">
        <f t="shared" si="2"/>
        <v/>
      </c>
      <c r="AH16" s="358" t="str">
        <f t="shared" si="3"/>
        <v/>
      </c>
      <c r="AI16" s="358" t="str">
        <f>IF(AG16="","",MAX($AI$2:AI15)+1)</f>
        <v/>
      </c>
      <c r="AJ16" s="358" t="str">
        <f t="shared" si="5"/>
        <v/>
      </c>
      <c r="AK16" s="358" t="str">
        <f t="shared" si="7"/>
        <v/>
      </c>
      <c r="AL16" s="358" t="str">
        <f t="shared" si="6"/>
        <v/>
      </c>
      <c r="AM16" s="358"/>
      <c r="AN16" s="358"/>
      <c r="AO16" s="358"/>
      <c r="AP16" s="358"/>
      <c r="AQ16" s="358"/>
      <c r="AR16" s="358"/>
      <c r="AS16" s="358"/>
      <c r="AT16" s="358"/>
    </row>
    <row r="17" spans="1:46" s="58" customFormat="1" x14ac:dyDescent="0.2">
      <c r="A17" s="358"/>
      <c r="B17" s="358"/>
      <c r="C17" s="358"/>
      <c r="D17" s="359"/>
      <c r="E17" s="364"/>
      <c r="F17" s="364"/>
      <c r="L17" s="360"/>
      <c r="AA17" s="358"/>
      <c r="AB17" s="358"/>
      <c r="AC17" s="358" t="str">
        <f>IFERROR(VALUE(RIGHT(AA17,LEN(AA17)-MIN(FIND({0;1;2;3;4;5;6;7;8;9},AA17&amp;"0123456789"))+1)),"")</f>
        <v/>
      </c>
      <c r="AD17" s="358" t="str">
        <f t="shared" si="4"/>
        <v/>
      </c>
      <c r="AE17" s="358" t="e">
        <f t="shared" si="0"/>
        <v>#VALUE!</v>
      </c>
      <c r="AF17" s="358">
        <f t="shared" si="1"/>
        <v>0</v>
      </c>
      <c r="AG17" s="358" t="str">
        <f t="shared" si="2"/>
        <v/>
      </c>
      <c r="AH17" s="358" t="str">
        <f t="shared" si="3"/>
        <v/>
      </c>
      <c r="AI17" s="358" t="str">
        <f>IF(AG17="","",MAX($AI$2:AI16)+1)</f>
        <v/>
      </c>
      <c r="AJ17" s="358" t="str">
        <f t="shared" si="5"/>
        <v/>
      </c>
      <c r="AK17" s="358" t="str">
        <f t="shared" si="7"/>
        <v/>
      </c>
      <c r="AL17" s="358" t="str">
        <f t="shared" si="6"/>
        <v/>
      </c>
      <c r="AM17" s="358"/>
      <c r="AN17" s="358"/>
      <c r="AO17" s="358"/>
      <c r="AP17" s="358"/>
      <c r="AQ17" s="358"/>
      <c r="AR17" s="358"/>
      <c r="AS17" s="358"/>
      <c r="AT17" s="358"/>
    </row>
    <row r="18" spans="1:46" s="58" customFormat="1" x14ac:dyDescent="0.2">
      <c r="A18" s="358"/>
      <c r="B18" s="358"/>
      <c r="C18" s="358"/>
      <c r="D18" s="359"/>
      <c r="E18" s="364"/>
      <c r="F18" s="364"/>
      <c r="AA18" s="358"/>
      <c r="AB18" s="358"/>
      <c r="AC18" s="358" t="str">
        <f>IFERROR(VALUE(RIGHT(AA18,LEN(AA18)-MIN(FIND({0;1;2;3;4;5;6;7;8;9},AA18&amp;"0123456789"))+1)),"")</f>
        <v/>
      </c>
      <c r="AD18" s="358" t="str">
        <f t="shared" si="4"/>
        <v/>
      </c>
      <c r="AE18" s="358" t="e">
        <f t="shared" si="0"/>
        <v>#VALUE!</v>
      </c>
      <c r="AF18" s="358">
        <f t="shared" si="1"/>
        <v>0</v>
      </c>
      <c r="AG18" s="358" t="str">
        <f t="shared" si="2"/>
        <v/>
      </c>
      <c r="AH18" s="358" t="str">
        <f t="shared" si="3"/>
        <v/>
      </c>
      <c r="AI18" s="358" t="str">
        <f>IF(AG18="","",MAX($AI$2:AI17)+1)</f>
        <v/>
      </c>
      <c r="AJ18" s="358" t="str">
        <f t="shared" si="5"/>
        <v/>
      </c>
      <c r="AK18" s="358" t="str">
        <f t="shared" si="7"/>
        <v/>
      </c>
      <c r="AL18" s="358" t="str">
        <f t="shared" si="6"/>
        <v/>
      </c>
      <c r="AM18" s="358"/>
      <c r="AN18" s="358"/>
      <c r="AO18" s="358"/>
      <c r="AP18" s="358"/>
      <c r="AQ18" s="358"/>
      <c r="AR18" s="358"/>
      <c r="AS18" s="358"/>
      <c r="AT18" s="358"/>
    </row>
    <row r="19" spans="1:46" s="58" customFormat="1" x14ac:dyDescent="0.2">
      <c r="A19" s="358"/>
      <c r="B19" s="358"/>
      <c r="C19" s="364"/>
      <c r="D19" s="359"/>
      <c r="E19" s="364"/>
      <c r="F19" s="364"/>
      <c r="AA19" s="358"/>
      <c r="AB19" s="358"/>
      <c r="AC19" s="358" t="str">
        <f>IFERROR(VALUE(RIGHT(AA19,LEN(AA19)-MIN(FIND({0;1;2;3;4;5;6;7;8;9},AA19&amp;"0123456789"))+1)),"")</f>
        <v/>
      </c>
      <c r="AD19" s="358" t="str">
        <f t="shared" si="4"/>
        <v/>
      </c>
      <c r="AE19" s="358" t="e">
        <f t="shared" si="0"/>
        <v>#VALUE!</v>
      </c>
      <c r="AF19" s="358">
        <f t="shared" si="1"/>
        <v>0</v>
      </c>
      <c r="AG19" s="358" t="str">
        <f t="shared" si="2"/>
        <v/>
      </c>
      <c r="AH19" s="358" t="str">
        <f t="shared" si="3"/>
        <v/>
      </c>
      <c r="AI19" s="358" t="str">
        <f>IF(AG19="","",MAX($AI$2:AI18)+1)</f>
        <v/>
      </c>
      <c r="AJ19" s="358" t="str">
        <f t="shared" si="5"/>
        <v/>
      </c>
      <c r="AK19" s="358" t="str">
        <f t="shared" si="7"/>
        <v/>
      </c>
      <c r="AL19" s="358" t="str">
        <f t="shared" si="6"/>
        <v/>
      </c>
      <c r="AM19" s="358"/>
      <c r="AN19" s="358"/>
      <c r="AO19" s="358"/>
      <c r="AP19" s="358"/>
      <c r="AQ19" s="358"/>
      <c r="AR19" s="358"/>
      <c r="AS19" s="358"/>
      <c r="AT19" s="358"/>
    </row>
    <row r="20" spans="1:46" s="58" customFormat="1" x14ac:dyDescent="0.2">
      <c r="A20" s="358"/>
      <c r="B20" s="358"/>
      <c r="C20" s="364"/>
      <c r="D20" s="359"/>
      <c r="E20" s="364"/>
      <c r="F20" s="364"/>
      <c r="AA20" s="358"/>
      <c r="AB20" s="358"/>
      <c r="AC20" s="358" t="str">
        <f>IFERROR(VALUE(RIGHT(AA20,LEN(AA20)-MIN(FIND({0;1;2;3;4;5;6;7;8;9},AA20&amp;"0123456789"))+1)),"")</f>
        <v/>
      </c>
      <c r="AD20" s="358" t="str">
        <f t="shared" si="4"/>
        <v/>
      </c>
      <c r="AE20" s="358" t="e">
        <f t="shared" si="0"/>
        <v>#VALUE!</v>
      </c>
      <c r="AF20" s="358">
        <f t="shared" si="1"/>
        <v>0</v>
      </c>
      <c r="AG20" s="358" t="str">
        <f t="shared" si="2"/>
        <v/>
      </c>
      <c r="AH20" s="358" t="str">
        <f t="shared" si="3"/>
        <v/>
      </c>
      <c r="AI20" s="358" t="str">
        <f>IF(AG20="","",MAX($AI$2:AI19)+1)</f>
        <v/>
      </c>
      <c r="AJ20" s="358" t="str">
        <f t="shared" si="5"/>
        <v/>
      </c>
      <c r="AK20" s="358" t="str">
        <f t="shared" si="7"/>
        <v/>
      </c>
      <c r="AL20" s="358" t="str">
        <f t="shared" si="6"/>
        <v/>
      </c>
      <c r="AM20" s="358"/>
      <c r="AN20" s="358"/>
      <c r="AO20" s="358"/>
      <c r="AP20" s="358"/>
      <c r="AQ20" s="358"/>
      <c r="AR20" s="358"/>
      <c r="AS20" s="358"/>
      <c r="AT20" s="358"/>
    </row>
    <row r="21" spans="1:46" s="58" customFormat="1" x14ac:dyDescent="0.2">
      <c r="A21" s="358"/>
      <c r="B21" s="358"/>
      <c r="C21" s="358"/>
      <c r="D21" s="359"/>
      <c r="E21" s="364"/>
      <c r="F21" s="364"/>
      <c r="AA21" s="358"/>
      <c r="AB21" s="358"/>
      <c r="AC21" s="358" t="str">
        <f>IFERROR(VALUE(RIGHT(AA21,LEN(AA21)-MIN(FIND({0;1;2;3;4;5;6;7;8;9},AA21&amp;"0123456789"))+1)),"")</f>
        <v/>
      </c>
      <c r="AD21" s="358" t="str">
        <f t="shared" si="4"/>
        <v/>
      </c>
      <c r="AE21" s="358" t="e">
        <f t="shared" si="0"/>
        <v>#VALUE!</v>
      </c>
      <c r="AF21" s="358">
        <f t="shared" si="1"/>
        <v>0</v>
      </c>
      <c r="AG21" s="358" t="str">
        <f t="shared" si="2"/>
        <v/>
      </c>
      <c r="AH21" s="358" t="str">
        <f t="shared" si="3"/>
        <v/>
      </c>
      <c r="AI21" s="358" t="str">
        <f>IF(AG21="","",MAX($AI$2:AI20)+1)</f>
        <v/>
      </c>
      <c r="AJ21" s="358" t="str">
        <f t="shared" si="5"/>
        <v/>
      </c>
      <c r="AK21" s="358" t="str">
        <f t="shared" si="7"/>
        <v/>
      </c>
      <c r="AL21" s="358" t="str">
        <f t="shared" si="6"/>
        <v/>
      </c>
      <c r="AM21" s="358"/>
      <c r="AN21" s="358"/>
      <c r="AO21" s="358"/>
      <c r="AP21" s="358"/>
      <c r="AQ21" s="358"/>
      <c r="AR21" s="358"/>
      <c r="AS21" s="358"/>
      <c r="AT21" s="358"/>
    </row>
    <row r="22" spans="1:46" s="58" customFormat="1" x14ac:dyDescent="0.2">
      <c r="A22" s="358"/>
      <c r="B22" s="358"/>
      <c r="C22" s="358"/>
      <c r="D22" s="359"/>
      <c r="E22" s="364"/>
      <c r="F22" s="364"/>
      <c r="AA22" s="358"/>
      <c r="AB22" s="358"/>
      <c r="AC22" s="358" t="str">
        <f>IFERROR(VALUE(RIGHT(AA22,LEN(AA22)-MIN(FIND({0;1;2;3;4;5;6;7;8;9},AA22&amp;"0123456789"))+1)),"")</f>
        <v/>
      </c>
      <c r="AD22" s="358" t="str">
        <f t="shared" si="4"/>
        <v/>
      </c>
      <c r="AE22" s="358" t="e">
        <f t="shared" si="0"/>
        <v>#VALUE!</v>
      </c>
      <c r="AF22" s="358">
        <f t="shared" si="1"/>
        <v>0</v>
      </c>
      <c r="AG22" s="358" t="str">
        <f t="shared" si="2"/>
        <v/>
      </c>
      <c r="AH22" s="358" t="str">
        <f t="shared" si="3"/>
        <v/>
      </c>
      <c r="AI22" s="358" t="str">
        <f>IF(AG22="","",MAX($AI$2:AI21)+1)</f>
        <v/>
      </c>
      <c r="AJ22" s="358" t="str">
        <f t="shared" si="5"/>
        <v/>
      </c>
      <c r="AK22" s="358" t="str">
        <f t="shared" si="7"/>
        <v/>
      </c>
      <c r="AL22" s="358" t="str">
        <f t="shared" si="6"/>
        <v/>
      </c>
      <c r="AM22" s="358"/>
      <c r="AN22" s="358"/>
      <c r="AO22" s="358"/>
      <c r="AP22" s="358"/>
      <c r="AQ22" s="358"/>
      <c r="AR22" s="358"/>
      <c r="AS22" s="358"/>
      <c r="AT22" s="358"/>
    </row>
    <row r="23" spans="1:46" s="58" customFormat="1" x14ac:dyDescent="0.2">
      <c r="A23" s="358"/>
      <c r="B23" s="358"/>
      <c r="C23" s="358"/>
      <c r="D23" s="359"/>
      <c r="E23" s="364"/>
      <c r="F23" s="364"/>
      <c r="AA23" s="358"/>
      <c r="AB23" s="358"/>
      <c r="AC23" s="358" t="str">
        <f>IFERROR(VALUE(RIGHT(AA23,LEN(AA23)-MIN(FIND({0;1;2;3;4;5;6;7;8;9},AA23&amp;"0123456789"))+1)),"")</f>
        <v/>
      </c>
      <c r="AD23" s="358" t="str">
        <f t="shared" si="4"/>
        <v/>
      </c>
      <c r="AE23" s="358" t="e">
        <f t="shared" si="0"/>
        <v>#VALUE!</v>
      </c>
      <c r="AF23" s="358">
        <f t="shared" si="1"/>
        <v>0</v>
      </c>
      <c r="AG23" s="358" t="str">
        <f t="shared" si="2"/>
        <v/>
      </c>
      <c r="AH23" s="358" t="str">
        <f t="shared" si="3"/>
        <v/>
      </c>
      <c r="AI23" s="358" t="str">
        <f>IF(AG23="","",MAX($AI$2:AI22)+1)</f>
        <v/>
      </c>
      <c r="AJ23" s="358" t="str">
        <f t="shared" si="5"/>
        <v/>
      </c>
      <c r="AK23" s="358" t="str">
        <f t="shared" si="7"/>
        <v/>
      </c>
      <c r="AL23" s="358" t="str">
        <f t="shared" si="6"/>
        <v/>
      </c>
      <c r="AM23" s="358"/>
      <c r="AN23" s="358"/>
      <c r="AO23" s="358"/>
      <c r="AP23" s="358"/>
      <c r="AQ23" s="358"/>
      <c r="AR23" s="358"/>
      <c r="AS23" s="358"/>
      <c r="AT23" s="358"/>
    </row>
    <row r="24" spans="1:46" s="58" customFormat="1" x14ac:dyDescent="0.2">
      <c r="A24" s="358"/>
      <c r="B24" s="358"/>
      <c r="C24" s="358"/>
      <c r="D24" s="359"/>
      <c r="E24" s="364"/>
      <c r="F24" s="364"/>
      <c r="AA24" s="358"/>
      <c r="AB24" s="358"/>
      <c r="AC24" s="358" t="str">
        <f>IFERROR(VALUE(RIGHT(AA24,LEN(AA24)-MIN(FIND({0;1;2;3;4;5;6;7;8;9},AA24&amp;"0123456789"))+1)),"")</f>
        <v/>
      </c>
      <c r="AD24" s="358" t="str">
        <f t="shared" si="4"/>
        <v/>
      </c>
      <c r="AE24" s="358" t="e">
        <f t="shared" si="0"/>
        <v>#VALUE!</v>
      </c>
      <c r="AF24" s="358">
        <f t="shared" si="1"/>
        <v>0</v>
      </c>
      <c r="AG24" s="358" t="str">
        <f t="shared" si="2"/>
        <v/>
      </c>
      <c r="AH24" s="358" t="str">
        <f t="shared" si="3"/>
        <v/>
      </c>
      <c r="AI24" s="358" t="str">
        <f>IF(AG24="","",MAX($AI$2:AI23)+1)</f>
        <v/>
      </c>
      <c r="AJ24" s="358" t="str">
        <f t="shared" si="5"/>
        <v/>
      </c>
      <c r="AK24" s="358" t="str">
        <f t="shared" si="7"/>
        <v/>
      </c>
      <c r="AL24" s="358" t="str">
        <f t="shared" si="6"/>
        <v/>
      </c>
      <c r="AM24" s="358"/>
      <c r="AN24" s="358"/>
      <c r="AO24" s="358"/>
      <c r="AP24" s="358"/>
      <c r="AQ24" s="358"/>
      <c r="AR24" s="358"/>
      <c r="AS24" s="358"/>
      <c r="AT24" s="358"/>
    </row>
    <row r="25" spans="1:46" s="58" customFormat="1" x14ac:dyDescent="0.2">
      <c r="A25" s="358"/>
      <c r="B25" s="358"/>
      <c r="C25" s="364"/>
      <c r="D25" s="359"/>
      <c r="E25" s="364"/>
      <c r="F25" s="364"/>
      <c r="H25" s="360"/>
      <c r="I25" s="360"/>
      <c r="L25" s="360"/>
      <c r="AA25" s="358"/>
      <c r="AB25" s="358"/>
      <c r="AC25" s="358" t="str">
        <f>IFERROR(VALUE(RIGHT(AA25,LEN(AA25)-MIN(FIND({0;1;2;3;4;5;6;7;8;9},AA25&amp;"0123456789"))+1)),"")</f>
        <v/>
      </c>
      <c r="AD25" s="358" t="str">
        <f t="shared" si="4"/>
        <v/>
      </c>
      <c r="AE25" s="358" t="e">
        <f t="shared" si="0"/>
        <v>#VALUE!</v>
      </c>
      <c r="AF25" s="358">
        <f t="shared" si="1"/>
        <v>0</v>
      </c>
      <c r="AG25" s="358" t="str">
        <f t="shared" si="2"/>
        <v/>
      </c>
      <c r="AH25" s="358" t="str">
        <f t="shared" si="3"/>
        <v/>
      </c>
      <c r="AI25" s="358" t="str">
        <f>IF(AG25="","",MAX($AI$2:AI24)+1)</f>
        <v/>
      </c>
      <c r="AJ25" s="358" t="str">
        <f t="shared" si="5"/>
        <v/>
      </c>
      <c r="AK25" s="358" t="str">
        <f t="shared" si="7"/>
        <v/>
      </c>
      <c r="AL25" s="358" t="str">
        <f t="shared" si="6"/>
        <v/>
      </c>
      <c r="AM25" s="358"/>
      <c r="AN25" s="358"/>
      <c r="AO25" s="358"/>
      <c r="AP25" s="358"/>
      <c r="AQ25" s="358"/>
      <c r="AR25" s="358"/>
      <c r="AS25" s="358"/>
      <c r="AT25" s="358"/>
    </row>
    <row r="26" spans="1:46" s="58" customFormat="1" x14ac:dyDescent="0.2">
      <c r="A26" s="358"/>
      <c r="B26" s="358"/>
      <c r="C26" s="364"/>
      <c r="D26" s="359"/>
      <c r="E26" s="364"/>
      <c r="F26" s="364"/>
      <c r="H26" s="360"/>
      <c r="I26" s="360"/>
      <c r="L26" s="360"/>
      <c r="AA26" s="358"/>
      <c r="AB26" s="358"/>
      <c r="AC26" s="358" t="str">
        <f>IFERROR(VALUE(RIGHT(AA26,LEN(AA26)-MIN(FIND({0;1;2;3;4;5;6;7;8;9},AA26&amp;"0123456789"))+1)),"")</f>
        <v/>
      </c>
      <c r="AD26" s="358" t="str">
        <f t="shared" si="4"/>
        <v/>
      </c>
      <c r="AE26" s="358" t="e">
        <f t="shared" si="0"/>
        <v>#VALUE!</v>
      </c>
      <c r="AF26" s="358">
        <f t="shared" si="1"/>
        <v>0</v>
      </c>
      <c r="AG26" s="358" t="str">
        <f t="shared" si="2"/>
        <v/>
      </c>
      <c r="AH26" s="358" t="str">
        <f t="shared" si="3"/>
        <v/>
      </c>
      <c r="AI26" s="358" t="str">
        <f>IF(AG26="","",MAX($AI$2:AI25)+1)</f>
        <v/>
      </c>
      <c r="AJ26" s="358" t="str">
        <f t="shared" si="5"/>
        <v/>
      </c>
      <c r="AK26" s="358" t="str">
        <f t="shared" si="7"/>
        <v/>
      </c>
      <c r="AL26" s="358" t="str">
        <f t="shared" si="6"/>
        <v/>
      </c>
      <c r="AM26" s="358"/>
      <c r="AN26" s="358"/>
      <c r="AO26" s="358"/>
      <c r="AP26" s="358"/>
      <c r="AQ26" s="358"/>
      <c r="AR26" s="358"/>
      <c r="AS26" s="358"/>
      <c r="AT26" s="358"/>
    </row>
    <row r="27" spans="1:46" s="58" customFormat="1" x14ac:dyDescent="0.2">
      <c r="A27" s="358"/>
      <c r="B27" s="358"/>
      <c r="C27" s="364"/>
      <c r="D27" s="359"/>
      <c r="E27" s="364"/>
      <c r="F27" s="364"/>
      <c r="H27" s="360"/>
      <c r="I27" s="360"/>
      <c r="K27" s="360"/>
      <c r="L27" s="360"/>
      <c r="AA27" s="358"/>
      <c r="AB27" s="358"/>
      <c r="AC27" s="358" t="str">
        <f>IFERROR(VALUE(RIGHT(AA27,LEN(AA27)-MIN(FIND({0;1;2;3;4;5;6;7;8;9},AA27&amp;"0123456789"))+1)),"")</f>
        <v/>
      </c>
      <c r="AD27" s="358" t="str">
        <f t="shared" si="4"/>
        <v/>
      </c>
      <c r="AE27" s="358" t="e">
        <f t="shared" si="0"/>
        <v>#VALUE!</v>
      </c>
      <c r="AF27" s="358">
        <f t="shared" si="1"/>
        <v>0</v>
      </c>
      <c r="AG27" s="358" t="str">
        <f t="shared" si="2"/>
        <v/>
      </c>
      <c r="AH27" s="358" t="str">
        <f t="shared" si="3"/>
        <v/>
      </c>
      <c r="AI27" s="358" t="str">
        <f>IF(AG27="","",MAX($AI$2:AI26)+1)</f>
        <v/>
      </c>
      <c r="AJ27" s="358" t="str">
        <f t="shared" si="5"/>
        <v/>
      </c>
      <c r="AK27" s="358" t="str">
        <f t="shared" si="7"/>
        <v/>
      </c>
      <c r="AL27" s="358" t="str">
        <f t="shared" si="6"/>
        <v/>
      </c>
      <c r="AM27" s="358"/>
      <c r="AN27" s="358"/>
      <c r="AO27" s="358"/>
      <c r="AP27" s="358"/>
      <c r="AQ27" s="358"/>
      <c r="AR27" s="358"/>
      <c r="AS27" s="358"/>
      <c r="AT27" s="358"/>
    </row>
    <row r="28" spans="1:46" s="58" customFormat="1" x14ac:dyDescent="0.2">
      <c r="A28" s="358"/>
      <c r="B28" s="358"/>
      <c r="C28" s="364"/>
      <c r="D28" s="359"/>
      <c r="E28" s="364"/>
      <c r="F28" s="364"/>
      <c r="K28" s="360"/>
      <c r="L28" s="360"/>
      <c r="AA28" s="358"/>
      <c r="AB28" s="358"/>
      <c r="AC28" s="358" t="str">
        <f>IFERROR(VALUE(RIGHT(AA28,LEN(AA28)-MIN(FIND({0;1;2;3;4;5;6;7;8;9},AA28&amp;"0123456789"))+1)),"")</f>
        <v/>
      </c>
      <c r="AD28" s="358" t="str">
        <f t="shared" si="4"/>
        <v/>
      </c>
      <c r="AE28" s="358" t="e">
        <f t="shared" si="0"/>
        <v>#VALUE!</v>
      </c>
      <c r="AF28" s="358">
        <f t="shared" si="1"/>
        <v>0</v>
      </c>
      <c r="AG28" s="358" t="str">
        <f t="shared" si="2"/>
        <v/>
      </c>
      <c r="AH28" s="358" t="str">
        <f t="shared" si="3"/>
        <v/>
      </c>
      <c r="AI28" s="358" t="str">
        <f>IF(AG28="","",MAX($AI$2:AI27)+1)</f>
        <v/>
      </c>
      <c r="AJ28" s="358" t="str">
        <f t="shared" si="5"/>
        <v/>
      </c>
      <c r="AK28" s="358" t="str">
        <f t="shared" si="7"/>
        <v/>
      </c>
      <c r="AL28" s="358" t="str">
        <f t="shared" si="6"/>
        <v/>
      </c>
      <c r="AM28" s="358"/>
      <c r="AN28" s="358"/>
      <c r="AO28" s="358"/>
      <c r="AP28" s="358"/>
      <c r="AQ28" s="358"/>
      <c r="AR28" s="358"/>
      <c r="AS28" s="358"/>
      <c r="AT28" s="358"/>
    </row>
    <row r="29" spans="1:46" s="58" customFormat="1" x14ac:dyDescent="0.2">
      <c r="A29" s="358"/>
      <c r="B29" s="358"/>
      <c r="C29" s="364"/>
      <c r="D29" s="359"/>
      <c r="E29" s="364"/>
      <c r="F29" s="364"/>
      <c r="J29" s="360"/>
      <c r="K29" s="360"/>
      <c r="L29" s="360"/>
      <c r="AA29" s="358"/>
      <c r="AB29" s="358"/>
      <c r="AC29" s="358" t="str">
        <f>IFERROR(VALUE(RIGHT(AA29,LEN(AA29)-MIN(FIND({0;1;2;3;4;5;6;7;8;9},AA29&amp;"0123456789"))+1)),"")</f>
        <v/>
      </c>
      <c r="AD29" s="358" t="str">
        <f t="shared" si="4"/>
        <v/>
      </c>
      <c r="AE29" s="358" t="e">
        <f t="shared" si="0"/>
        <v>#VALUE!</v>
      </c>
      <c r="AF29" s="358">
        <f t="shared" si="1"/>
        <v>0</v>
      </c>
      <c r="AG29" s="358" t="str">
        <f t="shared" si="2"/>
        <v/>
      </c>
      <c r="AH29" s="358" t="str">
        <f t="shared" si="3"/>
        <v/>
      </c>
      <c r="AI29" s="358" t="str">
        <f>IF(AG29="","",MAX($AI$2:AI28)+1)</f>
        <v/>
      </c>
      <c r="AJ29" s="358" t="str">
        <f t="shared" si="5"/>
        <v/>
      </c>
      <c r="AK29" s="358" t="str">
        <f t="shared" si="7"/>
        <v/>
      </c>
      <c r="AL29" s="358" t="str">
        <f t="shared" si="6"/>
        <v/>
      </c>
      <c r="AM29" s="358"/>
      <c r="AN29" s="358"/>
      <c r="AO29" s="358"/>
      <c r="AP29" s="358"/>
      <c r="AQ29" s="358"/>
      <c r="AR29" s="358"/>
      <c r="AS29" s="358"/>
      <c r="AT29" s="358"/>
    </row>
    <row r="30" spans="1:46" s="58" customFormat="1" x14ac:dyDescent="0.2">
      <c r="A30" s="358"/>
      <c r="B30" s="358"/>
      <c r="C30" s="364"/>
      <c r="D30" s="359"/>
      <c r="E30" s="364"/>
      <c r="F30" s="364"/>
      <c r="J30" s="360"/>
      <c r="K30" s="360"/>
      <c r="L30" s="360"/>
      <c r="AA30" s="358"/>
      <c r="AB30" s="358"/>
      <c r="AC30" s="358" t="str">
        <f>IFERROR(VALUE(RIGHT(AA30,LEN(AA30)-MIN(FIND({0;1;2;3;4;5;6;7;8;9},AA30&amp;"0123456789"))+1)),"")</f>
        <v/>
      </c>
      <c r="AD30" s="358" t="str">
        <f t="shared" si="4"/>
        <v/>
      </c>
      <c r="AE30" s="358" t="e">
        <f t="shared" si="0"/>
        <v>#VALUE!</v>
      </c>
      <c r="AF30" s="358">
        <f t="shared" si="1"/>
        <v>0</v>
      </c>
      <c r="AG30" s="358" t="str">
        <f t="shared" si="2"/>
        <v/>
      </c>
      <c r="AH30" s="358" t="str">
        <f t="shared" si="3"/>
        <v/>
      </c>
      <c r="AI30" s="358" t="str">
        <f>IF(AG30="","",MAX($AI$2:AI29)+1)</f>
        <v/>
      </c>
      <c r="AJ30" s="358" t="str">
        <f t="shared" si="5"/>
        <v/>
      </c>
      <c r="AK30" s="358" t="str">
        <f t="shared" si="7"/>
        <v/>
      </c>
      <c r="AL30" s="358" t="str">
        <f t="shared" si="6"/>
        <v/>
      </c>
      <c r="AM30" s="358"/>
      <c r="AN30" s="358"/>
      <c r="AO30" s="358"/>
      <c r="AP30" s="358"/>
      <c r="AQ30" s="358"/>
      <c r="AR30" s="358"/>
      <c r="AS30" s="358"/>
      <c r="AT30" s="358"/>
    </row>
    <row r="31" spans="1:46" s="58" customFormat="1" x14ac:dyDescent="0.2">
      <c r="A31" s="358"/>
      <c r="B31" s="358"/>
      <c r="C31" s="364"/>
      <c r="D31" s="359"/>
      <c r="E31" s="364"/>
      <c r="F31" s="364"/>
      <c r="J31" s="360"/>
      <c r="K31" s="360"/>
      <c r="L31" s="360"/>
      <c r="AA31" s="358"/>
      <c r="AB31" s="358"/>
      <c r="AC31" s="358" t="str">
        <f>IFERROR(VALUE(RIGHT(AA31,LEN(AA31)-MIN(FIND({0;1;2;3;4;5;6;7;8;9},AA31&amp;"0123456789"))+1)),"")</f>
        <v/>
      </c>
      <c r="AD31" s="358" t="str">
        <f t="shared" si="4"/>
        <v/>
      </c>
      <c r="AE31" s="358" t="e">
        <f t="shared" si="0"/>
        <v>#VALUE!</v>
      </c>
      <c r="AF31" s="358">
        <f t="shared" si="1"/>
        <v>0</v>
      </c>
      <c r="AG31" s="358" t="str">
        <f t="shared" si="2"/>
        <v/>
      </c>
      <c r="AH31" s="358" t="str">
        <f t="shared" si="3"/>
        <v/>
      </c>
      <c r="AI31" s="358" t="str">
        <f>IF(AG31="","",MAX($AI$2:AI30)+1)</f>
        <v/>
      </c>
      <c r="AJ31" s="358" t="str">
        <f t="shared" si="5"/>
        <v/>
      </c>
      <c r="AK31" s="358" t="str">
        <f t="shared" si="7"/>
        <v/>
      </c>
      <c r="AL31" s="358" t="str">
        <f t="shared" si="6"/>
        <v/>
      </c>
      <c r="AM31" s="358"/>
      <c r="AN31" s="358"/>
      <c r="AO31" s="358"/>
      <c r="AP31" s="358"/>
      <c r="AQ31" s="358"/>
      <c r="AR31" s="358"/>
      <c r="AS31" s="358"/>
      <c r="AT31" s="358"/>
    </row>
    <row r="32" spans="1:46" s="58" customFormat="1" x14ac:dyDescent="0.2">
      <c r="A32" s="358"/>
      <c r="B32" s="358"/>
      <c r="C32" s="364"/>
      <c r="D32" s="359"/>
      <c r="E32" s="364"/>
      <c r="F32" s="364"/>
      <c r="J32" s="360"/>
      <c r="K32" s="360"/>
      <c r="L32" s="360"/>
      <c r="AA32" s="358"/>
      <c r="AB32" s="358"/>
      <c r="AC32" s="358" t="str">
        <f>IFERROR(VALUE(RIGHT(AA32,LEN(AA32)-MIN(FIND({0;1;2;3;4;5;6;7;8;9},AA32&amp;"0123456789"))+1)),"")</f>
        <v/>
      </c>
      <c r="AD32" s="358" t="str">
        <f t="shared" si="4"/>
        <v/>
      </c>
      <c r="AE32" s="358" t="e">
        <f t="shared" si="0"/>
        <v>#VALUE!</v>
      </c>
      <c r="AF32" s="358">
        <f t="shared" si="1"/>
        <v>0</v>
      </c>
      <c r="AG32" s="358" t="str">
        <f t="shared" si="2"/>
        <v/>
      </c>
      <c r="AH32" s="358" t="str">
        <f t="shared" si="3"/>
        <v/>
      </c>
      <c r="AI32" s="358" t="str">
        <f>IF(AG32="","",MAX($AI$2:AI31)+1)</f>
        <v/>
      </c>
      <c r="AJ32" s="358" t="str">
        <f t="shared" si="5"/>
        <v/>
      </c>
      <c r="AK32" s="358" t="str">
        <f t="shared" si="7"/>
        <v/>
      </c>
      <c r="AL32" s="358" t="str">
        <f t="shared" si="6"/>
        <v/>
      </c>
      <c r="AM32" s="358"/>
      <c r="AN32" s="358"/>
      <c r="AO32" s="358"/>
      <c r="AP32" s="358"/>
      <c r="AQ32" s="358"/>
      <c r="AR32" s="358"/>
      <c r="AS32" s="358"/>
      <c r="AT32" s="358"/>
    </row>
    <row r="33" spans="1:46" s="58" customFormat="1" x14ac:dyDescent="0.2">
      <c r="A33" s="66"/>
      <c r="B33" s="66"/>
      <c r="C33" s="361"/>
      <c r="D33" s="366"/>
      <c r="E33" s="361"/>
      <c r="F33" s="361"/>
      <c r="G33" s="360"/>
      <c r="J33" s="360"/>
      <c r="AA33" s="66"/>
      <c r="AB33" s="66"/>
      <c r="AC33" s="66" t="str">
        <f>IFERROR(VALUE(RIGHT(AA33,LEN(AA33)-MIN(FIND({0;1;2;3;4;5;6;7;8;9},AA33&amp;"0123456789"))+1)),"")</f>
        <v/>
      </c>
      <c r="AD33" s="66" t="str">
        <f t="shared" si="4"/>
        <v/>
      </c>
      <c r="AE33" s="66" t="e">
        <f t="shared" si="0"/>
        <v>#VALUE!</v>
      </c>
      <c r="AF33" s="66">
        <f t="shared" si="1"/>
        <v>0</v>
      </c>
      <c r="AG33" s="66" t="str">
        <f t="shared" si="2"/>
        <v/>
      </c>
      <c r="AH33" s="66" t="str">
        <f t="shared" si="3"/>
        <v/>
      </c>
      <c r="AI33" s="66" t="str">
        <f>IF(AG33="","",MAX($AI$2:AI32)+1)</f>
        <v/>
      </c>
      <c r="AJ33" s="66" t="str">
        <f t="shared" si="5"/>
        <v/>
      </c>
      <c r="AK33" s="66" t="str">
        <f t="shared" si="7"/>
        <v/>
      </c>
      <c r="AL33" s="66" t="str">
        <f t="shared" si="6"/>
        <v/>
      </c>
      <c r="AM33" s="66"/>
      <c r="AN33" s="66"/>
      <c r="AO33" s="66"/>
      <c r="AP33" s="66"/>
      <c r="AQ33" s="66"/>
      <c r="AR33" s="66"/>
      <c r="AS33" s="66"/>
      <c r="AT33" s="66"/>
    </row>
    <row r="34" spans="1:46" s="58" customFormat="1" x14ac:dyDescent="0.2">
      <c r="A34" s="66"/>
      <c r="B34" s="66"/>
      <c r="C34" s="361"/>
      <c r="D34" s="366"/>
      <c r="E34" s="361"/>
      <c r="F34" s="361"/>
      <c r="G34" s="360"/>
      <c r="J34" s="360"/>
      <c r="AA34" s="66"/>
      <c r="AB34" s="66"/>
      <c r="AC34" s="66" t="str">
        <f>IFERROR(VALUE(RIGHT(AA34,LEN(AA34)-MIN(FIND({0;1;2;3;4;5;6;7;8;9},AA34&amp;"0123456789"))+1)),"")</f>
        <v/>
      </c>
      <c r="AD34" s="66" t="str">
        <f t="shared" si="4"/>
        <v/>
      </c>
      <c r="AE34" s="66" t="e">
        <f t="shared" ref="AE34:AE65" si="8">SMALL(AB:AB,AD34)</f>
        <v>#VALUE!</v>
      </c>
      <c r="AF34" s="66">
        <f t="shared" ref="AF34:AF65" si="9">SUMIF(AB:AB,AE34,AC:AC)</f>
        <v>0</v>
      </c>
      <c r="AG34" s="66" t="str">
        <f t="shared" si="2"/>
        <v/>
      </c>
      <c r="AH34" s="66" t="str">
        <f t="shared" si="3"/>
        <v/>
      </c>
      <c r="AI34" s="66" t="str">
        <f>IF(AG34="","",MAX($AI$2:AI33)+1)</f>
        <v/>
      </c>
      <c r="AJ34" s="66" t="str">
        <f t="shared" si="5"/>
        <v/>
      </c>
      <c r="AK34" s="66" t="str">
        <f t="shared" si="7"/>
        <v/>
      </c>
      <c r="AL34" s="66" t="str">
        <f t="shared" si="6"/>
        <v/>
      </c>
      <c r="AM34" s="66"/>
      <c r="AN34" s="66"/>
      <c r="AO34" s="66"/>
      <c r="AP34" s="66"/>
      <c r="AQ34" s="66"/>
      <c r="AR34" s="66"/>
      <c r="AS34" s="66"/>
      <c r="AT34" s="66"/>
    </row>
    <row r="35" spans="1:46" s="58" customFormat="1" x14ac:dyDescent="0.2">
      <c r="A35" s="66"/>
      <c r="B35" s="66"/>
      <c r="C35" s="361"/>
      <c r="D35" s="366"/>
      <c r="E35" s="361"/>
      <c r="F35" s="361"/>
      <c r="G35" s="360"/>
      <c r="J35" s="360"/>
      <c r="AA35" s="66"/>
      <c r="AB35" s="66"/>
      <c r="AC35" s="66" t="str">
        <f>IFERROR(VALUE(RIGHT(AA35,LEN(AA35)-MIN(FIND({0;1;2;3;4;5;6;7;8;9},AA35&amp;"0123456789"))+1)),"")</f>
        <v/>
      </c>
      <c r="AD35" s="66" t="str">
        <f t="shared" si="4"/>
        <v/>
      </c>
      <c r="AE35" s="66" t="e">
        <f t="shared" si="8"/>
        <v>#VALUE!</v>
      </c>
      <c r="AF35" s="66">
        <f t="shared" si="9"/>
        <v>0</v>
      </c>
      <c r="AG35" s="66" t="str">
        <f t="shared" si="2"/>
        <v/>
      </c>
      <c r="AH35" s="66" t="str">
        <f t="shared" si="3"/>
        <v/>
      </c>
      <c r="AI35" s="66" t="str">
        <f>IF(AG35="","",MAX($AI$2:AI34)+1)</f>
        <v/>
      </c>
      <c r="AJ35" s="66" t="str">
        <f t="shared" si="5"/>
        <v/>
      </c>
      <c r="AK35" s="66" t="str">
        <f t="shared" si="7"/>
        <v/>
      </c>
      <c r="AL35" s="66" t="str">
        <f t="shared" si="6"/>
        <v/>
      </c>
      <c r="AM35" s="66"/>
      <c r="AN35" s="66"/>
      <c r="AO35" s="66"/>
      <c r="AP35" s="66"/>
      <c r="AQ35" s="66"/>
      <c r="AR35" s="66"/>
      <c r="AS35" s="66"/>
      <c r="AT35" s="66"/>
    </row>
    <row r="36" spans="1:46" s="58" customFormat="1" x14ac:dyDescent="0.2">
      <c r="A36" s="66"/>
      <c r="B36" s="66"/>
      <c r="C36" s="361"/>
      <c r="D36" s="366"/>
      <c r="E36" s="361"/>
      <c r="F36" s="361"/>
      <c r="J36" s="360"/>
      <c r="AA36" s="66"/>
      <c r="AB36" s="66"/>
      <c r="AC36" s="66" t="str">
        <f>IFERROR(VALUE(RIGHT(AA36,LEN(AA36)-MIN(FIND({0;1;2;3;4;5;6;7;8;9},AA36&amp;"0123456789"))+1)),"")</f>
        <v/>
      </c>
      <c r="AD36" s="66" t="str">
        <f t="shared" si="4"/>
        <v/>
      </c>
      <c r="AE36" s="66" t="e">
        <f t="shared" si="8"/>
        <v>#VALUE!</v>
      </c>
      <c r="AF36" s="66">
        <f t="shared" si="9"/>
        <v>0</v>
      </c>
      <c r="AG36" s="66" t="str">
        <f t="shared" si="2"/>
        <v/>
      </c>
      <c r="AH36" s="66" t="str">
        <f t="shared" si="3"/>
        <v/>
      </c>
      <c r="AI36" s="66" t="str">
        <f>IF(AG36="","",MAX($AI$2:AI35)+1)</f>
        <v/>
      </c>
      <c r="AJ36" s="66" t="str">
        <f t="shared" si="5"/>
        <v/>
      </c>
      <c r="AK36" s="66" t="str">
        <f t="shared" si="7"/>
        <v/>
      </c>
      <c r="AL36" s="66" t="str">
        <f t="shared" si="6"/>
        <v/>
      </c>
      <c r="AM36" s="66"/>
      <c r="AN36" s="66"/>
      <c r="AO36" s="66"/>
      <c r="AP36" s="66"/>
      <c r="AQ36" s="66"/>
      <c r="AR36" s="66"/>
      <c r="AS36" s="66"/>
      <c r="AT36" s="66"/>
    </row>
    <row r="37" spans="1:46" s="58" customFormat="1" x14ac:dyDescent="0.2">
      <c r="A37" s="66"/>
      <c r="B37" s="66"/>
      <c r="C37" s="361"/>
      <c r="D37" s="366"/>
      <c r="E37" s="361"/>
      <c r="F37" s="361"/>
      <c r="J37" s="360"/>
      <c r="AA37" s="66"/>
      <c r="AB37" s="66"/>
      <c r="AC37" s="66" t="str">
        <f>IFERROR(VALUE(RIGHT(AA37,LEN(AA37)-MIN(FIND({0;1;2;3;4;5;6;7;8;9},AA37&amp;"0123456789"))+1)),"")</f>
        <v/>
      </c>
      <c r="AD37" s="66" t="str">
        <f t="shared" si="4"/>
        <v/>
      </c>
      <c r="AE37" s="66" t="e">
        <f t="shared" si="8"/>
        <v>#VALUE!</v>
      </c>
      <c r="AF37" s="66">
        <f t="shared" si="9"/>
        <v>0</v>
      </c>
      <c r="AG37" s="66" t="str">
        <f t="shared" si="2"/>
        <v/>
      </c>
      <c r="AH37" s="66" t="str">
        <f t="shared" si="3"/>
        <v/>
      </c>
      <c r="AI37" s="66" t="str">
        <f>IF(AG37="","",MAX($AI$2:AI36)+1)</f>
        <v/>
      </c>
      <c r="AJ37" s="66" t="str">
        <f t="shared" si="5"/>
        <v/>
      </c>
      <c r="AK37" s="66" t="str">
        <f t="shared" si="7"/>
        <v/>
      </c>
      <c r="AL37" s="66" t="str">
        <f t="shared" si="6"/>
        <v/>
      </c>
      <c r="AM37" s="66"/>
      <c r="AN37" s="66"/>
      <c r="AO37" s="66"/>
      <c r="AP37" s="66"/>
      <c r="AQ37" s="66"/>
      <c r="AR37" s="66"/>
      <c r="AS37" s="66"/>
      <c r="AT37" s="66"/>
    </row>
    <row r="38" spans="1:46" s="58" customFormat="1" x14ac:dyDescent="0.2">
      <c r="A38" s="66"/>
      <c r="B38" s="66"/>
      <c r="C38" s="361"/>
      <c r="D38" s="366"/>
      <c r="E38" s="361"/>
      <c r="F38" s="361"/>
      <c r="J38" s="360"/>
      <c r="AA38" s="66"/>
      <c r="AB38" s="66"/>
      <c r="AC38" s="66" t="str">
        <f>IFERROR(VALUE(RIGHT(AA38,LEN(AA38)-MIN(FIND({0;1;2;3;4;5;6;7;8;9},AA38&amp;"0123456789"))+1)),"")</f>
        <v/>
      </c>
      <c r="AD38" s="66" t="str">
        <f t="shared" si="4"/>
        <v/>
      </c>
      <c r="AE38" s="66" t="e">
        <f t="shared" si="8"/>
        <v>#VALUE!</v>
      </c>
      <c r="AF38" s="66">
        <f t="shared" si="9"/>
        <v>0</v>
      </c>
      <c r="AG38" s="66" t="str">
        <f t="shared" si="2"/>
        <v/>
      </c>
      <c r="AH38" s="66" t="str">
        <f t="shared" si="3"/>
        <v/>
      </c>
      <c r="AI38" s="66" t="str">
        <f>IF(AG38="","",MAX($AI$2:AI37)+1)</f>
        <v/>
      </c>
      <c r="AJ38" s="66" t="str">
        <f t="shared" si="5"/>
        <v/>
      </c>
      <c r="AK38" s="66" t="str">
        <f t="shared" si="7"/>
        <v/>
      </c>
      <c r="AL38" s="66" t="str">
        <f t="shared" si="6"/>
        <v/>
      </c>
      <c r="AM38" s="66"/>
      <c r="AN38" s="66"/>
      <c r="AO38" s="66"/>
      <c r="AP38" s="66"/>
      <c r="AQ38" s="66"/>
      <c r="AR38" s="66"/>
      <c r="AS38" s="66"/>
      <c r="AT38" s="66"/>
    </row>
    <row r="39" spans="1:46" s="58" customFormat="1" x14ac:dyDescent="0.2">
      <c r="A39" s="66"/>
      <c r="B39" s="66"/>
      <c r="C39" s="361"/>
      <c r="D39" s="366"/>
      <c r="E39" s="361"/>
      <c r="F39" s="361"/>
      <c r="J39" s="360"/>
      <c r="AA39" s="66"/>
      <c r="AB39" s="66"/>
      <c r="AC39" s="66" t="str">
        <f>IFERROR(VALUE(RIGHT(AA39,LEN(AA39)-MIN(FIND({0;1;2;3;4;5;6;7;8;9},AA39&amp;"0123456789"))+1)),"")</f>
        <v/>
      </c>
      <c r="AD39" s="66" t="str">
        <f t="shared" si="4"/>
        <v/>
      </c>
      <c r="AE39" s="66" t="e">
        <f t="shared" si="8"/>
        <v>#VALUE!</v>
      </c>
      <c r="AF39" s="66">
        <f t="shared" si="9"/>
        <v>0</v>
      </c>
      <c r="AG39" s="66" t="str">
        <f t="shared" si="2"/>
        <v/>
      </c>
      <c r="AH39" s="66" t="str">
        <f t="shared" si="3"/>
        <v/>
      </c>
      <c r="AI39" s="66" t="str">
        <f>IF(AG39="","",MAX($AI$2:AI38)+1)</f>
        <v/>
      </c>
      <c r="AJ39" s="66" t="str">
        <f t="shared" si="5"/>
        <v/>
      </c>
      <c r="AK39" s="66" t="str">
        <f t="shared" si="7"/>
        <v/>
      </c>
      <c r="AL39" s="66" t="str">
        <f t="shared" si="6"/>
        <v/>
      </c>
      <c r="AM39" s="66"/>
      <c r="AN39" s="66"/>
      <c r="AO39" s="66"/>
      <c r="AP39" s="66"/>
      <c r="AQ39" s="66"/>
      <c r="AR39" s="66"/>
      <c r="AS39" s="66"/>
      <c r="AT39" s="66"/>
    </row>
    <row r="40" spans="1:46" s="58" customFormat="1" x14ac:dyDescent="0.2">
      <c r="A40" s="66"/>
      <c r="B40" s="66"/>
      <c r="C40" s="361"/>
      <c r="D40" s="366"/>
      <c r="E40" s="361"/>
      <c r="F40" s="361"/>
      <c r="J40" s="360"/>
      <c r="AA40" s="66"/>
      <c r="AB40" s="66"/>
      <c r="AC40" s="66" t="str">
        <f>IFERROR(VALUE(RIGHT(AA40,LEN(AA40)-MIN(FIND({0;1;2;3;4;5;6;7;8;9},AA40&amp;"0123456789"))+1)),"")</f>
        <v/>
      </c>
      <c r="AD40" s="66" t="str">
        <f t="shared" si="4"/>
        <v/>
      </c>
      <c r="AE40" s="66" t="e">
        <f t="shared" si="8"/>
        <v>#VALUE!</v>
      </c>
      <c r="AF40" s="66">
        <f t="shared" si="9"/>
        <v>0</v>
      </c>
      <c r="AG40" s="66" t="str">
        <f t="shared" si="2"/>
        <v/>
      </c>
      <c r="AH40" s="66" t="str">
        <f t="shared" si="3"/>
        <v/>
      </c>
      <c r="AI40" s="66" t="str">
        <f>IF(AG40="","",MAX($AI$2:AI39)+1)</f>
        <v/>
      </c>
      <c r="AJ40" s="66" t="str">
        <f t="shared" si="5"/>
        <v/>
      </c>
      <c r="AK40" s="66" t="str">
        <f t="shared" si="7"/>
        <v/>
      </c>
      <c r="AL40" s="66" t="str">
        <f t="shared" si="6"/>
        <v/>
      </c>
      <c r="AM40" s="66"/>
      <c r="AN40" s="66"/>
      <c r="AO40" s="66"/>
      <c r="AP40" s="66"/>
      <c r="AQ40" s="66"/>
      <c r="AR40" s="66"/>
      <c r="AS40" s="66"/>
      <c r="AT40" s="66"/>
    </row>
    <row r="41" spans="1:46" s="58" customFormat="1" x14ac:dyDescent="0.2">
      <c r="A41" s="66"/>
      <c r="B41" s="66"/>
      <c r="C41" s="361"/>
      <c r="D41" s="366"/>
      <c r="E41" s="361"/>
      <c r="F41" s="361"/>
      <c r="J41" s="360"/>
      <c r="AA41" s="66"/>
      <c r="AB41" s="66"/>
      <c r="AC41" s="66" t="str">
        <f>IFERROR(VALUE(RIGHT(AA41,LEN(AA41)-MIN(FIND({0;1;2;3;4;5;6;7;8;9},AA41&amp;"0123456789"))+1)),"")</f>
        <v/>
      </c>
      <c r="AD41" s="66" t="str">
        <f t="shared" si="4"/>
        <v/>
      </c>
      <c r="AE41" s="66" t="e">
        <f t="shared" si="8"/>
        <v>#VALUE!</v>
      </c>
      <c r="AF41" s="66">
        <f t="shared" si="9"/>
        <v>0</v>
      </c>
      <c r="AG41" s="66" t="str">
        <f t="shared" si="2"/>
        <v/>
      </c>
      <c r="AH41" s="66" t="str">
        <f t="shared" si="3"/>
        <v/>
      </c>
      <c r="AI41" s="66" t="str">
        <f>IF(AG41="","",MAX($AI$2:AI40)+1)</f>
        <v/>
      </c>
      <c r="AJ41" s="66" t="str">
        <f t="shared" si="5"/>
        <v/>
      </c>
      <c r="AK41" s="66" t="str">
        <f t="shared" si="7"/>
        <v/>
      </c>
      <c r="AL41" s="66" t="str">
        <f t="shared" si="6"/>
        <v/>
      </c>
      <c r="AM41" s="66"/>
      <c r="AN41" s="66"/>
      <c r="AO41" s="66"/>
      <c r="AP41" s="66"/>
      <c r="AQ41" s="66"/>
      <c r="AR41" s="66"/>
      <c r="AS41" s="66"/>
      <c r="AT41" s="66"/>
    </row>
    <row r="42" spans="1:46" s="58" customFormat="1" x14ac:dyDescent="0.2">
      <c r="A42" s="66"/>
      <c r="B42" s="66"/>
      <c r="C42" s="361"/>
      <c r="D42" s="366"/>
      <c r="E42" s="361"/>
      <c r="F42" s="361"/>
      <c r="J42" s="360"/>
      <c r="AA42" s="66"/>
      <c r="AB42" s="66"/>
      <c r="AC42" s="66" t="str">
        <f>IFERROR(VALUE(RIGHT(AA42,LEN(AA42)-MIN(FIND({0;1;2;3;4;5;6;7;8;9},AA42&amp;"0123456789"))+1)),"")</f>
        <v/>
      </c>
      <c r="AD42" s="66" t="str">
        <f t="shared" si="4"/>
        <v/>
      </c>
      <c r="AE42" s="66" t="e">
        <f t="shared" si="8"/>
        <v>#VALUE!</v>
      </c>
      <c r="AF42" s="66">
        <f t="shared" si="9"/>
        <v>0</v>
      </c>
      <c r="AG42" s="66" t="str">
        <f t="shared" si="2"/>
        <v/>
      </c>
      <c r="AH42" s="66" t="str">
        <f t="shared" si="3"/>
        <v/>
      </c>
      <c r="AI42" s="66" t="str">
        <f>IF(AG42="","",MAX($AI$2:AI41)+1)</f>
        <v/>
      </c>
      <c r="AJ42" s="66" t="str">
        <f t="shared" si="5"/>
        <v/>
      </c>
      <c r="AK42" s="66" t="str">
        <f t="shared" si="7"/>
        <v/>
      </c>
      <c r="AL42" s="66" t="str">
        <f t="shared" si="6"/>
        <v/>
      </c>
      <c r="AM42" s="66"/>
      <c r="AN42" s="66"/>
      <c r="AO42" s="66"/>
      <c r="AP42" s="66"/>
      <c r="AQ42" s="66"/>
      <c r="AR42" s="66"/>
      <c r="AS42" s="66"/>
      <c r="AT42" s="66"/>
    </row>
    <row r="43" spans="1:46" s="58" customFormat="1" x14ac:dyDescent="0.2">
      <c r="A43" s="66"/>
      <c r="B43" s="66"/>
      <c r="C43" s="361"/>
      <c r="D43" s="366"/>
      <c r="E43" s="361"/>
      <c r="F43" s="361"/>
      <c r="H43" s="360"/>
      <c r="I43" s="360"/>
      <c r="J43" s="360"/>
      <c r="AA43" s="66"/>
      <c r="AB43" s="66"/>
      <c r="AC43" s="66" t="str">
        <f>IFERROR(VALUE(RIGHT(AA43,LEN(AA43)-MIN(FIND({0;1;2;3;4;5;6;7;8;9},AA43&amp;"0123456789"))+1)),"")</f>
        <v/>
      </c>
      <c r="AD43" s="66" t="str">
        <f t="shared" si="4"/>
        <v/>
      </c>
      <c r="AE43" s="66" t="e">
        <f t="shared" si="8"/>
        <v>#VALUE!</v>
      </c>
      <c r="AF43" s="66">
        <f t="shared" si="9"/>
        <v>0</v>
      </c>
      <c r="AG43" s="66" t="str">
        <f t="shared" si="2"/>
        <v/>
      </c>
      <c r="AH43" s="66" t="str">
        <f t="shared" si="3"/>
        <v/>
      </c>
      <c r="AI43" s="66" t="str">
        <f>IF(AG43="","",MAX($AI$2:AI42)+1)</f>
        <v/>
      </c>
      <c r="AJ43" s="66" t="str">
        <f t="shared" si="5"/>
        <v/>
      </c>
      <c r="AK43" s="66" t="str">
        <f t="shared" si="7"/>
        <v/>
      </c>
      <c r="AL43" s="66" t="str">
        <f t="shared" si="6"/>
        <v/>
      </c>
      <c r="AM43" s="66"/>
      <c r="AN43" s="66"/>
      <c r="AO43" s="66"/>
      <c r="AP43" s="66"/>
      <c r="AQ43" s="66"/>
      <c r="AR43" s="66"/>
      <c r="AS43" s="66"/>
      <c r="AT43" s="66"/>
    </row>
    <row r="44" spans="1:46" s="58" customFormat="1" x14ac:dyDescent="0.2">
      <c r="A44" s="66"/>
      <c r="B44" s="342"/>
      <c r="C44" s="361"/>
      <c r="D44" s="366"/>
      <c r="E44" s="361"/>
      <c r="F44" s="361"/>
      <c r="H44" s="360"/>
      <c r="I44" s="360"/>
      <c r="J44" s="360"/>
      <c r="AA44" s="66"/>
      <c r="AB44" s="66"/>
      <c r="AC44" s="66" t="str">
        <f>IFERROR(VALUE(RIGHT(AA44,LEN(AA44)-MIN(FIND({0;1;2;3;4;5;6;7;8;9},AA44&amp;"0123456789"))+1)),"")</f>
        <v/>
      </c>
      <c r="AD44" s="66" t="str">
        <f t="shared" si="4"/>
        <v/>
      </c>
      <c r="AE44" s="66" t="e">
        <f t="shared" si="8"/>
        <v>#VALUE!</v>
      </c>
      <c r="AF44" s="66">
        <f t="shared" si="9"/>
        <v>0</v>
      </c>
      <c r="AG44" s="66" t="str">
        <f t="shared" si="2"/>
        <v/>
      </c>
      <c r="AH44" s="66" t="str">
        <f t="shared" si="3"/>
        <v/>
      </c>
      <c r="AI44" s="66" t="str">
        <f>IF(AG44="","",MAX($AI$2:AI43)+1)</f>
        <v/>
      </c>
      <c r="AJ44" s="66" t="str">
        <f t="shared" si="5"/>
        <v/>
      </c>
      <c r="AK44" s="66" t="str">
        <f t="shared" si="7"/>
        <v/>
      </c>
      <c r="AL44" s="66" t="str">
        <f t="shared" si="6"/>
        <v/>
      </c>
      <c r="AM44" s="66"/>
      <c r="AN44" s="66"/>
      <c r="AO44" s="66"/>
      <c r="AP44" s="66"/>
      <c r="AQ44" s="66"/>
      <c r="AR44" s="66"/>
      <c r="AS44" s="66"/>
      <c r="AT44" s="66"/>
    </row>
    <row r="45" spans="1:46" s="58" customFormat="1" x14ac:dyDescent="0.2">
      <c r="A45" s="66"/>
      <c r="B45" s="66"/>
      <c r="C45" s="361"/>
      <c r="D45" s="366"/>
      <c r="E45" s="361"/>
      <c r="F45" s="361"/>
      <c r="H45" s="360"/>
      <c r="I45" s="360"/>
      <c r="J45" s="360"/>
      <c r="AA45" s="66"/>
      <c r="AB45" s="66"/>
      <c r="AC45" s="66" t="str">
        <f>IFERROR(VALUE(RIGHT(AA45,LEN(AA45)-MIN(FIND({0;1;2;3;4;5;6;7;8;9},AA45&amp;"0123456789"))+1)),"")</f>
        <v/>
      </c>
      <c r="AD45" s="66" t="str">
        <f t="shared" si="4"/>
        <v/>
      </c>
      <c r="AE45" s="66" t="e">
        <f t="shared" si="8"/>
        <v>#VALUE!</v>
      </c>
      <c r="AF45" s="66">
        <f t="shared" si="9"/>
        <v>0</v>
      </c>
      <c r="AG45" s="66" t="str">
        <f t="shared" si="2"/>
        <v/>
      </c>
      <c r="AH45" s="66" t="str">
        <f t="shared" si="3"/>
        <v/>
      </c>
      <c r="AI45" s="66" t="str">
        <f>IF(AG45="","",MAX($AI$2:AI44)+1)</f>
        <v/>
      </c>
      <c r="AJ45" s="66" t="str">
        <f t="shared" si="5"/>
        <v/>
      </c>
      <c r="AK45" s="66" t="str">
        <f t="shared" si="7"/>
        <v/>
      </c>
      <c r="AL45" s="66" t="str">
        <f t="shared" si="6"/>
        <v/>
      </c>
      <c r="AM45" s="66"/>
      <c r="AN45" s="66"/>
      <c r="AO45" s="66"/>
      <c r="AP45" s="66"/>
      <c r="AQ45" s="66"/>
      <c r="AR45" s="66"/>
      <c r="AS45" s="66"/>
      <c r="AT45" s="66"/>
    </row>
    <row r="46" spans="1:46" s="58" customFormat="1" x14ac:dyDescent="0.2">
      <c r="A46" s="66"/>
      <c r="B46" s="66"/>
      <c r="C46" s="361"/>
      <c r="D46" s="366"/>
      <c r="E46" s="361"/>
      <c r="F46" s="361"/>
      <c r="H46" s="360"/>
      <c r="I46" s="360"/>
      <c r="J46" s="360"/>
      <c r="AA46" s="66"/>
      <c r="AB46" s="66"/>
      <c r="AC46" s="66" t="str">
        <f>IFERROR(VALUE(RIGHT(AA46,LEN(AA46)-MIN(FIND({0;1;2;3;4;5;6;7;8;9},AA46&amp;"0123456789"))+1)),"")</f>
        <v/>
      </c>
      <c r="AD46" s="66" t="str">
        <f t="shared" si="4"/>
        <v/>
      </c>
      <c r="AE46" s="66" t="e">
        <f t="shared" si="8"/>
        <v>#VALUE!</v>
      </c>
      <c r="AF46" s="66">
        <f t="shared" si="9"/>
        <v>0</v>
      </c>
      <c r="AG46" s="66" t="str">
        <f t="shared" si="2"/>
        <v/>
      </c>
      <c r="AH46" s="66" t="str">
        <f t="shared" si="3"/>
        <v/>
      </c>
      <c r="AI46" s="66" t="str">
        <f>IF(AG46="","",MAX($AI$2:AI45)+1)</f>
        <v/>
      </c>
      <c r="AJ46" s="66" t="str">
        <f t="shared" si="5"/>
        <v/>
      </c>
      <c r="AK46" s="66" t="str">
        <f t="shared" si="7"/>
        <v/>
      </c>
      <c r="AL46" s="66" t="str">
        <f t="shared" si="6"/>
        <v/>
      </c>
      <c r="AM46" s="66"/>
      <c r="AN46" s="66"/>
      <c r="AO46" s="66"/>
      <c r="AP46" s="66"/>
      <c r="AQ46" s="66"/>
      <c r="AR46" s="66"/>
      <c r="AS46" s="66"/>
      <c r="AT46" s="66"/>
    </row>
    <row r="47" spans="1:46" s="58" customFormat="1" x14ac:dyDescent="0.2">
      <c r="A47" s="66"/>
      <c r="B47" s="66"/>
      <c r="C47" s="361"/>
      <c r="D47" s="366"/>
      <c r="E47" s="361"/>
      <c r="F47" s="361"/>
      <c r="H47" s="360"/>
      <c r="I47" s="360"/>
      <c r="J47" s="360"/>
      <c r="AA47" s="66"/>
      <c r="AB47" s="66"/>
      <c r="AC47" s="66" t="str">
        <f>IFERROR(VALUE(RIGHT(AA47,LEN(AA47)-MIN(FIND({0;1;2;3;4;5;6;7;8;9},AA47&amp;"0123456789"))+1)),"")</f>
        <v/>
      </c>
      <c r="AD47" s="66" t="str">
        <f t="shared" si="4"/>
        <v/>
      </c>
      <c r="AE47" s="66" t="e">
        <f t="shared" si="8"/>
        <v>#VALUE!</v>
      </c>
      <c r="AF47" s="66">
        <f t="shared" si="9"/>
        <v>0</v>
      </c>
      <c r="AG47" s="66" t="str">
        <f t="shared" si="2"/>
        <v/>
      </c>
      <c r="AH47" s="66" t="str">
        <f t="shared" si="3"/>
        <v/>
      </c>
      <c r="AI47" s="66" t="str">
        <f>IF(AG47="","",MAX($AI$2:AI46)+1)</f>
        <v/>
      </c>
      <c r="AJ47" s="66" t="str">
        <f t="shared" si="5"/>
        <v/>
      </c>
      <c r="AK47" s="66" t="str">
        <f t="shared" si="7"/>
        <v/>
      </c>
      <c r="AL47" s="66" t="str">
        <f t="shared" si="6"/>
        <v/>
      </c>
      <c r="AM47" s="66"/>
      <c r="AN47" s="66"/>
      <c r="AO47" s="66"/>
      <c r="AP47" s="66"/>
      <c r="AQ47" s="66"/>
      <c r="AR47" s="66"/>
      <c r="AS47" s="66"/>
      <c r="AT47" s="66"/>
    </row>
    <row r="48" spans="1:46" s="58" customFormat="1" x14ac:dyDescent="0.2">
      <c r="A48" s="66"/>
      <c r="B48" s="66"/>
      <c r="C48" s="361"/>
      <c r="D48" s="366"/>
      <c r="E48" s="361"/>
      <c r="F48" s="361"/>
      <c r="H48" s="360"/>
      <c r="I48" s="360"/>
      <c r="J48" s="360"/>
      <c r="AA48" s="66"/>
      <c r="AB48" s="66"/>
      <c r="AC48" s="66" t="str">
        <f>IFERROR(VALUE(RIGHT(AA48,LEN(AA48)-MIN(FIND({0;1;2;3;4;5;6;7;8;9},AA48&amp;"0123456789"))+1)),"")</f>
        <v/>
      </c>
      <c r="AD48" s="66" t="str">
        <f t="shared" si="4"/>
        <v/>
      </c>
      <c r="AE48" s="66" t="e">
        <f t="shared" si="8"/>
        <v>#VALUE!</v>
      </c>
      <c r="AF48" s="66">
        <f t="shared" si="9"/>
        <v>0</v>
      </c>
      <c r="AG48" s="66" t="str">
        <f t="shared" si="2"/>
        <v/>
      </c>
      <c r="AH48" s="66" t="str">
        <f t="shared" si="3"/>
        <v/>
      </c>
      <c r="AI48" s="66" t="str">
        <f>IF(AG48="","",MAX($AI$2:AI47)+1)</f>
        <v/>
      </c>
      <c r="AJ48" s="66" t="str">
        <f t="shared" si="5"/>
        <v/>
      </c>
      <c r="AK48" s="66" t="str">
        <f t="shared" si="7"/>
        <v/>
      </c>
      <c r="AL48" s="66" t="str">
        <f t="shared" si="6"/>
        <v/>
      </c>
      <c r="AM48" s="66"/>
      <c r="AN48" s="66"/>
      <c r="AO48" s="66"/>
      <c r="AP48" s="66"/>
      <c r="AQ48" s="66"/>
      <c r="AR48" s="66"/>
      <c r="AS48" s="66"/>
      <c r="AT48" s="66"/>
    </row>
    <row r="49" spans="1:46" s="58" customFormat="1" x14ac:dyDescent="0.2">
      <c r="A49" s="66"/>
      <c r="B49" s="66"/>
      <c r="C49" s="361"/>
      <c r="D49" s="366"/>
      <c r="E49" s="361"/>
      <c r="F49" s="361"/>
      <c r="H49" s="360"/>
      <c r="I49" s="360"/>
      <c r="J49" s="360"/>
      <c r="AA49" s="66"/>
      <c r="AB49" s="66"/>
      <c r="AC49" s="66" t="str">
        <f>IFERROR(VALUE(RIGHT(AA49,LEN(AA49)-MIN(FIND({0;1;2;3;4;5;6;7;8;9},AA49&amp;"0123456789"))+1)),"")</f>
        <v/>
      </c>
      <c r="AD49" s="66" t="str">
        <f t="shared" si="4"/>
        <v/>
      </c>
      <c r="AE49" s="66" t="e">
        <f t="shared" si="8"/>
        <v>#VALUE!</v>
      </c>
      <c r="AF49" s="66">
        <f t="shared" si="9"/>
        <v>0</v>
      </c>
      <c r="AG49" s="66" t="str">
        <f t="shared" si="2"/>
        <v/>
      </c>
      <c r="AH49" s="66" t="str">
        <f t="shared" si="3"/>
        <v/>
      </c>
      <c r="AI49" s="66" t="str">
        <f>IF(AG49="","",MAX($AI$2:AI48)+1)</f>
        <v/>
      </c>
      <c r="AJ49" s="66" t="str">
        <f t="shared" si="5"/>
        <v/>
      </c>
      <c r="AK49" s="66" t="str">
        <f t="shared" si="7"/>
        <v/>
      </c>
      <c r="AL49" s="66" t="str">
        <f t="shared" si="6"/>
        <v/>
      </c>
      <c r="AM49" s="66"/>
      <c r="AN49" s="66"/>
      <c r="AO49" s="66"/>
      <c r="AP49" s="66"/>
      <c r="AQ49" s="66"/>
      <c r="AR49" s="66"/>
      <c r="AS49" s="66"/>
      <c r="AT49" s="66"/>
    </row>
    <row r="50" spans="1:46" s="58" customFormat="1" x14ac:dyDescent="0.2">
      <c r="A50" s="66"/>
      <c r="B50" s="66"/>
      <c r="C50" s="361"/>
      <c r="D50" s="361"/>
      <c r="E50" s="361"/>
      <c r="F50" s="361"/>
      <c r="H50" s="360"/>
      <c r="I50" s="360"/>
      <c r="J50" s="360"/>
      <c r="AA50" s="66"/>
      <c r="AB50" s="66"/>
      <c r="AC50" s="66" t="str">
        <f>IFERROR(VALUE(RIGHT(AA50,LEN(AA50)-MIN(FIND({0;1;2;3;4;5;6;7;8;9},AA50&amp;"0123456789"))+1)),"")</f>
        <v/>
      </c>
      <c r="AD50" s="66" t="str">
        <f t="shared" si="4"/>
        <v/>
      </c>
      <c r="AE50" s="66" t="e">
        <f t="shared" si="8"/>
        <v>#VALUE!</v>
      </c>
      <c r="AF50" s="66">
        <f t="shared" si="9"/>
        <v>0</v>
      </c>
      <c r="AG50" s="66" t="str">
        <f t="shared" si="2"/>
        <v/>
      </c>
      <c r="AH50" s="66" t="str">
        <f t="shared" si="3"/>
        <v/>
      </c>
      <c r="AI50" s="66" t="str">
        <f>IF(AG50="","",MAX($AI$2:AI49)+1)</f>
        <v/>
      </c>
      <c r="AJ50" s="66" t="str">
        <f t="shared" si="5"/>
        <v/>
      </c>
      <c r="AK50" s="66" t="str">
        <f t="shared" si="7"/>
        <v/>
      </c>
      <c r="AL50" s="66" t="str">
        <f t="shared" si="6"/>
        <v/>
      </c>
      <c r="AM50" s="66"/>
      <c r="AN50" s="66"/>
      <c r="AO50" s="66"/>
      <c r="AP50" s="66"/>
      <c r="AQ50" s="66"/>
      <c r="AR50" s="66"/>
      <c r="AS50" s="66"/>
      <c r="AT50" s="66"/>
    </row>
    <row r="51" spans="1:46" s="58" customFormat="1" x14ac:dyDescent="0.2">
      <c r="A51" s="66"/>
      <c r="B51" s="66"/>
      <c r="C51" s="361"/>
      <c r="D51" s="361"/>
      <c r="E51" s="361"/>
      <c r="F51" s="361"/>
      <c r="G51" s="360"/>
      <c r="H51" s="360"/>
      <c r="I51" s="360"/>
      <c r="J51" s="360"/>
      <c r="AA51" s="66"/>
      <c r="AB51" s="66"/>
      <c r="AC51" s="66" t="str">
        <f>IFERROR(VALUE(RIGHT(AA51,LEN(AA51)-MIN(FIND({0;1;2;3;4;5;6;7;8;9},AA51&amp;"0123456789"))+1)),"")</f>
        <v/>
      </c>
      <c r="AD51" s="66" t="str">
        <f t="shared" si="4"/>
        <v/>
      </c>
      <c r="AE51" s="66" t="e">
        <f t="shared" si="8"/>
        <v>#VALUE!</v>
      </c>
      <c r="AF51" s="66">
        <f t="shared" si="9"/>
        <v>0</v>
      </c>
      <c r="AG51" s="66" t="str">
        <f t="shared" si="2"/>
        <v/>
      </c>
      <c r="AH51" s="66" t="str">
        <f t="shared" si="3"/>
        <v/>
      </c>
      <c r="AI51" s="66" t="str">
        <f>IF(AG51="","",MAX($AI$2:AI50)+1)</f>
        <v/>
      </c>
      <c r="AJ51" s="66" t="str">
        <f t="shared" si="5"/>
        <v/>
      </c>
      <c r="AK51" s="66" t="str">
        <f t="shared" si="7"/>
        <v/>
      </c>
      <c r="AL51" s="66" t="str">
        <f t="shared" si="6"/>
        <v/>
      </c>
      <c r="AM51" s="66"/>
      <c r="AN51" s="66"/>
      <c r="AO51" s="66"/>
      <c r="AP51" s="66"/>
      <c r="AQ51" s="66"/>
      <c r="AR51" s="66"/>
      <c r="AS51" s="66"/>
      <c r="AT51" s="66"/>
    </row>
    <row r="52" spans="1:46" s="58" customFormat="1" x14ac:dyDescent="0.2">
      <c r="A52" s="66"/>
      <c r="B52" s="66"/>
      <c r="C52" s="361"/>
      <c r="D52" s="361"/>
      <c r="E52" s="361"/>
      <c r="F52" s="361"/>
      <c r="G52" s="360"/>
      <c r="H52" s="360"/>
      <c r="I52" s="360"/>
      <c r="J52" s="360"/>
      <c r="AA52" s="66"/>
      <c r="AB52" s="66"/>
      <c r="AC52" s="66" t="str">
        <f>IFERROR(VALUE(RIGHT(AA52,LEN(AA52)-MIN(FIND({0;1;2;3;4;5;6;7;8;9},AA52&amp;"0123456789"))+1)),"")</f>
        <v/>
      </c>
      <c r="AD52" s="66" t="str">
        <f t="shared" si="4"/>
        <v/>
      </c>
      <c r="AE52" s="66" t="e">
        <f t="shared" si="8"/>
        <v>#VALUE!</v>
      </c>
      <c r="AF52" s="66">
        <f t="shared" si="9"/>
        <v>0</v>
      </c>
      <c r="AG52" s="66" t="str">
        <f t="shared" si="2"/>
        <v/>
      </c>
      <c r="AH52" s="66" t="str">
        <f t="shared" si="3"/>
        <v/>
      </c>
      <c r="AI52" s="66" t="str">
        <f>IF(AG52="","",MAX($AI$2:AI51)+1)</f>
        <v/>
      </c>
      <c r="AJ52" s="66" t="str">
        <f t="shared" si="5"/>
        <v/>
      </c>
      <c r="AK52" s="66" t="str">
        <f t="shared" si="7"/>
        <v/>
      </c>
      <c r="AL52" s="66" t="str">
        <f t="shared" si="6"/>
        <v/>
      </c>
      <c r="AM52" s="66"/>
      <c r="AN52" s="66"/>
      <c r="AO52" s="66"/>
      <c r="AP52" s="66"/>
      <c r="AQ52" s="66"/>
      <c r="AR52" s="66"/>
      <c r="AS52" s="66"/>
      <c r="AT52" s="66"/>
    </row>
    <row r="53" spans="1:46" s="58" customFormat="1" x14ac:dyDescent="0.2">
      <c r="A53" s="66"/>
      <c r="B53" s="66"/>
      <c r="C53" s="361"/>
      <c r="D53" s="361"/>
      <c r="E53" s="361"/>
      <c r="F53" s="361"/>
      <c r="G53" s="360"/>
      <c r="H53" s="360"/>
      <c r="I53" s="360"/>
      <c r="J53" s="360"/>
      <c r="AA53" s="66"/>
      <c r="AB53" s="66"/>
      <c r="AC53" s="66" t="str">
        <f>IFERROR(VALUE(RIGHT(AA53,LEN(AA53)-MIN(FIND({0;1;2;3;4;5;6;7;8;9},AA53&amp;"0123456789"))+1)),"")</f>
        <v/>
      </c>
      <c r="AD53" s="66" t="str">
        <f t="shared" si="4"/>
        <v/>
      </c>
      <c r="AE53" s="66" t="e">
        <f t="shared" si="8"/>
        <v>#VALUE!</v>
      </c>
      <c r="AF53" s="66">
        <f t="shared" si="9"/>
        <v>0</v>
      </c>
      <c r="AG53" s="66" t="str">
        <f t="shared" si="2"/>
        <v/>
      </c>
      <c r="AH53" s="66" t="str">
        <f t="shared" si="3"/>
        <v/>
      </c>
      <c r="AI53" s="66" t="str">
        <f>IF(AG53="","",MAX($AI$2:AI52)+1)</f>
        <v/>
      </c>
      <c r="AJ53" s="66" t="str">
        <f t="shared" si="5"/>
        <v/>
      </c>
      <c r="AK53" s="66" t="str">
        <f t="shared" si="7"/>
        <v/>
      </c>
      <c r="AL53" s="66" t="str">
        <f t="shared" si="6"/>
        <v/>
      </c>
      <c r="AM53" s="66"/>
      <c r="AN53" s="66"/>
      <c r="AO53" s="66"/>
      <c r="AP53" s="66"/>
      <c r="AQ53" s="66"/>
      <c r="AR53" s="66"/>
      <c r="AS53" s="66"/>
      <c r="AT53" s="66"/>
    </row>
    <row r="54" spans="1:46" s="58" customFormat="1" x14ac:dyDescent="0.2">
      <c r="A54" s="66"/>
      <c r="B54" s="66"/>
      <c r="C54" s="361"/>
      <c r="D54" s="361"/>
      <c r="E54" s="361"/>
      <c r="F54" s="361"/>
      <c r="G54" s="360"/>
      <c r="H54" s="360"/>
      <c r="I54" s="360"/>
      <c r="J54" s="360"/>
      <c r="AA54" s="66"/>
      <c r="AB54" s="66"/>
      <c r="AC54" s="66" t="str">
        <f>IFERROR(VALUE(RIGHT(AA54,LEN(AA54)-MIN(FIND({0;1;2;3;4;5;6;7;8;9},AA54&amp;"0123456789"))+1)),"")</f>
        <v/>
      </c>
      <c r="AD54" s="66" t="str">
        <f t="shared" si="4"/>
        <v/>
      </c>
      <c r="AE54" s="66" t="e">
        <f t="shared" si="8"/>
        <v>#VALUE!</v>
      </c>
      <c r="AF54" s="66">
        <f t="shared" si="9"/>
        <v>0</v>
      </c>
      <c r="AG54" s="66" t="str">
        <f t="shared" si="2"/>
        <v/>
      </c>
      <c r="AH54" s="66" t="str">
        <f t="shared" si="3"/>
        <v/>
      </c>
      <c r="AI54" s="66" t="str">
        <f>IF(AG54="","",MAX($AI$2:AI53)+1)</f>
        <v/>
      </c>
      <c r="AJ54" s="66" t="str">
        <f t="shared" si="5"/>
        <v/>
      </c>
      <c r="AK54" s="66" t="str">
        <f t="shared" si="7"/>
        <v/>
      </c>
      <c r="AL54" s="66" t="str">
        <f t="shared" si="6"/>
        <v/>
      </c>
      <c r="AM54" s="66"/>
      <c r="AN54" s="66"/>
      <c r="AO54" s="66"/>
      <c r="AP54" s="66"/>
      <c r="AQ54" s="66"/>
      <c r="AR54" s="66"/>
      <c r="AS54" s="66"/>
      <c r="AT54" s="66"/>
    </row>
    <row r="55" spans="1:46" s="58" customFormat="1" x14ac:dyDescent="0.2">
      <c r="A55" s="66"/>
      <c r="B55" s="342"/>
      <c r="C55" s="361"/>
      <c r="D55" s="430"/>
      <c r="E55" s="361"/>
      <c r="F55" s="361"/>
      <c r="G55" s="360"/>
      <c r="H55" s="360"/>
      <c r="I55" s="360"/>
      <c r="J55" s="360"/>
      <c r="AA55" s="66"/>
      <c r="AB55" s="66"/>
      <c r="AC55" s="66" t="str">
        <f>IFERROR(VALUE(RIGHT(AA55,LEN(AA55)-MIN(FIND({0;1;2;3;4;5;6;7;8;9},AA55&amp;"0123456789"))+1)),"")</f>
        <v/>
      </c>
      <c r="AD55" s="66" t="str">
        <f t="shared" si="4"/>
        <v/>
      </c>
      <c r="AE55" s="66" t="e">
        <f t="shared" si="8"/>
        <v>#VALUE!</v>
      </c>
      <c r="AF55" s="66">
        <f t="shared" si="9"/>
        <v>0</v>
      </c>
      <c r="AG55" s="66" t="str">
        <f t="shared" si="2"/>
        <v/>
      </c>
      <c r="AH55" s="66" t="str">
        <f t="shared" si="3"/>
        <v/>
      </c>
      <c r="AI55" s="66" t="str">
        <f>IF(AG55="","",MAX($AI$2:AI54)+1)</f>
        <v/>
      </c>
      <c r="AJ55" s="66" t="str">
        <f t="shared" si="5"/>
        <v/>
      </c>
      <c r="AK55" s="66" t="str">
        <f t="shared" si="7"/>
        <v/>
      </c>
      <c r="AL55" s="66" t="str">
        <f t="shared" si="6"/>
        <v/>
      </c>
      <c r="AM55" s="66"/>
      <c r="AN55" s="66"/>
      <c r="AO55" s="66"/>
      <c r="AP55" s="66"/>
      <c r="AQ55" s="66"/>
      <c r="AR55" s="66"/>
      <c r="AS55" s="66"/>
      <c r="AT55" s="66"/>
    </row>
    <row r="56" spans="1:46" s="58" customFormat="1" x14ac:dyDescent="0.2">
      <c r="A56" s="66"/>
      <c r="B56" s="342"/>
      <c r="C56" s="361"/>
      <c r="D56" s="430"/>
      <c r="E56" s="361"/>
      <c r="F56" s="361"/>
      <c r="G56" s="360"/>
      <c r="H56" s="360"/>
      <c r="I56" s="360"/>
      <c r="J56" s="360"/>
      <c r="AA56" s="66"/>
      <c r="AB56" s="66"/>
      <c r="AC56" s="66" t="str">
        <f>IFERROR(VALUE(RIGHT(AA56,LEN(AA56)-MIN(FIND({0;1;2;3;4;5;6;7;8;9},AA56&amp;"0123456789"))+1)),"")</f>
        <v/>
      </c>
      <c r="AD56" s="66" t="str">
        <f t="shared" si="4"/>
        <v/>
      </c>
      <c r="AE56" s="66" t="e">
        <f t="shared" si="8"/>
        <v>#VALUE!</v>
      </c>
      <c r="AF56" s="66">
        <f t="shared" si="9"/>
        <v>0</v>
      </c>
      <c r="AG56" s="66" t="str">
        <f t="shared" si="2"/>
        <v/>
      </c>
      <c r="AH56" s="66" t="str">
        <f t="shared" si="3"/>
        <v/>
      </c>
      <c r="AI56" s="66" t="str">
        <f>IF(AG56="","",MAX($AI$2:AI55)+1)</f>
        <v/>
      </c>
      <c r="AJ56" s="66" t="str">
        <f t="shared" si="5"/>
        <v/>
      </c>
      <c r="AK56" s="66" t="str">
        <f t="shared" si="7"/>
        <v/>
      </c>
      <c r="AL56" s="66" t="str">
        <f t="shared" si="6"/>
        <v/>
      </c>
      <c r="AM56" s="66"/>
      <c r="AN56" s="66"/>
      <c r="AO56" s="66"/>
      <c r="AP56" s="66"/>
      <c r="AQ56" s="66"/>
      <c r="AR56" s="66"/>
      <c r="AS56" s="66"/>
      <c r="AT56" s="66"/>
    </row>
    <row r="57" spans="1:46" s="58" customFormat="1" x14ac:dyDescent="0.2">
      <c r="A57" s="66"/>
      <c r="B57" s="342"/>
      <c r="C57" s="361"/>
      <c r="D57" s="361"/>
      <c r="E57" s="430"/>
      <c r="F57" s="361"/>
      <c r="G57" s="360"/>
      <c r="H57" s="360"/>
      <c r="I57" s="360"/>
      <c r="J57" s="360"/>
      <c r="AA57" s="66"/>
      <c r="AB57" s="66"/>
      <c r="AC57" s="66" t="str">
        <f>IFERROR(VALUE(RIGHT(AA57,LEN(AA57)-MIN(FIND({0;1;2;3;4;5;6;7;8;9},AA57&amp;"0123456789"))+1)),"")</f>
        <v/>
      </c>
      <c r="AD57" s="66" t="str">
        <f t="shared" si="4"/>
        <v/>
      </c>
      <c r="AE57" s="66" t="e">
        <f t="shared" si="8"/>
        <v>#VALUE!</v>
      </c>
      <c r="AF57" s="66">
        <f t="shared" si="9"/>
        <v>0</v>
      </c>
      <c r="AG57" s="66" t="str">
        <f t="shared" si="2"/>
        <v/>
      </c>
      <c r="AH57" s="66" t="str">
        <f t="shared" si="3"/>
        <v/>
      </c>
      <c r="AI57" s="66" t="str">
        <f>IF(AG57="","",MAX($AI$2:AI56)+1)</f>
        <v/>
      </c>
      <c r="AJ57" s="66" t="str">
        <f t="shared" si="5"/>
        <v/>
      </c>
      <c r="AK57" s="66" t="str">
        <f t="shared" si="7"/>
        <v/>
      </c>
      <c r="AL57" s="66" t="str">
        <f t="shared" si="6"/>
        <v/>
      </c>
      <c r="AM57" s="66"/>
      <c r="AN57" s="66"/>
      <c r="AO57" s="66"/>
      <c r="AP57" s="66"/>
      <c r="AQ57" s="66"/>
      <c r="AR57" s="66"/>
      <c r="AS57" s="66"/>
      <c r="AT57" s="66"/>
    </row>
    <row r="58" spans="1:46" s="58" customFormat="1" x14ac:dyDescent="0.2">
      <c r="A58" s="66"/>
      <c r="B58" s="342"/>
      <c r="C58" s="361"/>
      <c r="D58" s="361"/>
      <c r="E58" s="430"/>
      <c r="F58" s="361"/>
      <c r="G58" s="360"/>
      <c r="H58" s="360"/>
      <c r="I58" s="360"/>
      <c r="J58" s="360"/>
      <c r="AA58" s="66"/>
      <c r="AB58" s="66"/>
      <c r="AC58" s="66" t="str">
        <f>IFERROR(VALUE(RIGHT(AA58,LEN(AA58)-MIN(FIND({0;1;2;3;4;5;6;7;8;9},AA58&amp;"0123456789"))+1)),"")</f>
        <v/>
      </c>
      <c r="AD58" s="66" t="str">
        <f t="shared" si="4"/>
        <v/>
      </c>
      <c r="AE58" s="66" t="e">
        <f t="shared" si="8"/>
        <v>#VALUE!</v>
      </c>
      <c r="AF58" s="66">
        <f t="shared" si="9"/>
        <v>0</v>
      </c>
      <c r="AG58" s="66" t="str">
        <f t="shared" si="2"/>
        <v/>
      </c>
      <c r="AH58" s="66" t="str">
        <f t="shared" si="3"/>
        <v/>
      </c>
      <c r="AI58" s="66" t="str">
        <f>IF(AG58="","",MAX($AI$2:AI57)+1)</f>
        <v/>
      </c>
      <c r="AJ58" s="66" t="str">
        <f t="shared" si="5"/>
        <v/>
      </c>
      <c r="AK58" s="66" t="str">
        <f t="shared" si="7"/>
        <v/>
      </c>
      <c r="AL58" s="66" t="str">
        <f t="shared" si="6"/>
        <v/>
      </c>
      <c r="AM58" s="66"/>
      <c r="AN58" s="66"/>
      <c r="AO58" s="66"/>
      <c r="AP58" s="66"/>
      <c r="AQ58" s="66"/>
      <c r="AR58" s="66"/>
      <c r="AS58" s="66"/>
      <c r="AT58" s="66"/>
    </row>
    <row r="59" spans="1:46" s="58" customFormat="1" x14ac:dyDescent="0.2">
      <c r="A59" s="66"/>
      <c r="B59" s="342"/>
      <c r="C59" s="361"/>
      <c r="D59" s="361"/>
      <c r="E59" s="361"/>
      <c r="F59" s="430"/>
      <c r="G59" s="360"/>
      <c r="H59" s="360"/>
      <c r="I59" s="360"/>
      <c r="J59" s="360"/>
      <c r="AA59" s="66"/>
      <c r="AB59" s="66"/>
      <c r="AC59" s="66" t="str">
        <f>IFERROR(VALUE(RIGHT(AA59,LEN(AA59)-MIN(FIND({0;1;2;3;4;5;6;7;8;9},AA59&amp;"0123456789"))+1)),"")</f>
        <v/>
      </c>
      <c r="AD59" s="66" t="str">
        <f t="shared" si="4"/>
        <v/>
      </c>
      <c r="AE59" s="66" t="e">
        <f t="shared" si="8"/>
        <v>#VALUE!</v>
      </c>
      <c r="AF59" s="66">
        <f t="shared" si="9"/>
        <v>0</v>
      </c>
      <c r="AG59" s="66" t="str">
        <f t="shared" si="2"/>
        <v/>
      </c>
      <c r="AH59" s="66" t="str">
        <f t="shared" si="3"/>
        <v/>
      </c>
      <c r="AI59" s="66" t="str">
        <f>IF(AG59="","",MAX($AI$2:AI58)+1)</f>
        <v/>
      </c>
      <c r="AJ59" s="66" t="str">
        <f t="shared" si="5"/>
        <v/>
      </c>
      <c r="AK59" s="66" t="str">
        <f t="shared" si="7"/>
        <v/>
      </c>
      <c r="AL59" s="66" t="str">
        <f t="shared" si="6"/>
        <v/>
      </c>
      <c r="AM59" s="66"/>
      <c r="AN59" s="66"/>
      <c r="AO59" s="66"/>
      <c r="AP59" s="66"/>
      <c r="AQ59" s="66"/>
      <c r="AR59" s="66"/>
      <c r="AS59" s="66"/>
      <c r="AT59" s="66"/>
    </row>
    <row r="60" spans="1:46" s="58" customFormat="1" x14ac:dyDescent="0.2">
      <c r="A60" s="66"/>
      <c r="B60" s="342"/>
      <c r="C60" s="361"/>
      <c r="D60" s="361"/>
      <c r="E60" s="361"/>
      <c r="F60" s="430"/>
      <c r="G60" s="360"/>
      <c r="H60" s="360"/>
      <c r="I60" s="360"/>
      <c r="J60" s="360"/>
      <c r="AA60" s="66"/>
      <c r="AB60" s="66"/>
      <c r="AC60" s="66" t="str">
        <f>IFERROR(VALUE(RIGHT(AA60,LEN(AA60)-MIN(FIND({0;1;2;3;4;5;6;7;8;9},AA60&amp;"0123456789"))+1)),"")</f>
        <v/>
      </c>
      <c r="AD60" s="66" t="str">
        <f t="shared" si="4"/>
        <v/>
      </c>
      <c r="AE60" s="66" t="e">
        <f t="shared" si="8"/>
        <v>#VALUE!</v>
      </c>
      <c r="AF60" s="66">
        <f t="shared" si="9"/>
        <v>0</v>
      </c>
      <c r="AG60" s="66" t="str">
        <f t="shared" si="2"/>
        <v/>
      </c>
      <c r="AH60" s="66" t="str">
        <f t="shared" si="3"/>
        <v/>
      </c>
      <c r="AI60" s="66" t="str">
        <f>IF(AG60="","",MAX($AI$2:AI59)+1)</f>
        <v/>
      </c>
      <c r="AJ60" s="66" t="str">
        <f t="shared" si="5"/>
        <v/>
      </c>
      <c r="AK60" s="66" t="str">
        <f t="shared" si="7"/>
        <v/>
      </c>
      <c r="AL60" s="66" t="str">
        <f t="shared" si="6"/>
        <v/>
      </c>
      <c r="AM60" s="66"/>
      <c r="AN60" s="66"/>
      <c r="AO60" s="66"/>
      <c r="AP60" s="66"/>
      <c r="AQ60" s="66"/>
      <c r="AR60" s="66"/>
      <c r="AS60" s="66"/>
      <c r="AT60" s="66"/>
    </row>
    <row r="61" spans="1:46" s="58" customFormat="1" x14ac:dyDescent="0.2">
      <c r="A61" s="66"/>
      <c r="B61" s="66"/>
      <c r="C61" s="361"/>
      <c r="D61" s="361"/>
      <c r="E61" s="361"/>
      <c r="F61" s="361"/>
      <c r="G61" s="360"/>
      <c r="H61" s="360"/>
      <c r="I61" s="360"/>
      <c r="J61" s="360"/>
      <c r="AA61" s="66"/>
      <c r="AB61" s="66"/>
      <c r="AC61" s="66" t="str">
        <f>IFERROR(VALUE(RIGHT(AA61,LEN(AA61)-MIN(FIND({0;1;2;3;4;5;6;7;8;9},AA61&amp;"0123456789"))+1)),"")</f>
        <v/>
      </c>
      <c r="AD61" s="66" t="str">
        <f t="shared" si="4"/>
        <v/>
      </c>
      <c r="AE61" s="66" t="e">
        <f t="shared" si="8"/>
        <v>#VALUE!</v>
      </c>
      <c r="AF61" s="66">
        <f t="shared" si="9"/>
        <v>0</v>
      </c>
      <c r="AG61" s="66" t="str">
        <f t="shared" si="2"/>
        <v/>
      </c>
      <c r="AH61" s="66" t="str">
        <f t="shared" si="3"/>
        <v/>
      </c>
      <c r="AI61" s="66" t="str">
        <f>IF(AG61="","",MAX($AI$2:AI60)+1)</f>
        <v/>
      </c>
      <c r="AJ61" s="66" t="str">
        <f t="shared" si="5"/>
        <v/>
      </c>
      <c r="AK61" s="66" t="str">
        <f t="shared" si="7"/>
        <v/>
      </c>
      <c r="AL61" s="66" t="str">
        <f t="shared" si="6"/>
        <v/>
      </c>
      <c r="AM61" s="66"/>
      <c r="AN61" s="66"/>
      <c r="AO61" s="66"/>
      <c r="AP61" s="66"/>
      <c r="AQ61" s="66"/>
      <c r="AR61" s="66"/>
      <c r="AS61" s="66"/>
      <c r="AT61" s="66"/>
    </row>
    <row r="62" spans="1:46" s="58" customFormat="1" x14ac:dyDescent="0.2">
      <c r="A62" s="66"/>
      <c r="B62" s="66"/>
      <c r="C62" s="361"/>
      <c r="D62" s="361"/>
      <c r="E62" s="361"/>
      <c r="F62" s="361"/>
      <c r="G62" s="360"/>
      <c r="H62" s="360"/>
      <c r="I62" s="360"/>
      <c r="J62" s="360"/>
      <c r="AA62" s="66"/>
      <c r="AB62" s="66"/>
      <c r="AC62" s="66" t="str">
        <f>IFERROR(VALUE(RIGHT(AA62,LEN(AA62)-MIN(FIND({0;1;2;3;4;5;6;7;8;9},AA62&amp;"0123456789"))+1)),"")</f>
        <v/>
      </c>
      <c r="AD62" s="66" t="str">
        <f t="shared" si="4"/>
        <v/>
      </c>
      <c r="AE62" s="66" t="e">
        <f t="shared" si="8"/>
        <v>#VALUE!</v>
      </c>
      <c r="AF62" s="66">
        <f t="shared" si="9"/>
        <v>0</v>
      </c>
      <c r="AG62" s="66" t="str">
        <f t="shared" si="2"/>
        <v/>
      </c>
      <c r="AH62" s="66" t="str">
        <f t="shared" si="3"/>
        <v/>
      </c>
      <c r="AI62" s="66" t="str">
        <f>IF(AG62="","",MAX($AI$2:AI61)+1)</f>
        <v/>
      </c>
      <c r="AJ62" s="66" t="str">
        <f t="shared" si="5"/>
        <v/>
      </c>
      <c r="AK62" s="66" t="str">
        <f t="shared" si="7"/>
        <v/>
      </c>
      <c r="AL62" s="66" t="str">
        <f t="shared" si="6"/>
        <v/>
      </c>
      <c r="AM62" s="66"/>
      <c r="AN62" s="66"/>
      <c r="AO62" s="66"/>
      <c r="AP62" s="66"/>
      <c r="AQ62" s="66"/>
      <c r="AR62" s="66"/>
      <c r="AS62" s="66"/>
      <c r="AT62" s="66"/>
    </row>
    <row r="63" spans="1:46" s="58" customFormat="1" x14ac:dyDescent="0.2">
      <c r="A63" s="66"/>
      <c r="B63" s="66"/>
      <c r="C63" s="361"/>
      <c r="D63" s="361"/>
      <c r="E63" s="361"/>
      <c r="F63" s="361"/>
      <c r="G63" s="360"/>
      <c r="H63" s="360"/>
      <c r="I63" s="360"/>
      <c r="J63" s="360"/>
      <c r="AA63" s="66"/>
      <c r="AB63" s="66"/>
      <c r="AC63" s="66" t="str">
        <f>IFERROR(VALUE(RIGHT(AA63,LEN(AA63)-MIN(FIND({0;1;2;3;4;5;6;7;8;9},AA63&amp;"0123456789"))+1)),"")</f>
        <v/>
      </c>
      <c r="AD63" s="66" t="str">
        <f t="shared" si="4"/>
        <v/>
      </c>
      <c r="AE63" s="66" t="e">
        <f t="shared" si="8"/>
        <v>#VALUE!</v>
      </c>
      <c r="AF63" s="66">
        <f t="shared" si="9"/>
        <v>0</v>
      </c>
      <c r="AG63" s="66" t="str">
        <f t="shared" si="2"/>
        <v/>
      </c>
      <c r="AH63" s="66" t="str">
        <f t="shared" si="3"/>
        <v/>
      </c>
      <c r="AI63" s="66" t="str">
        <f>IF(AG63="","",MAX($AI$2:AI62)+1)</f>
        <v/>
      </c>
      <c r="AJ63" s="66" t="str">
        <f t="shared" si="5"/>
        <v/>
      </c>
      <c r="AK63" s="66" t="str">
        <f t="shared" si="7"/>
        <v/>
      </c>
      <c r="AL63" s="66" t="str">
        <f t="shared" si="6"/>
        <v/>
      </c>
      <c r="AM63" s="66"/>
      <c r="AN63" s="66"/>
      <c r="AO63" s="66"/>
      <c r="AP63" s="66"/>
      <c r="AQ63" s="66"/>
      <c r="AR63" s="66"/>
      <c r="AS63" s="66"/>
      <c r="AT63" s="66"/>
    </row>
    <row r="64" spans="1:46" s="58" customFormat="1" x14ac:dyDescent="0.2">
      <c r="A64" s="66"/>
      <c r="B64" s="66"/>
      <c r="C64" s="361"/>
      <c r="D64" s="361"/>
      <c r="E64" s="361"/>
      <c r="F64" s="361"/>
      <c r="G64" s="360"/>
      <c r="H64" s="360"/>
      <c r="I64" s="360"/>
      <c r="J64" s="360"/>
      <c r="AA64" s="66"/>
      <c r="AB64" s="66"/>
      <c r="AC64" s="66" t="str">
        <f>IFERROR(VALUE(RIGHT(AA64,LEN(AA64)-MIN(FIND({0;1;2;3;4;5;6;7;8;9},AA64&amp;"0123456789"))+1)),"")</f>
        <v/>
      </c>
      <c r="AD64" s="66" t="str">
        <f t="shared" si="4"/>
        <v/>
      </c>
      <c r="AE64" s="66" t="e">
        <f t="shared" si="8"/>
        <v>#VALUE!</v>
      </c>
      <c r="AF64" s="66">
        <f t="shared" si="9"/>
        <v>0</v>
      </c>
      <c r="AG64" s="66" t="str">
        <f t="shared" si="2"/>
        <v/>
      </c>
      <c r="AH64" s="66" t="str">
        <f t="shared" si="3"/>
        <v/>
      </c>
      <c r="AI64" s="66" t="str">
        <f>IF(AG64="","",MAX($AI$2:AI63)+1)</f>
        <v/>
      </c>
      <c r="AJ64" s="66" t="str">
        <f t="shared" si="5"/>
        <v/>
      </c>
      <c r="AK64" s="66" t="str">
        <f t="shared" si="7"/>
        <v/>
      </c>
      <c r="AL64" s="66" t="str">
        <f t="shared" si="6"/>
        <v/>
      </c>
      <c r="AM64" s="66"/>
      <c r="AN64" s="66"/>
      <c r="AO64" s="66"/>
      <c r="AP64" s="66"/>
      <c r="AQ64" s="66"/>
      <c r="AR64" s="66"/>
      <c r="AS64" s="66"/>
      <c r="AT64" s="66"/>
    </row>
    <row r="65" spans="1:46" s="58" customFormat="1" x14ac:dyDescent="0.2">
      <c r="A65" s="66"/>
      <c r="B65" s="66"/>
      <c r="C65" s="361"/>
      <c r="D65" s="361"/>
      <c r="E65" s="361"/>
      <c r="F65" s="361"/>
      <c r="G65" s="360"/>
      <c r="H65" s="360"/>
      <c r="I65" s="360"/>
      <c r="J65" s="360"/>
      <c r="AA65" s="66"/>
      <c r="AB65" s="66"/>
      <c r="AC65" s="66" t="str">
        <f>IFERROR(VALUE(RIGHT(AA65,LEN(AA65)-MIN(FIND({0;1;2;3;4;5;6;7;8;9},AA65&amp;"0123456789"))+1)),"")</f>
        <v/>
      </c>
      <c r="AD65" s="66" t="str">
        <f t="shared" si="4"/>
        <v/>
      </c>
      <c r="AE65" s="66" t="e">
        <f t="shared" si="8"/>
        <v>#VALUE!</v>
      </c>
      <c r="AF65" s="66">
        <f t="shared" si="9"/>
        <v>0</v>
      </c>
      <c r="AG65" s="66" t="str">
        <f t="shared" si="2"/>
        <v/>
      </c>
      <c r="AH65" s="66" t="str">
        <f t="shared" si="3"/>
        <v/>
      </c>
      <c r="AI65" s="66" t="str">
        <f>IF(AG65="","",MAX($AI$2:AI64)+1)</f>
        <v/>
      </c>
      <c r="AJ65" s="66" t="str">
        <f t="shared" si="5"/>
        <v/>
      </c>
      <c r="AK65" s="66" t="str">
        <f t="shared" si="7"/>
        <v/>
      </c>
      <c r="AL65" s="66" t="str">
        <f t="shared" si="6"/>
        <v/>
      </c>
      <c r="AM65" s="66"/>
      <c r="AN65" s="66"/>
      <c r="AO65" s="66"/>
      <c r="AP65" s="66"/>
      <c r="AQ65" s="66"/>
      <c r="AR65" s="66"/>
      <c r="AS65" s="66"/>
      <c r="AT65" s="66"/>
    </row>
    <row r="66" spans="1:46" s="58" customFormat="1" x14ac:dyDescent="0.2">
      <c r="A66" s="66"/>
      <c r="B66" s="66"/>
      <c r="C66" s="361"/>
      <c r="D66" s="361"/>
      <c r="E66" s="361"/>
      <c r="F66" s="361"/>
      <c r="G66" s="360"/>
      <c r="H66" s="360"/>
      <c r="I66" s="360"/>
      <c r="J66" s="360"/>
      <c r="AA66" s="66"/>
      <c r="AB66" s="66"/>
      <c r="AC66" s="66" t="str">
        <f>IFERROR(VALUE(RIGHT(AA66,LEN(AA66)-MIN(FIND({0;1;2;3;4;5;6;7;8;9},AA66&amp;"0123456789"))+1)),"")</f>
        <v/>
      </c>
      <c r="AD66" s="66" t="str">
        <f t="shared" si="4"/>
        <v/>
      </c>
      <c r="AE66" s="66" t="e">
        <f t="shared" ref="AE66:AE78" si="10">SMALL(AB:AB,AD66)</f>
        <v>#VALUE!</v>
      </c>
      <c r="AF66" s="66">
        <f t="shared" ref="AF66:AF78" si="11">SUMIF(AB:AB,AE66,AC:AC)</f>
        <v>0</v>
      </c>
      <c r="AG66" s="66" t="str">
        <f t="shared" si="2"/>
        <v/>
      </c>
      <c r="AH66" s="66" t="str">
        <f t="shared" si="3"/>
        <v/>
      </c>
      <c r="AI66" s="66" t="str">
        <f>IF(AG66="","",MAX($AI$2:AI65)+1)</f>
        <v/>
      </c>
      <c r="AJ66" s="66" t="str">
        <f t="shared" si="5"/>
        <v/>
      </c>
      <c r="AK66" s="66" t="str">
        <f t="shared" si="7"/>
        <v/>
      </c>
      <c r="AL66" s="66" t="str">
        <f t="shared" si="6"/>
        <v/>
      </c>
      <c r="AM66" s="66"/>
      <c r="AN66" s="66"/>
      <c r="AO66" s="66"/>
      <c r="AP66" s="66"/>
      <c r="AQ66" s="66"/>
      <c r="AR66" s="66"/>
      <c r="AS66" s="66"/>
      <c r="AT66" s="66"/>
    </row>
    <row r="67" spans="1:46" s="58" customFormat="1" x14ac:dyDescent="0.2">
      <c r="A67" s="66"/>
      <c r="B67" s="66"/>
      <c r="C67" s="361"/>
      <c r="D67" s="361"/>
      <c r="E67" s="361"/>
      <c r="F67" s="361"/>
      <c r="G67" s="360"/>
      <c r="H67" s="360"/>
      <c r="I67" s="360"/>
      <c r="J67" s="360"/>
      <c r="AA67" s="66"/>
      <c r="AB67" s="66"/>
      <c r="AC67" s="66" t="str">
        <f>IFERROR(VALUE(RIGHT(AA67,LEN(AA67)-MIN(FIND({0;1;2;3;4;5;6;7;8;9},AA67&amp;"0123456789"))+1)),"")</f>
        <v/>
      </c>
      <c r="AD67" s="66" t="str">
        <f t="shared" si="4"/>
        <v/>
      </c>
      <c r="AE67" s="66" t="e">
        <f t="shared" si="10"/>
        <v>#VALUE!</v>
      </c>
      <c r="AF67" s="66">
        <f t="shared" si="11"/>
        <v>0</v>
      </c>
      <c r="AG67" s="66" t="str">
        <f t="shared" ref="AG67:AG78" si="12">IFERROR(IF(AF67=0,"",IF(AND(AE67=AE66,AF67=AF66),"",AE67)),"")</f>
        <v/>
      </c>
      <c r="AH67" s="66" t="str">
        <f t="shared" ref="AH67:AH78" si="13">IF(AF67=0,"",AF67)</f>
        <v/>
      </c>
      <c r="AI67" s="66" t="str">
        <f>IF(AG67="","",MAX($AI$2:AI66)+1)</f>
        <v/>
      </c>
      <c r="AJ67" s="66" t="str">
        <f t="shared" si="5"/>
        <v/>
      </c>
      <c r="AK67" s="66" t="str">
        <f t="shared" si="7"/>
        <v/>
      </c>
      <c r="AL67" s="66" t="str">
        <f t="shared" si="6"/>
        <v/>
      </c>
      <c r="AM67" s="66"/>
      <c r="AN67" s="66"/>
      <c r="AO67" s="66"/>
      <c r="AP67" s="66"/>
      <c r="AQ67" s="66"/>
      <c r="AR67" s="66"/>
      <c r="AS67" s="66"/>
      <c r="AT67" s="66"/>
    </row>
    <row r="68" spans="1:46" s="58" customFormat="1" x14ac:dyDescent="0.2">
      <c r="A68" s="66"/>
      <c r="B68" s="66"/>
      <c r="C68" s="361"/>
      <c r="D68" s="361"/>
      <c r="E68" s="361"/>
      <c r="F68" s="361"/>
      <c r="G68" s="360"/>
      <c r="H68" s="360"/>
      <c r="I68" s="360"/>
      <c r="J68" s="360"/>
      <c r="AA68" s="66"/>
      <c r="AB68" s="66"/>
      <c r="AC68" s="66" t="str">
        <f>IFERROR(VALUE(RIGHT(AA68,LEN(AA68)-MIN(FIND({0;1;2;3;4;5;6;7;8;9},AA68&amp;"0123456789"))+1)),"")</f>
        <v/>
      </c>
      <c r="AD68" s="66" t="str">
        <f t="shared" ref="AD68:AD78" si="14" xml:space="preserve"> IF(AA68&lt;&gt;"",AD67+1,"")</f>
        <v/>
      </c>
      <c r="AE68" s="66" t="e">
        <f t="shared" si="10"/>
        <v>#VALUE!</v>
      </c>
      <c r="AF68" s="66">
        <f t="shared" si="11"/>
        <v>0</v>
      </c>
      <c r="AG68" s="66" t="str">
        <f t="shared" si="12"/>
        <v/>
      </c>
      <c r="AH68" s="66" t="str">
        <f t="shared" si="13"/>
        <v/>
      </c>
      <c r="AI68" s="66" t="str">
        <f>IF(AG68="","",MAX($AI$2:AI67)+1)</f>
        <v/>
      </c>
      <c r="AJ68" s="66" t="str">
        <f t="shared" ref="AJ68:AJ78" si="15" xml:space="preserve"> IF(AA68&lt;&gt;"",AJ67+1,"")</f>
        <v/>
      </c>
      <c r="AK68" s="66" t="str">
        <f t="shared" ref="AK68:AK78" si="16">IF($Z$2="Peso","",IFERROR(INDEX(AG68:AI185,MATCH(AJ68,AI68:AI185,0),2),""))</f>
        <v/>
      </c>
      <c r="AL68" s="66" t="str">
        <f t="shared" ref="AL68:AL78" si="17">IF($Z$2="Peso","",IFERROR(INDEX(AG68:AI185,MATCH(AJ68,AI68:AI185,0),1),""))</f>
        <v/>
      </c>
      <c r="AM68" s="66"/>
      <c r="AN68" s="66"/>
      <c r="AO68" s="66"/>
      <c r="AP68" s="66"/>
      <c r="AQ68" s="66"/>
      <c r="AR68" s="66"/>
      <c r="AS68" s="66"/>
      <c r="AT68" s="66"/>
    </row>
    <row r="69" spans="1:46" s="58" customFormat="1" x14ac:dyDescent="0.2">
      <c r="A69" s="66"/>
      <c r="B69" s="66"/>
      <c r="C69" s="361"/>
      <c r="D69" s="361"/>
      <c r="E69" s="361"/>
      <c r="F69" s="361"/>
      <c r="G69" s="360"/>
      <c r="H69" s="360"/>
      <c r="I69" s="360"/>
      <c r="J69" s="360"/>
      <c r="AA69" s="66"/>
      <c r="AB69" s="66"/>
      <c r="AC69" s="66" t="str">
        <f>IFERROR(VALUE(RIGHT(AA69,LEN(AA69)-MIN(FIND({0;1;2;3;4;5;6;7;8;9},AA69&amp;"0123456789"))+1)),"")</f>
        <v/>
      </c>
      <c r="AD69" s="66" t="str">
        <f t="shared" si="14"/>
        <v/>
      </c>
      <c r="AE69" s="66" t="e">
        <f t="shared" si="10"/>
        <v>#VALUE!</v>
      </c>
      <c r="AF69" s="66">
        <f t="shared" si="11"/>
        <v>0</v>
      </c>
      <c r="AG69" s="66" t="str">
        <f t="shared" si="12"/>
        <v/>
      </c>
      <c r="AH69" s="66" t="str">
        <f t="shared" si="13"/>
        <v/>
      </c>
      <c r="AI69" s="66" t="str">
        <f>IF(AG69="","",MAX($AI$2:AI68)+1)</f>
        <v/>
      </c>
      <c r="AJ69" s="66" t="str">
        <f t="shared" si="15"/>
        <v/>
      </c>
      <c r="AK69" s="66" t="str">
        <f t="shared" si="16"/>
        <v/>
      </c>
      <c r="AL69" s="66" t="str">
        <f t="shared" si="17"/>
        <v/>
      </c>
      <c r="AM69" s="66"/>
      <c r="AN69" s="66"/>
      <c r="AO69" s="66"/>
      <c r="AP69" s="66"/>
      <c r="AQ69" s="66"/>
      <c r="AR69" s="66"/>
      <c r="AS69" s="66"/>
      <c r="AT69" s="66"/>
    </row>
    <row r="70" spans="1:46" s="58" customFormat="1" x14ac:dyDescent="0.2">
      <c r="A70" s="66"/>
      <c r="B70" s="66"/>
      <c r="C70" s="361"/>
      <c r="D70" s="361"/>
      <c r="E70" s="361"/>
      <c r="F70" s="361"/>
      <c r="G70" s="360"/>
      <c r="H70" s="360"/>
      <c r="I70" s="360"/>
      <c r="J70" s="360"/>
      <c r="AA70" s="66"/>
      <c r="AB70" s="66"/>
      <c r="AC70" s="66" t="str">
        <f>IFERROR(VALUE(RIGHT(AA70,LEN(AA70)-MIN(FIND({0;1;2;3;4;5;6;7;8;9},AA70&amp;"0123456789"))+1)),"")</f>
        <v/>
      </c>
      <c r="AD70" s="66" t="str">
        <f t="shared" si="14"/>
        <v/>
      </c>
      <c r="AE70" s="66" t="e">
        <f t="shared" si="10"/>
        <v>#VALUE!</v>
      </c>
      <c r="AF70" s="66">
        <f t="shared" si="11"/>
        <v>0</v>
      </c>
      <c r="AG70" s="66" t="str">
        <f t="shared" si="12"/>
        <v/>
      </c>
      <c r="AH70" s="66" t="str">
        <f t="shared" si="13"/>
        <v/>
      </c>
      <c r="AI70" s="66" t="str">
        <f>IF(AG70="","",MAX($AI$2:AI69)+1)</f>
        <v/>
      </c>
      <c r="AJ70" s="66" t="str">
        <f t="shared" si="15"/>
        <v/>
      </c>
      <c r="AK70" s="66" t="str">
        <f t="shared" si="16"/>
        <v/>
      </c>
      <c r="AL70" s="66" t="str">
        <f t="shared" si="17"/>
        <v/>
      </c>
      <c r="AM70" s="66"/>
      <c r="AN70" s="66"/>
      <c r="AO70" s="66"/>
      <c r="AP70" s="66"/>
      <c r="AQ70" s="66"/>
      <c r="AR70" s="66"/>
      <c r="AS70" s="66"/>
      <c r="AT70" s="66"/>
    </row>
    <row r="71" spans="1:46" s="58" customFormat="1" x14ac:dyDescent="0.2">
      <c r="A71" s="66"/>
      <c r="B71" s="66"/>
      <c r="C71" s="361"/>
      <c r="D71" s="361"/>
      <c r="E71" s="361"/>
      <c r="F71" s="361"/>
      <c r="G71" s="360"/>
      <c r="H71" s="360"/>
      <c r="I71" s="360"/>
      <c r="J71" s="360"/>
      <c r="AA71" s="66"/>
      <c r="AB71" s="66"/>
      <c r="AC71" s="66" t="str">
        <f>IFERROR(VALUE(RIGHT(AA71,LEN(AA71)-MIN(FIND({0;1;2;3;4;5;6;7;8;9},AA71&amp;"0123456789"))+1)),"")</f>
        <v/>
      </c>
      <c r="AD71" s="66" t="str">
        <f t="shared" si="14"/>
        <v/>
      </c>
      <c r="AE71" s="66" t="e">
        <f t="shared" si="10"/>
        <v>#VALUE!</v>
      </c>
      <c r="AF71" s="66">
        <f t="shared" si="11"/>
        <v>0</v>
      </c>
      <c r="AG71" s="66" t="str">
        <f t="shared" si="12"/>
        <v/>
      </c>
      <c r="AH71" s="66" t="str">
        <f t="shared" si="13"/>
        <v/>
      </c>
      <c r="AI71" s="66" t="str">
        <f>IF(AG71="","",MAX($AI$2:AI70)+1)</f>
        <v/>
      </c>
      <c r="AJ71" s="66" t="str">
        <f t="shared" si="15"/>
        <v/>
      </c>
      <c r="AK71" s="66" t="str">
        <f t="shared" si="16"/>
        <v/>
      </c>
      <c r="AL71" s="66" t="str">
        <f t="shared" si="17"/>
        <v/>
      </c>
      <c r="AM71" s="66"/>
      <c r="AN71" s="66"/>
      <c r="AO71" s="66"/>
      <c r="AP71" s="66"/>
      <c r="AQ71" s="66"/>
      <c r="AR71" s="66"/>
      <c r="AS71" s="66"/>
      <c r="AT71" s="66"/>
    </row>
    <row r="72" spans="1:46" s="58" customFormat="1" x14ac:dyDescent="0.2">
      <c r="A72" s="66"/>
      <c r="B72" s="66"/>
      <c r="C72" s="361"/>
      <c r="D72" s="361"/>
      <c r="E72" s="361"/>
      <c r="F72" s="361"/>
      <c r="G72" s="360"/>
      <c r="H72" s="360"/>
      <c r="I72" s="360"/>
      <c r="J72" s="360"/>
      <c r="AA72" s="66"/>
      <c r="AB72" s="66"/>
      <c r="AC72" s="66" t="str">
        <f>IFERROR(VALUE(RIGHT(AA72,LEN(AA72)-MIN(FIND({0;1;2;3;4;5;6;7;8;9},AA72&amp;"0123456789"))+1)),"")</f>
        <v/>
      </c>
      <c r="AD72" s="66" t="str">
        <f t="shared" si="14"/>
        <v/>
      </c>
      <c r="AE72" s="66" t="e">
        <f t="shared" si="10"/>
        <v>#VALUE!</v>
      </c>
      <c r="AF72" s="66">
        <f t="shared" si="11"/>
        <v>0</v>
      </c>
      <c r="AG72" s="66" t="str">
        <f t="shared" si="12"/>
        <v/>
      </c>
      <c r="AH72" s="66" t="str">
        <f t="shared" si="13"/>
        <v/>
      </c>
      <c r="AI72" s="66" t="str">
        <f>IF(AG72="","",MAX($AI$2:AI71)+1)</f>
        <v/>
      </c>
      <c r="AJ72" s="66" t="str">
        <f t="shared" si="15"/>
        <v/>
      </c>
      <c r="AK72" s="66" t="str">
        <f t="shared" si="16"/>
        <v/>
      </c>
      <c r="AL72" s="66" t="str">
        <f t="shared" si="17"/>
        <v/>
      </c>
      <c r="AM72" s="66"/>
      <c r="AN72" s="66"/>
      <c r="AO72" s="66"/>
      <c r="AP72" s="66"/>
      <c r="AQ72" s="66"/>
      <c r="AR72" s="66"/>
      <c r="AS72" s="66"/>
      <c r="AT72" s="66"/>
    </row>
    <row r="73" spans="1:46" s="58" customFormat="1" x14ac:dyDescent="0.2">
      <c r="A73" s="66"/>
      <c r="B73" s="66"/>
      <c r="C73" s="361"/>
      <c r="D73" s="361"/>
      <c r="E73" s="361"/>
      <c r="F73" s="361"/>
      <c r="G73" s="360"/>
      <c r="H73" s="360"/>
      <c r="I73" s="360"/>
      <c r="J73" s="360"/>
      <c r="AA73" s="66"/>
      <c r="AB73" s="66"/>
      <c r="AC73" s="66" t="str">
        <f>IFERROR(VALUE(RIGHT(AA73,LEN(AA73)-MIN(FIND({0;1;2;3;4;5;6;7;8;9},AA73&amp;"0123456789"))+1)),"")</f>
        <v/>
      </c>
      <c r="AD73" s="66" t="str">
        <f t="shared" si="14"/>
        <v/>
      </c>
      <c r="AE73" s="66" t="e">
        <f t="shared" si="10"/>
        <v>#VALUE!</v>
      </c>
      <c r="AF73" s="66">
        <f t="shared" si="11"/>
        <v>0</v>
      </c>
      <c r="AG73" s="66" t="str">
        <f t="shared" si="12"/>
        <v/>
      </c>
      <c r="AH73" s="66" t="str">
        <f t="shared" si="13"/>
        <v/>
      </c>
      <c r="AI73" s="66" t="str">
        <f>IF(AG73="","",MAX($AI$2:AI72)+1)</f>
        <v/>
      </c>
      <c r="AJ73" s="66" t="str">
        <f t="shared" si="15"/>
        <v/>
      </c>
      <c r="AK73" s="66" t="str">
        <f t="shared" si="16"/>
        <v/>
      </c>
      <c r="AL73" s="66" t="str">
        <f t="shared" si="17"/>
        <v/>
      </c>
      <c r="AM73" s="66"/>
      <c r="AN73" s="66"/>
      <c r="AO73" s="66"/>
      <c r="AP73" s="66"/>
      <c r="AQ73" s="66"/>
      <c r="AR73" s="66"/>
      <c r="AS73" s="66"/>
      <c r="AT73" s="66"/>
    </row>
    <row r="74" spans="1:46" s="58" customFormat="1" x14ac:dyDescent="0.2">
      <c r="A74" s="66"/>
      <c r="B74" s="66"/>
      <c r="C74" s="361"/>
      <c r="D74" s="361"/>
      <c r="E74" s="361"/>
      <c r="F74" s="361"/>
      <c r="G74" s="360"/>
      <c r="H74" s="360"/>
      <c r="I74" s="360"/>
      <c r="J74" s="360"/>
      <c r="AA74" s="66"/>
      <c r="AB74" s="66"/>
      <c r="AC74" s="66" t="str">
        <f>IFERROR(VALUE(RIGHT(AA74,LEN(AA74)-MIN(FIND({0;1;2;3;4;5;6;7;8;9},AA74&amp;"0123456789"))+1)),"")</f>
        <v/>
      </c>
      <c r="AD74" s="66" t="str">
        <f t="shared" si="14"/>
        <v/>
      </c>
      <c r="AE74" s="66" t="e">
        <f t="shared" si="10"/>
        <v>#VALUE!</v>
      </c>
      <c r="AF74" s="66">
        <f t="shared" si="11"/>
        <v>0</v>
      </c>
      <c r="AG74" s="66" t="str">
        <f t="shared" si="12"/>
        <v/>
      </c>
      <c r="AH74" s="66" t="str">
        <f t="shared" si="13"/>
        <v/>
      </c>
      <c r="AI74" s="66" t="str">
        <f>IF(AG74="","",MAX($AI$2:AI73)+1)</f>
        <v/>
      </c>
      <c r="AJ74" s="66" t="str">
        <f t="shared" si="15"/>
        <v/>
      </c>
      <c r="AK74" s="66" t="str">
        <f t="shared" si="16"/>
        <v/>
      </c>
      <c r="AL74" s="66" t="str">
        <f t="shared" si="17"/>
        <v/>
      </c>
      <c r="AM74" s="66"/>
      <c r="AN74" s="66"/>
      <c r="AO74" s="66"/>
      <c r="AP74" s="66"/>
      <c r="AQ74" s="66"/>
      <c r="AR74" s="66"/>
      <c r="AS74" s="66"/>
      <c r="AT74" s="66"/>
    </row>
    <row r="75" spans="1:46" s="58" customFormat="1" x14ac:dyDescent="0.2">
      <c r="A75" s="66"/>
      <c r="B75" s="66"/>
      <c r="C75" s="361"/>
      <c r="D75" s="361"/>
      <c r="E75" s="361"/>
      <c r="F75" s="361"/>
      <c r="G75" s="360"/>
      <c r="H75" s="360"/>
      <c r="I75" s="360"/>
      <c r="J75" s="360"/>
      <c r="AA75" s="66"/>
      <c r="AB75" s="66"/>
      <c r="AC75" s="66" t="str">
        <f>IFERROR(VALUE(RIGHT(AA75,LEN(AA75)-MIN(FIND({0;1;2;3;4;5;6;7;8;9},AA75&amp;"0123456789"))+1)),"")</f>
        <v/>
      </c>
      <c r="AD75" s="66" t="str">
        <f t="shared" si="14"/>
        <v/>
      </c>
      <c r="AE75" s="66" t="e">
        <f t="shared" si="10"/>
        <v>#VALUE!</v>
      </c>
      <c r="AF75" s="66">
        <f t="shared" si="11"/>
        <v>0</v>
      </c>
      <c r="AG75" s="66" t="str">
        <f t="shared" si="12"/>
        <v/>
      </c>
      <c r="AH75" s="66" t="str">
        <f t="shared" si="13"/>
        <v/>
      </c>
      <c r="AI75" s="66" t="str">
        <f>IF(AG75="","",MAX($AI$2:AI74)+1)</f>
        <v/>
      </c>
      <c r="AJ75" s="66" t="str">
        <f t="shared" si="15"/>
        <v/>
      </c>
      <c r="AK75" s="66" t="str">
        <f t="shared" si="16"/>
        <v/>
      </c>
      <c r="AL75" s="66" t="str">
        <f t="shared" si="17"/>
        <v/>
      </c>
      <c r="AM75" s="66"/>
      <c r="AN75" s="66"/>
      <c r="AO75" s="66"/>
      <c r="AP75" s="66"/>
      <c r="AQ75" s="66"/>
      <c r="AR75" s="66"/>
      <c r="AS75" s="66"/>
      <c r="AT75" s="66"/>
    </row>
    <row r="76" spans="1:46" s="58" customFormat="1" x14ac:dyDescent="0.2">
      <c r="A76" s="66"/>
      <c r="B76" s="66"/>
      <c r="C76" s="361"/>
      <c r="D76" s="361"/>
      <c r="E76" s="361"/>
      <c r="F76" s="361"/>
      <c r="G76" s="360"/>
      <c r="H76" s="360"/>
      <c r="I76" s="360"/>
      <c r="J76" s="360"/>
      <c r="AA76" s="66"/>
      <c r="AB76" s="66"/>
      <c r="AC76" s="66" t="str">
        <f>IFERROR(VALUE(RIGHT(AA76,LEN(AA76)-MIN(FIND({0;1;2;3;4;5;6;7;8;9},AA76&amp;"0123456789"))+1)),"")</f>
        <v/>
      </c>
      <c r="AD76" s="66" t="str">
        <f t="shared" si="14"/>
        <v/>
      </c>
      <c r="AE76" s="66" t="e">
        <f t="shared" si="10"/>
        <v>#VALUE!</v>
      </c>
      <c r="AF76" s="66">
        <f t="shared" si="11"/>
        <v>0</v>
      </c>
      <c r="AG76" s="66" t="str">
        <f t="shared" si="12"/>
        <v/>
      </c>
      <c r="AH76" s="66" t="str">
        <f t="shared" si="13"/>
        <v/>
      </c>
      <c r="AI76" s="66" t="str">
        <f>IF(AG76="","",MAX($AI$2:AI75)+1)</f>
        <v/>
      </c>
      <c r="AJ76" s="66" t="str">
        <f t="shared" si="15"/>
        <v/>
      </c>
      <c r="AK76" s="66" t="str">
        <f t="shared" si="16"/>
        <v/>
      </c>
      <c r="AL76" s="66" t="str">
        <f t="shared" si="17"/>
        <v/>
      </c>
      <c r="AM76" s="66"/>
      <c r="AN76" s="66"/>
      <c r="AO76" s="66"/>
      <c r="AP76" s="66"/>
      <c r="AQ76" s="66"/>
      <c r="AR76" s="66"/>
      <c r="AS76" s="66"/>
      <c r="AT76" s="66"/>
    </row>
    <row r="77" spans="1:46" s="58" customFormat="1" x14ac:dyDescent="0.2">
      <c r="A77" s="66"/>
      <c r="B77" s="66"/>
      <c r="C77" s="361"/>
      <c r="D77" s="361"/>
      <c r="E77" s="361"/>
      <c r="F77" s="361"/>
      <c r="G77" s="360"/>
      <c r="H77" s="360"/>
      <c r="I77" s="360"/>
      <c r="J77" s="360"/>
      <c r="AA77" s="66"/>
      <c r="AB77" s="66"/>
      <c r="AC77" s="66" t="str">
        <f>IFERROR(VALUE(RIGHT(AA77,LEN(AA77)-MIN(FIND({0;1;2;3;4;5;6;7;8;9},AA77&amp;"0123456789"))+1)),"")</f>
        <v/>
      </c>
      <c r="AD77" s="66" t="str">
        <f t="shared" si="14"/>
        <v/>
      </c>
      <c r="AE77" s="66" t="e">
        <f t="shared" si="10"/>
        <v>#VALUE!</v>
      </c>
      <c r="AF77" s="66">
        <f t="shared" si="11"/>
        <v>0</v>
      </c>
      <c r="AG77" s="66" t="str">
        <f t="shared" si="12"/>
        <v/>
      </c>
      <c r="AH77" s="66" t="str">
        <f t="shared" si="13"/>
        <v/>
      </c>
      <c r="AI77" s="66" t="str">
        <f>IF(AG77="","",MAX($AI$2:AI76)+1)</f>
        <v/>
      </c>
      <c r="AJ77" s="66" t="str">
        <f t="shared" si="15"/>
        <v/>
      </c>
      <c r="AK77" s="66" t="str">
        <f t="shared" si="16"/>
        <v/>
      </c>
      <c r="AL77" s="66" t="str">
        <f t="shared" si="17"/>
        <v/>
      </c>
      <c r="AM77" s="66"/>
      <c r="AN77" s="66"/>
      <c r="AO77" s="66"/>
      <c r="AP77" s="66"/>
      <c r="AQ77" s="66"/>
      <c r="AR77" s="66"/>
      <c r="AS77" s="66"/>
      <c r="AT77" s="66"/>
    </row>
    <row r="78" spans="1:46" s="58" customFormat="1" x14ac:dyDescent="0.2">
      <c r="A78" s="66"/>
      <c r="B78" s="66"/>
      <c r="C78" s="361"/>
      <c r="D78" s="361"/>
      <c r="E78" s="361"/>
      <c r="F78" s="361"/>
      <c r="G78" s="360"/>
      <c r="H78" s="360"/>
      <c r="I78" s="360"/>
      <c r="J78" s="360"/>
      <c r="AA78" s="66"/>
      <c r="AB78" s="66"/>
      <c r="AC78" s="66" t="str">
        <f>IFERROR(VALUE(RIGHT(AA78,LEN(AA78)-MIN(FIND({0;1;2;3;4;5;6;7;8;9},AA78&amp;"0123456789"))+1)),"")</f>
        <v/>
      </c>
      <c r="AD78" s="66" t="str">
        <f t="shared" si="14"/>
        <v/>
      </c>
      <c r="AE78" s="66" t="e">
        <f t="shared" si="10"/>
        <v>#VALUE!</v>
      </c>
      <c r="AF78" s="66">
        <f t="shared" si="11"/>
        <v>0</v>
      </c>
      <c r="AG78" s="66" t="str">
        <f t="shared" si="12"/>
        <v/>
      </c>
      <c r="AH78" s="66" t="str">
        <f t="shared" si="13"/>
        <v/>
      </c>
      <c r="AI78" s="66" t="str">
        <f>IF(AG78="","",MAX($AI$2:AI77)+1)</f>
        <v/>
      </c>
      <c r="AJ78" s="66" t="str">
        <f t="shared" si="15"/>
        <v/>
      </c>
      <c r="AK78" s="66" t="str">
        <f t="shared" si="16"/>
        <v/>
      </c>
      <c r="AL78" s="66" t="str">
        <f t="shared" si="17"/>
        <v/>
      </c>
      <c r="AM78" s="66"/>
      <c r="AN78" s="66"/>
      <c r="AO78" s="66"/>
      <c r="AP78" s="66"/>
      <c r="AQ78" s="66"/>
      <c r="AR78" s="66"/>
      <c r="AS78" s="66"/>
      <c r="AT78" s="66"/>
    </row>
    <row r="79" spans="1:46" s="58" customFormat="1" x14ac:dyDescent="0.2">
      <c r="A79" s="66"/>
      <c r="B79" s="66"/>
      <c r="C79" s="361"/>
      <c r="D79" s="361"/>
      <c r="E79" s="361"/>
      <c r="F79" s="361"/>
      <c r="G79" s="360"/>
      <c r="H79" s="360"/>
      <c r="I79" s="360"/>
      <c r="J79" s="360"/>
    </row>
    <row r="80" spans="1:46" s="58" customFormat="1" x14ac:dyDescent="0.2">
      <c r="A80" s="66"/>
      <c r="B80" s="66"/>
      <c r="C80" s="361"/>
      <c r="D80" s="361"/>
      <c r="E80" s="361"/>
      <c r="F80" s="361"/>
      <c r="G80" s="360"/>
      <c r="H80" s="360"/>
      <c r="I80" s="360"/>
      <c r="J80" s="360"/>
    </row>
    <row r="81" spans="1:10" s="58" customFormat="1" x14ac:dyDescent="0.2">
      <c r="A81" s="66"/>
      <c r="B81" s="66"/>
      <c r="C81" s="361"/>
      <c r="D81" s="361"/>
      <c r="E81" s="361"/>
      <c r="F81" s="361"/>
      <c r="G81" s="360"/>
      <c r="H81" s="360"/>
      <c r="I81" s="360"/>
      <c r="J81" s="360"/>
    </row>
    <row r="82" spans="1:10" s="58" customFormat="1" x14ac:dyDescent="0.2">
      <c r="A82" s="66"/>
      <c r="B82" s="66"/>
      <c r="C82" s="361"/>
      <c r="D82" s="361"/>
      <c r="E82" s="361"/>
      <c r="F82" s="361"/>
      <c r="G82" s="360"/>
      <c r="H82" s="360"/>
      <c r="I82" s="360"/>
      <c r="J82" s="360"/>
    </row>
    <row r="83" spans="1:10" s="58" customFormat="1" x14ac:dyDescent="0.2">
      <c r="A83" s="66"/>
      <c r="B83" s="66"/>
      <c r="C83" s="361"/>
      <c r="D83" s="361"/>
      <c r="E83" s="361"/>
      <c r="F83" s="361"/>
      <c r="G83" s="360"/>
      <c r="H83" s="360"/>
      <c r="I83" s="360"/>
      <c r="J83" s="360"/>
    </row>
    <row r="84" spans="1:10" s="58" customFormat="1" x14ac:dyDescent="0.2">
      <c r="A84" s="66"/>
      <c r="B84" s="66"/>
      <c r="C84" s="361"/>
      <c r="D84" s="361"/>
      <c r="E84" s="361"/>
      <c r="F84" s="361"/>
      <c r="G84" s="360"/>
      <c r="H84" s="360"/>
      <c r="I84" s="360"/>
      <c r="J84" s="360"/>
    </row>
    <row r="85" spans="1:10" s="58" customFormat="1" x14ac:dyDescent="0.2">
      <c r="A85" s="66"/>
      <c r="B85" s="66"/>
      <c r="C85" s="361"/>
      <c r="D85" s="361"/>
      <c r="E85" s="361"/>
      <c r="F85" s="361"/>
      <c r="G85" s="360"/>
      <c r="H85" s="360"/>
      <c r="I85" s="360"/>
      <c r="J85" s="360"/>
    </row>
    <row r="86" spans="1:10" s="58" customFormat="1" x14ac:dyDescent="0.2">
      <c r="A86" s="66"/>
      <c r="B86" s="66"/>
      <c r="C86" s="361"/>
      <c r="D86" s="361"/>
      <c r="E86" s="361"/>
      <c r="F86" s="361"/>
      <c r="G86" s="360"/>
      <c r="H86" s="360"/>
      <c r="I86" s="360"/>
      <c r="J86" s="360"/>
    </row>
    <row r="87" spans="1:10" s="58" customFormat="1" x14ac:dyDescent="0.2">
      <c r="A87" s="66"/>
      <c r="B87" s="66"/>
      <c r="C87" s="361"/>
      <c r="D87" s="361"/>
      <c r="E87" s="361"/>
      <c r="F87" s="361"/>
      <c r="G87" s="360"/>
      <c r="H87" s="360"/>
      <c r="I87" s="360"/>
      <c r="J87" s="360"/>
    </row>
    <row r="88" spans="1:10" s="58" customFormat="1" x14ac:dyDescent="0.2">
      <c r="A88" s="66"/>
      <c r="B88" s="66"/>
      <c r="C88" s="361"/>
      <c r="D88" s="361"/>
      <c r="E88" s="361"/>
      <c r="F88" s="361"/>
      <c r="G88" s="360"/>
      <c r="H88" s="360"/>
      <c r="I88" s="360"/>
      <c r="J88" s="360"/>
    </row>
    <row r="89" spans="1:10" s="58" customFormat="1" x14ac:dyDescent="0.2">
      <c r="A89" s="66"/>
      <c r="B89" s="66"/>
      <c r="C89" s="361"/>
      <c r="D89" s="361"/>
      <c r="E89" s="361"/>
      <c r="F89" s="361"/>
      <c r="G89" s="360"/>
      <c r="H89" s="360"/>
      <c r="I89" s="360"/>
      <c r="J89" s="360"/>
    </row>
    <row r="90" spans="1:10" s="58" customFormat="1" x14ac:dyDescent="0.2">
      <c r="A90" s="66"/>
      <c r="B90" s="66"/>
      <c r="C90" s="361"/>
      <c r="D90" s="361"/>
      <c r="E90" s="361"/>
      <c r="F90" s="361"/>
      <c r="G90" s="360"/>
      <c r="H90" s="360"/>
      <c r="I90" s="360"/>
      <c r="J90" s="360"/>
    </row>
    <row r="91" spans="1:10" s="58" customFormat="1" x14ac:dyDescent="0.2">
      <c r="A91" s="66"/>
      <c r="B91" s="66"/>
      <c r="C91" s="361"/>
      <c r="D91" s="361"/>
      <c r="E91" s="361"/>
      <c r="F91" s="361"/>
      <c r="G91" s="360"/>
      <c r="H91" s="360"/>
      <c r="I91" s="360"/>
      <c r="J91" s="360"/>
    </row>
    <row r="92" spans="1:10" s="58" customFormat="1" x14ac:dyDescent="0.2">
      <c r="A92" s="66"/>
      <c r="B92" s="66"/>
      <c r="C92" s="361"/>
      <c r="D92" s="361"/>
      <c r="E92" s="361"/>
      <c r="F92" s="361"/>
      <c r="G92" s="360"/>
      <c r="H92" s="360"/>
      <c r="I92" s="360"/>
      <c r="J92" s="360"/>
    </row>
    <row r="93" spans="1:10" s="58" customFormat="1" x14ac:dyDescent="0.2">
      <c r="A93" s="66"/>
      <c r="B93" s="66"/>
      <c r="C93" s="361"/>
      <c r="D93" s="361"/>
      <c r="E93" s="361"/>
      <c r="F93" s="361"/>
      <c r="G93" s="360"/>
      <c r="H93" s="360"/>
      <c r="I93" s="360"/>
      <c r="J93" s="360"/>
    </row>
    <row r="94" spans="1:10" s="58" customFormat="1" x14ac:dyDescent="0.2">
      <c r="A94" s="66"/>
      <c r="B94" s="66"/>
      <c r="C94" s="361"/>
      <c r="D94" s="361"/>
      <c r="E94" s="361"/>
      <c r="F94" s="361"/>
      <c r="G94" s="360"/>
      <c r="H94" s="360"/>
      <c r="I94" s="360"/>
      <c r="J94" s="360"/>
    </row>
    <row r="95" spans="1:10" s="58" customFormat="1" x14ac:dyDescent="0.2">
      <c r="A95" s="66"/>
      <c r="B95" s="66"/>
      <c r="C95" s="361"/>
      <c r="D95" s="361"/>
      <c r="E95" s="361"/>
      <c r="F95" s="361"/>
      <c r="G95" s="360"/>
      <c r="H95" s="360"/>
      <c r="I95" s="360"/>
      <c r="J95" s="360"/>
    </row>
    <row r="96" spans="1:10" s="58" customFormat="1" x14ac:dyDescent="0.2">
      <c r="A96" s="66"/>
      <c r="B96" s="66"/>
      <c r="C96" s="361"/>
      <c r="D96" s="361"/>
      <c r="E96" s="361"/>
      <c r="F96" s="361"/>
      <c r="G96" s="360"/>
      <c r="H96" s="360"/>
      <c r="I96" s="360"/>
      <c r="J96" s="360"/>
    </row>
    <row r="97" spans="1:10" s="58" customFormat="1" x14ac:dyDescent="0.2">
      <c r="A97" s="66"/>
      <c r="B97" s="66"/>
      <c r="C97" s="361"/>
      <c r="D97" s="361"/>
      <c r="E97" s="361"/>
      <c r="F97" s="361"/>
      <c r="G97" s="360"/>
      <c r="H97" s="360"/>
      <c r="I97" s="360"/>
      <c r="J97" s="360"/>
    </row>
    <row r="98" spans="1:10" s="58" customFormat="1" x14ac:dyDescent="0.2">
      <c r="A98" s="66"/>
      <c r="B98" s="66"/>
      <c r="C98" s="361"/>
      <c r="D98" s="361"/>
      <c r="E98" s="361"/>
      <c r="F98" s="361"/>
      <c r="G98" s="360"/>
      <c r="H98" s="360"/>
      <c r="I98" s="360"/>
      <c r="J98" s="360"/>
    </row>
    <row r="99" spans="1:10" s="58" customFormat="1" x14ac:dyDescent="0.2">
      <c r="A99" s="66"/>
      <c r="B99" s="66"/>
      <c r="C99" s="361"/>
      <c r="D99" s="361"/>
      <c r="E99" s="361"/>
      <c r="F99" s="361"/>
      <c r="G99" s="360"/>
      <c r="H99" s="360"/>
      <c r="I99" s="360"/>
      <c r="J99" s="360"/>
    </row>
    <row r="100" spans="1:10" s="58" customFormat="1" x14ac:dyDescent="0.2">
      <c r="A100" s="66"/>
      <c r="B100" s="66"/>
      <c r="C100" s="361"/>
      <c r="D100" s="361"/>
      <c r="E100" s="361"/>
      <c r="F100" s="361"/>
      <c r="G100" s="360"/>
      <c r="H100" s="360"/>
      <c r="I100" s="360"/>
      <c r="J100" s="360"/>
    </row>
    <row r="101" spans="1:10" s="58" customFormat="1" x14ac:dyDescent="0.2">
      <c r="A101" s="66"/>
      <c r="B101" s="66"/>
      <c r="C101" s="361"/>
      <c r="D101" s="361"/>
      <c r="E101" s="361"/>
      <c r="F101" s="361"/>
      <c r="G101" s="360"/>
      <c r="H101" s="360"/>
      <c r="I101" s="360"/>
      <c r="J101" s="360"/>
    </row>
    <row r="102" spans="1:10" s="58" customFormat="1" x14ac:dyDescent="0.2">
      <c r="A102" s="66"/>
      <c r="B102" s="66"/>
      <c r="C102" s="361"/>
      <c r="D102" s="361"/>
      <c r="E102" s="361"/>
      <c r="F102" s="361"/>
      <c r="G102" s="360"/>
      <c r="H102" s="360"/>
      <c r="I102" s="360"/>
      <c r="J102" s="360"/>
    </row>
    <row r="103" spans="1:10" s="58" customFormat="1" x14ac:dyDescent="0.2">
      <c r="A103" s="66"/>
      <c r="B103" s="66"/>
      <c r="C103" s="361"/>
      <c r="D103" s="361"/>
      <c r="E103" s="361"/>
      <c r="F103" s="361"/>
      <c r="G103" s="360"/>
      <c r="H103" s="360"/>
      <c r="I103" s="360"/>
      <c r="J103" s="360"/>
    </row>
    <row r="104" spans="1:10" s="58" customFormat="1" x14ac:dyDescent="0.2">
      <c r="A104" s="66"/>
      <c r="B104" s="66"/>
      <c r="C104" s="361"/>
      <c r="D104" s="361"/>
      <c r="E104" s="361"/>
      <c r="F104" s="361"/>
      <c r="G104" s="360"/>
      <c r="H104" s="360"/>
      <c r="I104" s="360"/>
      <c r="J104" s="360"/>
    </row>
    <row r="105" spans="1:10" s="58" customFormat="1" x14ac:dyDescent="0.2">
      <c r="A105" s="66"/>
      <c r="B105" s="66"/>
      <c r="C105" s="361"/>
      <c r="D105" s="361"/>
      <c r="E105" s="361"/>
      <c r="F105" s="361"/>
      <c r="G105" s="360"/>
      <c r="H105" s="360"/>
      <c r="I105" s="360"/>
      <c r="J105" s="360"/>
    </row>
    <row r="106" spans="1:10" s="58" customFormat="1" x14ac:dyDescent="0.2">
      <c r="A106" s="66"/>
      <c r="B106" s="66"/>
      <c r="C106" s="361"/>
      <c r="D106" s="361"/>
      <c r="E106" s="361"/>
      <c r="F106" s="361"/>
      <c r="G106" s="360"/>
      <c r="H106" s="360"/>
      <c r="I106" s="360"/>
      <c r="J106" s="360"/>
    </row>
    <row r="107" spans="1:10" s="58" customFormat="1" x14ac:dyDescent="0.2">
      <c r="A107" s="66"/>
      <c r="B107" s="66"/>
      <c r="C107" s="361"/>
      <c r="D107" s="361"/>
      <c r="E107" s="361"/>
      <c r="F107" s="361"/>
      <c r="G107" s="360"/>
      <c r="H107" s="360"/>
      <c r="I107" s="360"/>
      <c r="J107" s="360"/>
    </row>
    <row r="108" spans="1:10" s="58" customFormat="1" x14ac:dyDescent="0.2">
      <c r="A108" s="66"/>
      <c r="B108" s="66"/>
      <c r="C108" s="361"/>
      <c r="D108" s="361"/>
      <c r="E108" s="361"/>
      <c r="F108" s="361"/>
      <c r="G108" s="360"/>
      <c r="H108" s="360"/>
      <c r="I108" s="360"/>
      <c r="J108" s="360"/>
    </row>
    <row r="109" spans="1:10" s="58" customFormat="1" x14ac:dyDescent="0.2">
      <c r="A109" s="66"/>
      <c r="B109" s="66"/>
      <c r="C109" s="361"/>
      <c r="D109" s="361"/>
      <c r="E109" s="361"/>
      <c r="F109" s="361"/>
      <c r="G109" s="360"/>
      <c r="H109" s="360"/>
      <c r="I109" s="360"/>
      <c r="J109" s="360"/>
    </row>
    <row r="110" spans="1:10" s="58" customFormat="1" x14ac:dyDescent="0.2">
      <c r="A110" s="66"/>
      <c r="B110" s="66"/>
      <c r="C110" s="361"/>
      <c r="D110" s="361"/>
      <c r="E110" s="361"/>
      <c r="F110" s="361"/>
      <c r="G110" s="360"/>
      <c r="H110" s="360"/>
      <c r="I110" s="360"/>
      <c r="J110" s="360"/>
    </row>
    <row r="111" spans="1:10" s="58" customFormat="1" x14ac:dyDescent="0.2">
      <c r="A111" s="66"/>
      <c r="B111" s="66"/>
      <c r="C111" s="361"/>
      <c r="D111" s="361"/>
      <c r="E111" s="361"/>
      <c r="F111" s="361"/>
      <c r="G111" s="360"/>
      <c r="H111" s="360"/>
      <c r="I111" s="360"/>
      <c r="J111" s="360"/>
    </row>
    <row r="112" spans="1:10" s="58" customFormat="1" x14ac:dyDescent="0.2">
      <c r="A112" s="66"/>
      <c r="B112" s="66"/>
      <c r="C112" s="361"/>
      <c r="D112" s="361"/>
      <c r="E112" s="361"/>
      <c r="F112" s="361"/>
      <c r="G112" s="360"/>
      <c r="H112" s="360"/>
      <c r="I112" s="360"/>
      <c r="J112" s="360"/>
    </row>
    <row r="113" spans="1:10" s="58" customFormat="1" x14ac:dyDescent="0.2">
      <c r="A113" s="66"/>
      <c r="B113" s="66"/>
      <c r="C113" s="361"/>
      <c r="D113" s="361"/>
      <c r="E113" s="361"/>
      <c r="F113" s="361"/>
      <c r="G113" s="360"/>
      <c r="H113" s="360"/>
      <c r="I113" s="360"/>
      <c r="J113" s="360"/>
    </row>
    <row r="114" spans="1:10" s="58" customFormat="1" x14ac:dyDescent="0.2">
      <c r="A114" s="66"/>
      <c r="B114" s="66"/>
      <c r="C114" s="361"/>
      <c r="D114" s="361"/>
      <c r="E114" s="361"/>
      <c r="F114" s="361"/>
      <c r="G114" s="360"/>
      <c r="H114" s="360"/>
      <c r="I114" s="360"/>
      <c r="J114" s="360"/>
    </row>
    <row r="115" spans="1:10" s="58" customFormat="1" x14ac:dyDescent="0.2">
      <c r="A115" s="66"/>
      <c r="B115" s="66"/>
      <c r="C115" s="361"/>
      <c r="D115" s="361"/>
      <c r="E115" s="361"/>
      <c r="F115" s="361"/>
      <c r="G115" s="360"/>
      <c r="H115" s="360"/>
      <c r="I115" s="360"/>
      <c r="J115" s="360"/>
    </row>
    <row r="116" spans="1:10" s="58" customFormat="1" x14ac:dyDescent="0.2">
      <c r="A116" s="66"/>
      <c r="B116" s="66"/>
      <c r="C116" s="361"/>
      <c r="D116" s="361"/>
      <c r="E116" s="361"/>
      <c r="F116" s="361"/>
      <c r="G116" s="360"/>
      <c r="H116" s="360"/>
      <c r="I116" s="360"/>
      <c r="J116" s="360"/>
    </row>
    <row r="117" spans="1:10" s="58" customFormat="1" x14ac:dyDescent="0.2">
      <c r="A117" s="66"/>
      <c r="B117" s="66"/>
      <c r="C117" s="361"/>
      <c r="D117" s="361"/>
      <c r="E117" s="361"/>
      <c r="F117" s="361"/>
      <c r="G117" s="360"/>
      <c r="H117" s="360"/>
      <c r="I117" s="360"/>
      <c r="J117" s="360"/>
    </row>
    <row r="118" spans="1:10" s="58" customFormat="1" x14ac:dyDescent="0.2">
      <c r="A118" s="66"/>
      <c r="B118" s="66"/>
      <c r="C118" s="361"/>
      <c r="D118" s="361"/>
      <c r="E118" s="361"/>
      <c r="F118" s="361"/>
      <c r="G118" s="360"/>
      <c r="H118" s="360"/>
      <c r="I118" s="360"/>
      <c r="J118" s="360"/>
    </row>
    <row r="119" spans="1:10" s="58" customFormat="1" x14ac:dyDescent="0.2">
      <c r="A119" s="66"/>
      <c r="B119" s="66"/>
      <c r="C119" s="361"/>
      <c r="D119" s="361"/>
      <c r="E119" s="361"/>
      <c r="F119" s="361"/>
      <c r="G119" s="360"/>
      <c r="H119" s="360"/>
      <c r="I119" s="360"/>
      <c r="J119" s="360"/>
    </row>
    <row r="120" spans="1:10" s="58" customFormat="1" x14ac:dyDescent="0.2">
      <c r="A120" s="66"/>
      <c r="B120" s="66"/>
      <c r="C120" s="361"/>
      <c r="D120" s="361"/>
      <c r="E120" s="361"/>
      <c r="F120" s="361"/>
      <c r="G120" s="360"/>
      <c r="H120" s="360"/>
      <c r="I120" s="360"/>
      <c r="J120" s="360"/>
    </row>
    <row r="121" spans="1:10" s="58" customFormat="1" x14ac:dyDescent="0.2">
      <c r="A121" s="66"/>
      <c r="B121" s="66"/>
      <c r="C121" s="361"/>
      <c r="D121" s="361"/>
      <c r="E121" s="361"/>
      <c r="F121" s="361"/>
      <c r="G121" s="360"/>
      <c r="H121" s="360"/>
      <c r="I121" s="360"/>
      <c r="J121" s="360"/>
    </row>
    <row r="122" spans="1:10" s="58" customFormat="1" x14ac:dyDescent="0.2">
      <c r="A122" s="66"/>
      <c r="B122" s="66"/>
      <c r="C122" s="361"/>
      <c r="D122" s="361"/>
      <c r="E122" s="361"/>
      <c r="F122" s="361"/>
      <c r="G122" s="360"/>
      <c r="H122" s="360"/>
      <c r="I122" s="360"/>
      <c r="J122" s="360"/>
    </row>
    <row r="123" spans="1:10" s="58" customFormat="1" x14ac:dyDescent="0.2">
      <c r="A123" s="66"/>
      <c r="B123" s="66"/>
      <c r="C123" s="361"/>
      <c r="D123" s="361"/>
      <c r="E123" s="361"/>
      <c r="F123" s="361"/>
      <c r="G123" s="360"/>
      <c r="H123" s="360"/>
      <c r="I123" s="360"/>
      <c r="J123" s="360"/>
    </row>
    <row r="124" spans="1:10" s="58" customFormat="1" x14ac:dyDescent="0.2">
      <c r="A124" s="66"/>
      <c r="B124" s="66"/>
      <c r="C124" s="361"/>
      <c r="D124" s="361"/>
      <c r="E124" s="361"/>
      <c r="F124" s="361"/>
      <c r="G124" s="360"/>
      <c r="H124" s="360"/>
      <c r="I124" s="360"/>
      <c r="J124" s="360"/>
    </row>
    <row r="125" spans="1:10" s="58" customFormat="1" x14ac:dyDescent="0.2">
      <c r="A125" s="66"/>
      <c r="B125" s="66"/>
      <c r="C125" s="361"/>
      <c r="D125" s="361"/>
      <c r="E125" s="361"/>
      <c r="F125" s="361"/>
      <c r="G125" s="360"/>
      <c r="H125" s="360"/>
      <c r="I125" s="360"/>
      <c r="J125" s="360"/>
    </row>
    <row r="126" spans="1:10" s="58" customFormat="1" x14ac:dyDescent="0.2">
      <c r="A126" s="66"/>
      <c r="B126" s="66"/>
      <c r="C126" s="361"/>
      <c r="D126" s="361"/>
      <c r="E126" s="361"/>
      <c r="F126" s="361"/>
      <c r="G126" s="360"/>
      <c r="H126" s="360"/>
      <c r="I126" s="360"/>
      <c r="J126" s="360"/>
    </row>
    <row r="127" spans="1:10" s="58" customFormat="1" x14ac:dyDescent="0.2">
      <c r="A127" s="66"/>
      <c r="B127" s="66"/>
      <c r="C127" s="361"/>
      <c r="D127" s="361"/>
      <c r="E127" s="361"/>
      <c r="F127" s="361"/>
      <c r="G127" s="360"/>
      <c r="H127" s="360"/>
      <c r="I127" s="360"/>
      <c r="J127" s="360"/>
    </row>
    <row r="128" spans="1:10" s="58" customFormat="1" x14ac:dyDescent="0.2">
      <c r="A128" s="66"/>
      <c r="B128" s="66"/>
      <c r="C128" s="361"/>
      <c r="D128" s="361"/>
      <c r="E128" s="361"/>
      <c r="F128" s="361"/>
      <c r="G128" s="360"/>
      <c r="H128" s="360"/>
      <c r="I128" s="360"/>
      <c r="J128" s="360"/>
    </row>
    <row r="129" spans="1:10" s="58" customFormat="1" x14ac:dyDescent="0.2">
      <c r="A129" s="66"/>
      <c r="B129" s="66"/>
      <c r="C129" s="361"/>
      <c r="D129" s="361"/>
      <c r="E129" s="361"/>
      <c r="F129" s="361"/>
      <c r="G129" s="360"/>
      <c r="H129" s="360"/>
      <c r="I129" s="360"/>
      <c r="J129" s="360"/>
    </row>
    <row r="130" spans="1:10" s="58" customFormat="1" x14ac:dyDescent="0.2">
      <c r="A130" s="66"/>
      <c r="B130" s="66"/>
      <c r="C130" s="361"/>
      <c r="D130" s="361"/>
      <c r="E130" s="361"/>
      <c r="F130" s="361"/>
      <c r="G130" s="360"/>
      <c r="H130" s="360"/>
      <c r="I130" s="360"/>
      <c r="J130" s="360"/>
    </row>
    <row r="131" spans="1:10" s="58" customFormat="1" x14ac:dyDescent="0.2">
      <c r="A131" s="66"/>
      <c r="B131" s="66"/>
      <c r="C131" s="361"/>
      <c r="D131" s="361"/>
      <c r="E131" s="361"/>
      <c r="F131" s="361"/>
      <c r="G131" s="360"/>
      <c r="H131" s="360"/>
      <c r="I131" s="360"/>
      <c r="J131" s="360"/>
    </row>
    <row r="132" spans="1:10" s="58" customFormat="1" x14ac:dyDescent="0.2">
      <c r="A132" s="66"/>
      <c r="B132" s="66"/>
      <c r="C132" s="361"/>
      <c r="D132" s="361"/>
      <c r="E132" s="361"/>
      <c r="F132" s="361"/>
      <c r="G132" s="360"/>
      <c r="H132" s="360"/>
      <c r="I132" s="360"/>
      <c r="J132" s="360"/>
    </row>
    <row r="133" spans="1:10" s="58" customFormat="1" x14ac:dyDescent="0.2">
      <c r="A133" s="66"/>
      <c r="B133" s="66"/>
      <c r="C133" s="361"/>
      <c r="D133" s="361"/>
      <c r="E133" s="361"/>
      <c r="F133" s="361"/>
      <c r="G133" s="360"/>
      <c r="H133" s="360"/>
      <c r="I133" s="360"/>
      <c r="J133" s="360"/>
    </row>
    <row r="134" spans="1:10" s="58" customFormat="1" x14ac:dyDescent="0.2">
      <c r="A134" s="66"/>
      <c r="B134" s="66"/>
      <c r="C134" s="361"/>
      <c r="D134" s="361"/>
      <c r="E134" s="361"/>
      <c r="F134" s="361"/>
      <c r="G134" s="360"/>
      <c r="H134" s="360"/>
      <c r="I134" s="360"/>
      <c r="J134" s="360"/>
    </row>
    <row r="135" spans="1:10" s="58" customFormat="1" x14ac:dyDescent="0.2">
      <c r="A135" s="66"/>
      <c r="B135" s="66"/>
      <c r="C135" s="361"/>
      <c r="D135" s="361"/>
      <c r="E135" s="361"/>
      <c r="F135" s="361"/>
      <c r="G135" s="360"/>
      <c r="H135" s="360"/>
      <c r="I135" s="360"/>
      <c r="J135" s="360"/>
    </row>
    <row r="136" spans="1:10" s="58" customFormat="1" x14ac:dyDescent="0.2">
      <c r="A136" s="66"/>
      <c r="B136" s="66"/>
      <c r="C136" s="361"/>
      <c r="D136" s="361"/>
      <c r="E136" s="361"/>
      <c r="F136" s="361"/>
      <c r="G136" s="360"/>
      <c r="H136" s="360"/>
      <c r="I136" s="360"/>
      <c r="J136" s="360"/>
    </row>
    <row r="137" spans="1:10" s="58" customFormat="1" x14ac:dyDescent="0.2">
      <c r="A137" s="66"/>
      <c r="B137" s="66"/>
      <c r="C137" s="361"/>
      <c r="D137" s="361"/>
      <c r="E137" s="361"/>
      <c r="F137" s="361"/>
      <c r="G137" s="360"/>
      <c r="H137" s="360"/>
      <c r="I137" s="360"/>
      <c r="J137" s="360"/>
    </row>
    <row r="138" spans="1:10" s="58" customFormat="1" x14ac:dyDescent="0.2">
      <c r="A138" s="66"/>
      <c r="B138" s="66"/>
      <c r="C138" s="361"/>
      <c r="D138" s="361"/>
      <c r="E138" s="361"/>
      <c r="F138" s="361"/>
      <c r="G138" s="360"/>
      <c r="H138" s="360"/>
      <c r="I138" s="360"/>
      <c r="J138" s="360"/>
    </row>
    <row r="139" spans="1:10" s="58" customFormat="1" x14ac:dyDescent="0.2">
      <c r="A139" s="66"/>
      <c r="B139" s="66"/>
      <c r="C139" s="361"/>
      <c r="D139" s="361"/>
      <c r="E139" s="361"/>
      <c r="F139" s="361"/>
      <c r="G139" s="360"/>
      <c r="H139" s="360"/>
      <c r="I139" s="360"/>
      <c r="J139" s="360"/>
    </row>
    <row r="140" spans="1:10" s="58" customFormat="1" x14ac:dyDescent="0.2">
      <c r="A140" s="66"/>
      <c r="B140" s="66"/>
      <c r="C140" s="361"/>
      <c r="D140" s="361"/>
      <c r="E140" s="361"/>
      <c r="F140" s="361"/>
      <c r="G140" s="360"/>
      <c r="H140" s="360"/>
      <c r="I140" s="360"/>
      <c r="J140" s="360"/>
    </row>
    <row r="141" spans="1:10" s="58" customFormat="1" x14ac:dyDescent="0.2">
      <c r="A141" s="66"/>
      <c r="B141" s="66"/>
      <c r="C141" s="361"/>
      <c r="D141" s="361"/>
      <c r="E141" s="361"/>
      <c r="F141" s="361"/>
      <c r="G141" s="360"/>
      <c r="H141" s="360"/>
      <c r="I141" s="360"/>
      <c r="J141" s="360"/>
    </row>
    <row r="142" spans="1:10" s="58" customFormat="1" x14ac:dyDescent="0.2">
      <c r="A142" s="66"/>
      <c r="B142" s="66"/>
      <c r="C142" s="361"/>
      <c r="D142" s="361"/>
      <c r="E142" s="361"/>
      <c r="F142" s="361"/>
      <c r="G142" s="360"/>
      <c r="H142" s="360"/>
      <c r="I142" s="360"/>
      <c r="J142" s="360"/>
    </row>
    <row r="143" spans="1:10" s="58" customFormat="1" x14ac:dyDescent="0.2">
      <c r="A143" s="66"/>
      <c r="B143" s="66"/>
      <c r="C143" s="361"/>
      <c r="D143" s="361"/>
      <c r="E143" s="361"/>
      <c r="F143" s="361"/>
      <c r="G143" s="360"/>
      <c r="H143" s="360"/>
      <c r="I143" s="360"/>
      <c r="J143" s="360"/>
    </row>
    <row r="144" spans="1:10" s="58" customFormat="1" x14ac:dyDescent="0.2">
      <c r="A144" s="66"/>
      <c r="B144" s="66"/>
      <c r="C144" s="361"/>
      <c r="D144" s="361"/>
      <c r="E144" s="361"/>
      <c r="F144" s="361"/>
      <c r="G144" s="360"/>
      <c r="H144" s="360"/>
      <c r="I144" s="360"/>
      <c r="J144" s="360"/>
    </row>
    <row r="145" spans="1:10" s="58" customFormat="1" x14ac:dyDescent="0.2">
      <c r="A145" s="66"/>
      <c r="B145" s="66"/>
      <c r="C145" s="361"/>
      <c r="D145" s="361"/>
      <c r="E145" s="361"/>
      <c r="F145" s="361"/>
      <c r="G145" s="360"/>
      <c r="H145" s="360"/>
      <c r="I145" s="360"/>
      <c r="J145" s="360"/>
    </row>
    <row r="146" spans="1:10" s="58" customFormat="1" x14ac:dyDescent="0.2">
      <c r="A146" s="66"/>
      <c r="B146" s="66"/>
      <c r="C146" s="361"/>
      <c r="D146" s="361"/>
      <c r="E146" s="361"/>
      <c r="F146" s="361"/>
      <c r="G146" s="360"/>
      <c r="H146" s="360"/>
      <c r="I146" s="360"/>
      <c r="J146" s="360"/>
    </row>
    <row r="147" spans="1:10" s="58" customFormat="1" x14ac:dyDescent="0.2">
      <c r="A147" s="66"/>
      <c r="B147" s="66"/>
      <c r="C147" s="361"/>
      <c r="D147" s="361"/>
      <c r="E147" s="361"/>
      <c r="F147" s="361"/>
      <c r="G147" s="360"/>
      <c r="H147" s="360"/>
      <c r="I147" s="360"/>
      <c r="J147" s="360"/>
    </row>
    <row r="148" spans="1:10" s="58" customFormat="1" x14ac:dyDescent="0.2">
      <c r="A148" s="66"/>
      <c r="B148" s="66"/>
      <c r="C148" s="361"/>
      <c r="D148" s="361"/>
      <c r="E148" s="361"/>
      <c r="F148" s="361"/>
      <c r="G148" s="360"/>
      <c r="H148" s="360"/>
      <c r="I148" s="360"/>
      <c r="J148" s="360"/>
    </row>
    <row r="149" spans="1:10" s="58" customFormat="1" x14ac:dyDescent="0.2">
      <c r="A149" s="66"/>
      <c r="B149" s="66"/>
      <c r="C149" s="361"/>
      <c r="D149" s="361"/>
      <c r="E149" s="361"/>
      <c r="F149" s="361"/>
      <c r="G149" s="360"/>
      <c r="H149" s="360"/>
      <c r="I149" s="360"/>
      <c r="J149" s="360"/>
    </row>
    <row r="150" spans="1:10" s="58" customFormat="1" x14ac:dyDescent="0.2">
      <c r="A150" s="66"/>
      <c r="B150" s="66"/>
      <c r="C150" s="361"/>
      <c r="D150" s="361"/>
      <c r="E150" s="361"/>
      <c r="F150" s="361"/>
      <c r="G150" s="360"/>
      <c r="H150" s="360"/>
      <c r="I150" s="360"/>
      <c r="J150" s="360"/>
    </row>
    <row r="151" spans="1:10" s="58" customFormat="1" x14ac:dyDescent="0.2">
      <c r="A151" s="66"/>
      <c r="B151" s="66"/>
      <c r="C151" s="361"/>
      <c r="D151" s="361"/>
      <c r="E151" s="361"/>
      <c r="F151" s="361"/>
      <c r="G151" s="360"/>
      <c r="H151" s="360"/>
      <c r="I151" s="360"/>
      <c r="J151" s="360"/>
    </row>
    <row r="152" spans="1:10" s="58" customFormat="1" x14ac:dyDescent="0.2">
      <c r="A152" s="66"/>
      <c r="B152" s="66"/>
      <c r="C152" s="361"/>
      <c r="D152" s="361"/>
      <c r="E152" s="361"/>
      <c r="F152" s="361"/>
      <c r="G152" s="360"/>
      <c r="H152" s="360"/>
      <c r="I152" s="360"/>
      <c r="J152" s="360"/>
    </row>
    <row r="153" spans="1:10" s="58" customFormat="1" x14ac:dyDescent="0.2">
      <c r="A153" s="66"/>
      <c r="B153" s="66"/>
      <c r="C153" s="361"/>
      <c r="D153" s="361"/>
      <c r="E153" s="361"/>
      <c r="F153" s="361"/>
      <c r="G153" s="360"/>
      <c r="H153" s="360"/>
      <c r="I153" s="360"/>
      <c r="J153" s="360"/>
    </row>
    <row r="154" spans="1:10" s="58" customFormat="1" x14ac:dyDescent="0.2">
      <c r="A154" s="66"/>
      <c r="B154" s="66"/>
      <c r="C154" s="361"/>
      <c r="D154" s="361"/>
      <c r="E154" s="361"/>
      <c r="F154" s="361"/>
      <c r="G154" s="360"/>
      <c r="H154" s="360"/>
      <c r="I154" s="360"/>
      <c r="J154" s="360"/>
    </row>
    <row r="155" spans="1:10" s="58" customFormat="1" x14ac:dyDescent="0.2">
      <c r="A155" s="66"/>
      <c r="B155" s="66"/>
      <c r="C155" s="361"/>
      <c r="D155" s="361"/>
      <c r="E155" s="361"/>
      <c r="F155" s="361"/>
      <c r="G155" s="360"/>
      <c r="H155" s="360"/>
      <c r="I155" s="360"/>
      <c r="J155" s="360"/>
    </row>
    <row r="156" spans="1:10" s="58" customFormat="1" x14ac:dyDescent="0.2">
      <c r="A156" s="66"/>
      <c r="B156" s="66"/>
      <c r="C156" s="361"/>
      <c r="D156" s="361"/>
      <c r="E156" s="361"/>
      <c r="F156" s="361"/>
      <c r="G156" s="360"/>
      <c r="H156" s="360"/>
      <c r="I156" s="360"/>
      <c r="J156" s="360"/>
    </row>
    <row r="157" spans="1:10" s="58" customFormat="1" x14ac:dyDescent="0.2">
      <c r="A157" s="66"/>
      <c r="B157" s="66"/>
      <c r="C157" s="361"/>
      <c r="D157" s="361"/>
      <c r="E157" s="361"/>
      <c r="F157" s="361"/>
      <c r="G157" s="360"/>
      <c r="H157" s="360"/>
      <c r="I157" s="360"/>
      <c r="J157" s="360"/>
    </row>
    <row r="158" spans="1:10" s="58" customFormat="1" x14ac:dyDescent="0.2">
      <c r="A158" s="66"/>
      <c r="B158" s="66"/>
      <c r="C158" s="361"/>
      <c r="D158" s="361"/>
      <c r="E158" s="361"/>
      <c r="F158" s="361"/>
      <c r="G158" s="360"/>
      <c r="H158" s="360"/>
      <c r="I158" s="360"/>
      <c r="J158" s="360"/>
    </row>
    <row r="159" spans="1:10" s="58" customFormat="1" x14ac:dyDescent="0.2">
      <c r="A159" s="66"/>
      <c r="B159" s="66"/>
      <c r="C159" s="361"/>
      <c r="D159" s="361"/>
      <c r="E159" s="361"/>
      <c r="F159" s="361"/>
      <c r="G159" s="360"/>
      <c r="H159" s="360"/>
      <c r="I159" s="360"/>
      <c r="J159" s="360"/>
    </row>
    <row r="160" spans="1:10" s="58" customFormat="1" x14ac:dyDescent="0.2">
      <c r="A160" s="66"/>
      <c r="B160" s="66"/>
      <c r="C160" s="361"/>
      <c r="D160" s="361"/>
      <c r="E160" s="361"/>
      <c r="F160" s="361"/>
      <c r="G160" s="360"/>
      <c r="H160" s="360"/>
      <c r="I160" s="360"/>
      <c r="J160" s="360"/>
    </row>
    <row r="161" spans="1:10" s="58" customFormat="1" x14ac:dyDescent="0.2">
      <c r="A161" s="66"/>
      <c r="B161" s="66"/>
      <c r="C161" s="361"/>
      <c r="D161" s="361"/>
      <c r="E161" s="361"/>
      <c r="F161" s="361"/>
      <c r="G161" s="360"/>
      <c r="H161" s="360"/>
      <c r="I161" s="360"/>
      <c r="J161" s="360"/>
    </row>
    <row r="162" spans="1:10" s="58" customFormat="1" x14ac:dyDescent="0.2">
      <c r="A162" s="66"/>
      <c r="B162" s="66"/>
      <c r="C162" s="361"/>
      <c r="D162" s="361"/>
      <c r="E162" s="361"/>
      <c r="F162" s="361"/>
      <c r="G162" s="360"/>
      <c r="H162" s="360"/>
      <c r="I162" s="360"/>
      <c r="J162" s="360"/>
    </row>
    <row r="163" spans="1:10" s="58" customFormat="1" x14ac:dyDescent="0.2">
      <c r="A163" s="66"/>
      <c r="B163" s="66"/>
      <c r="C163" s="361"/>
      <c r="D163" s="361"/>
      <c r="E163" s="361"/>
      <c r="F163" s="361"/>
      <c r="G163" s="360"/>
      <c r="H163" s="360"/>
      <c r="I163" s="360"/>
      <c r="J163" s="360"/>
    </row>
    <row r="164" spans="1:10" s="58" customFormat="1" x14ac:dyDescent="0.2">
      <c r="A164" s="66"/>
      <c r="B164" s="66"/>
      <c r="C164" s="361"/>
      <c r="D164" s="361"/>
      <c r="E164" s="361"/>
      <c r="F164" s="361"/>
      <c r="G164" s="360"/>
      <c r="H164" s="360"/>
      <c r="I164" s="360"/>
      <c r="J164" s="360"/>
    </row>
    <row r="165" spans="1:10" s="58" customFormat="1" x14ac:dyDescent="0.2">
      <c r="A165" s="66"/>
      <c r="B165" s="66"/>
      <c r="C165" s="361"/>
      <c r="D165" s="361"/>
      <c r="E165" s="361"/>
      <c r="F165" s="361"/>
      <c r="G165" s="360"/>
      <c r="H165" s="360"/>
      <c r="I165" s="360"/>
      <c r="J165" s="360"/>
    </row>
    <row r="166" spans="1:10" s="58" customFormat="1" x14ac:dyDescent="0.2">
      <c r="A166" s="66"/>
      <c r="B166" s="66"/>
      <c r="C166" s="361"/>
      <c r="D166" s="361"/>
      <c r="E166" s="361"/>
      <c r="F166" s="361"/>
      <c r="G166" s="360"/>
      <c r="H166" s="360"/>
      <c r="I166" s="360"/>
      <c r="J166" s="360"/>
    </row>
    <row r="167" spans="1:10" s="58" customFormat="1" x14ac:dyDescent="0.2">
      <c r="A167" s="66"/>
      <c r="B167" s="66"/>
      <c r="C167" s="361"/>
      <c r="D167" s="361"/>
      <c r="E167" s="361"/>
      <c r="F167" s="361"/>
      <c r="G167" s="360"/>
      <c r="H167" s="360"/>
      <c r="I167" s="360"/>
      <c r="J167" s="360"/>
    </row>
    <row r="168" spans="1:10" s="58" customFormat="1" x14ac:dyDescent="0.2">
      <c r="A168" s="66"/>
      <c r="B168" s="66"/>
      <c r="C168" s="361"/>
      <c r="D168" s="361"/>
      <c r="E168" s="361"/>
      <c r="F168" s="361"/>
      <c r="G168" s="360"/>
      <c r="H168" s="360"/>
      <c r="I168" s="360"/>
      <c r="J168" s="360"/>
    </row>
    <row r="169" spans="1:10" s="58" customFormat="1" x14ac:dyDescent="0.2">
      <c r="A169" s="66"/>
      <c r="B169" s="66"/>
      <c r="C169" s="361"/>
      <c r="D169" s="361"/>
      <c r="E169" s="361"/>
      <c r="F169" s="361"/>
      <c r="G169" s="360"/>
      <c r="H169" s="360"/>
      <c r="I169" s="360"/>
      <c r="J169" s="360"/>
    </row>
    <row r="170" spans="1:10" s="58" customFormat="1" x14ac:dyDescent="0.2">
      <c r="A170" s="66"/>
      <c r="B170" s="66"/>
      <c r="C170" s="361"/>
      <c r="D170" s="361"/>
      <c r="E170" s="361"/>
      <c r="F170" s="361"/>
      <c r="G170" s="360"/>
      <c r="H170" s="360"/>
      <c r="I170" s="360"/>
      <c r="J170" s="360"/>
    </row>
    <row r="171" spans="1:10" s="58" customFormat="1" x14ac:dyDescent="0.2">
      <c r="A171" s="66"/>
      <c r="B171" s="66"/>
      <c r="C171" s="361"/>
      <c r="D171" s="361"/>
      <c r="E171" s="361"/>
      <c r="F171" s="361"/>
      <c r="G171" s="360"/>
      <c r="H171" s="360"/>
      <c r="I171" s="360"/>
      <c r="J171" s="360"/>
    </row>
    <row r="172" spans="1:10" s="58" customFormat="1" x14ac:dyDescent="0.2">
      <c r="A172" s="66"/>
      <c r="B172" s="66"/>
      <c r="C172" s="361"/>
      <c r="D172" s="361"/>
      <c r="E172" s="361"/>
      <c r="F172" s="361"/>
      <c r="G172" s="360"/>
      <c r="H172" s="360"/>
      <c r="I172" s="360"/>
      <c r="J172" s="360"/>
    </row>
    <row r="173" spans="1:10" s="58" customFormat="1" x14ac:dyDescent="0.2">
      <c r="A173" s="66"/>
      <c r="B173" s="66"/>
      <c r="C173" s="361"/>
      <c r="D173" s="361"/>
      <c r="E173" s="361"/>
      <c r="F173" s="361"/>
      <c r="G173" s="360"/>
      <c r="H173" s="360"/>
      <c r="I173" s="360"/>
      <c r="J173" s="360"/>
    </row>
    <row r="174" spans="1:10" s="58" customFormat="1" x14ac:dyDescent="0.2">
      <c r="A174" s="66"/>
      <c r="B174" s="66"/>
      <c r="C174" s="361"/>
      <c r="D174" s="361"/>
      <c r="E174" s="361"/>
      <c r="F174" s="361"/>
      <c r="G174" s="360"/>
      <c r="H174" s="360"/>
      <c r="I174" s="360"/>
      <c r="J174" s="360"/>
    </row>
    <row r="175" spans="1:10" s="58" customFormat="1" x14ac:dyDescent="0.2">
      <c r="A175" s="66"/>
      <c r="B175" s="66"/>
      <c r="C175" s="361"/>
      <c r="D175" s="361"/>
      <c r="E175" s="361"/>
      <c r="F175" s="361"/>
      <c r="G175" s="360"/>
      <c r="H175" s="360"/>
      <c r="I175" s="360"/>
      <c r="J175" s="360"/>
    </row>
    <row r="176" spans="1:10" s="58" customFormat="1" x14ac:dyDescent="0.2">
      <c r="A176" s="66"/>
      <c r="B176" s="66"/>
      <c r="C176" s="361"/>
      <c r="D176" s="361"/>
      <c r="E176" s="361"/>
      <c r="F176" s="361"/>
      <c r="G176" s="360"/>
      <c r="H176" s="360"/>
      <c r="I176" s="360"/>
      <c r="J176" s="360"/>
    </row>
    <row r="177" spans="1:10" s="58" customFormat="1" x14ac:dyDescent="0.2">
      <c r="A177" s="66"/>
      <c r="B177" s="66"/>
      <c r="C177" s="361"/>
      <c r="D177" s="361"/>
      <c r="E177" s="361"/>
      <c r="F177" s="361"/>
      <c r="G177" s="360"/>
      <c r="H177" s="360"/>
      <c r="I177" s="360"/>
      <c r="J177" s="360"/>
    </row>
    <row r="178" spans="1:10" s="58" customFormat="1" x14ac:dyDescent="0.2">
      <c r="A178" s="66"/>
      <c r="B178" s="66"/>
      <c r="C178" s="361"/>
      <c r="D178" s="361"/>
      <c r="E178" s="361"/>
      <c r="F178" s="361"/>
      <c r="G178" s="360"/>
      <c r="H178" s="360"/>
      <c r="I178" s="360"/>
      <c r="J178" s="360"/>
    </row>
    <row r="179" spans="1:10" s="58" customFormat="1" x14ac:dyDescent="0.2">
      <c r="A179" s="66"/>
      <c r="B179" s="66"/>
      <c r="C179" s="361"/>
      <c r="D179" s="361"/>
      <c r="E179" s="361"/>
      <c r="F179" s="361"/>
      <c r="G179" s="360"/>
      <c r="H179" s="360"/>
      <c r="I179" s="360"/>
      <c r="J179" s="360"/>
    </row>
    <row r="180" spans="1:10" s="58" customFormat="1" x14ac:dyDescent="0.2">
      <c r="A180" s="66"/>
      <c r="B180" s="66"/>
      <c r="C180" s="361"/>
      <c r="D180" s="361"/>
      <c r="E180" s="361"/>
      <c r="F180" s="361"/>
      <c r="G180" s="360"/>
      <c r="H180" s="360"/>
      <c r="I180" s="360"/>
      <c r="J180" s="360"/>
    </row>
    <row r="181" spans="1:10" s="58" customFormat="1" x14ac:dyDescent="0.2">
      <c r="A181" s="66"/>
      <c r="B181" s="66"/>
      <c r="C181" s="361"/>
      <c r="D181" s="361"/>
      <c r="E181" s="361"/>
      <c r="F181" s="361"/>
      <c r="G181" s="360"/>
      <c r="H181" s="360"/>
      <c r="I181" s="360"/>
      <c r="J181" s="360"/>
    </row>
    <row r="182" spans="1:10" s="58" customFormat="1" x14ac:dyDescent="0.2">
      <c r="A182" s="66"/>
      <c r="B182" s="66"/>
      <c r="C182" s="361"/>
      <c r="D182" s="361"/>
      <c r="E182" s="361"/>
      <c r="F182" s="361"/>
      <c r="G182" s="360"/>
      <c r="H182" s="360"/>
      <c r="I182" s="360"/>
      <c r="J182" s="360"/>
    </row>
    <row r="183" spans="1:10" s="58" customFormat="1" x14ac:dyDescent="0.2">
      <c r="A183" s="66"/>
      <c r="B183" s="66"/>
      <c r="C183" s="361"/>
      <c r="D183" s="361"/>
      <c r="E183" s="361"/>
      <c r="F183" s="361"/>
      <c r="G183" s="360"/>
      <c r="H183" s="360"/>
      <c r="I183" s="360"/>
      <c r="J183" s="360"/>
    </row>
    <row r="184" spans="1:10" s="58" customFormat="1" x14ac:dyDescent="0.2">
      <c r="A184" s="66"/>
      <c r="B184" s="66"/>
      <c r="C184" s="361"/>
      <c r="D184" s="361"/>
      <c r="E184" s="361"/>
      <c r="F184" s="361"/>
      <c r="G184" s="360"/>
      <c r="H184" s="360"/>
      <c r="I184" s="360"/>
      <c r="J184" s="360"/>
    </row>
    <row r="185" spans="1:10" s="58" customFormat="1" x14ac:dyDescent="0.2">
      <c r="A185" s="66"/>
      <c r="B185" s="66"/>
      <c r="C185" s="361"/>
      <c r="D185" s="361"/>
      <c r="E185" s="361"/>
      <c r="F185" s="361"/>
      <c r="G185" s="360"/>
      <c r="H185" s="360"/>
      <c r="I185" s="360"/>
      <c r="J185" s="360"/>
    </row>
    <row r="186" spans="1:10" s="58" customFormat="1" x14ac:dyDescent="0.2">
      <c r="A186" s="66"/>
      <c r="B186" s="66"/>
      <c r="C186" s="361"/>
      <c r="D186" s="361"/>
      <c r="E186" s="361"/>
      <c r="F186" s="361"/>
      <c r="G186" s="360"/>
      <c r="H186" s="360"/>
      <c r="I186" s="360"/>
      <c r="J186" s="360"/>
    </row>
    <row r="187" spans="1:10" s="58" customFormat="1" x14ac:dyDescent="0.2">
      <c r="A187" s="66"/>
      <c r="B187" s="66"/>
      <c r="C187" s="361"/>
      <c r="D187" s="361"/>
      <c r="E187" s="361"/>
      <c r="F187" s="361"/>
      <c r="G187" s="360"/>
      <c r="H187" s="360"/>
      <c r="I187" s="360"/>
      <c r="J187" s="360"/>
    </row>
    <row r="188" spans="1:10" s="58" customFormat="1" x14ac:dyDescent="0.2">
      <c r="A188" s="66"/>
      <c r="B188" s="66"/>
      <c r="C188" s="361"/>
      <c r="D188" s="361"/>
      <c r="E188" s="361"/>
      <c r="F188" s="361"/>
      <c r="G188" s="360"/>
      <c r="H188" s="360"/>
      <c r="I188" s="360"/>
      <c r="J188" s="360"/>
    </row>
    <row r="189" spans="1:10" s="58" customFormat="1" x14ac:dyDescent="0.2">
      <c r="A189" s="66"/>
      <c r="B189" s="66"/>
      <c r="C189" s="361"/>
      <c r="D189" s="361"/>
      <c r="E189" s="361"/>
      <c r="F189" s="361"/>
      <c r="G189" s="360"/>
      <c r="H189" s="360"/>
      <c r="I189" s="360"/>
      <c r="J189" s="360"/>
    </row>
    <row r="190" spans="1:10" s="58" customFormat="1" x14ac:dyDescent="0.2">
      <c r="A190" s="66"/>
      <c r="B190" s="66"/>
      <c r="C190" s="361"/>
      <c r="D190" s="361"/>
      <c r="E190" s="361"/>
      <c r="F190" s="361"/>
      <c r="G190" s="360"/>
      <c r="H190" s="360"/>
      <c r="I190" s="360"/>
      <c r="J190" s="360"/>
    </row>
    <row r="191" spans="1:10" s="58" customFormat="1" x14ac:dyDescent="0.2">
      <c r="A191" s="66"/>
      <c r="B191" s="66"/>
      <c r="C191" s="361"/>
      <c r="D191" s="361"/>
      <c r="E191" s="361"/>
      <c r="F191" s="361"/>
      <c r="G191" s="360"/>
      <c r="H191" s="360"/>
      <c r="I191" s="360"/>
      <c r="J191" s="360"/>
    </row>
    <row r="192" spans="1:10" s="58" customFormat="1" x14ac:dyDescent="0.2">
      <c r="A192" s="66"/>
      <c r="B192" s="66"/>
      <c r="C192" s="361"/>
      <c r="D192" s="361"/>
      <c r="E192" s="361"/>
      <c r="F192" s="361"/>
      <c r="G192" s="360"/>
      <c r="H192" s="360"/>
      <c r="I192" s="360"/>
      <c r="J192" s="360"/>
    </row>
    <row r="193" spans="1:10" s="58" customFormat="1" x14ac:dyDescent="0.2">
      <c r="A193" s="66"/>
      <c r="B193" s="66"/>
      <c r="C193" s="361"/>
      <c r="D193" s="361"/>
      <c r="E193" s="361"/>
      <c r="F193" s="361"/>
      <c r="G193" s="360"/>
      <c r="H193" s="360"/>
      <c r="I193" s="360"/>
      <c r="J193" s="360"/>
    </row>
    <row r="194" spans="1:10" s="58" customFormat="1" x14ac:dyDescent="0.2">
      <c r="A194" s="66"/>
      <c r="B194" s="66"/>
      <c r="C194" s="361"/>
      <c r="D194" s="361"/>
      <c r="E194" s="361"/>
      <c r="F194" s="361"/>
      <c r="G194" s="360"/>
      <c r="H194" s="360"/>
      <c r="I194" s="360"/>
      <c r="J194" s="360"/>
    </row>
    <row r="195" spans="1:10" s="58" customFormat="1" x14ac:dyDescent="0.2">
      <c r="A195" s="66"/>
      <c r="B195" s="66"/>
      <c r="C195" s="361"/>
      <c r="D195" s="361"/>
      <c r="E195" s="361"/>
      <c r="F195" s="361"/>
      <c r="G195" s="360"/>
      <c r="H195" s="360"/>
      <c r="I195" s="360"/>
      <c r="J195" s="360"/>
    </row>
    <row r="196" spans="1:10" s="58" customFormat="1" x14ac:dyDescent="0.2">
      <c r="A196" s="66"/>
      <c r="B196" s="66"/>
      <c r="C196" s="361"/>
      <c r="D196" s="361"/>
      <c r="E196" s="361"/>
      <c r="F196" s="361"/>
      <c r="G196" s="360"/>
      <c r="H196" s="360"/>
      <c r="I196" s="360"/>
      <c r="J196" s="360"/>
    </row>
    <row r="197" spans="1:10" s="58" customFormat="1" x14ac:dyDescent="0.2">
      <c r="A197" s="66"/>
      <c r="B197" s="66"/>
      <c r="C197" s="361"/>
      <c r="D197" s="361"/>
      <c r="E197" s="361"/>
      <c r="F197" s="361"/>
      <c r="G197" s="360"/>
      <c r="H197" s="360"/>
      <c r="I197" s="360"/>
      <c r="J197" s="360"/>
    </row>
    <row r="198" spans="1:10" s="58" customFormat="1" x14ac:dyDescent="0.2">
      <c r="A198" s="66"/>
      <c r="B198" s="66"/>
      <c r="C198" s="361"/>
      <c r="D198" s="361"/>
      <c r="E198" s="361"/>
      <c r="F198" s="361"/>
      <c r="G198" s="360"/>
      <c r="H198" s="360"/>
      <c r="I198" s="360"/>
      <c r="J198" s="360"/>
    </row>
    <row r="199" spans="1:10" s="58" customFormat="1" x14ac:dyDescent="0.2">
      <c r="A199" s="66"/>
      <c r="B199" s="66"/>
      <c r="C199" s="361"/>
      <c r="D199" s="361"/>
      <c r="E199" s="361"/>
      <c r="F199" s="361"/>
      <c r="G199" s="360"/>
      <c r="H199" s="360"/>
      <c r="I199" s="360"/>
      <c r="J199" s="360"/>
    </row>
    <row r="200" spans="1:10" s="58" customFormat="1" x14ac:dyDescent="0.2">
      <c r="A200" s="66"/>
      <c r="B200" s="66"/>
      <c r="C200" s="361"/>
      <c r="D200" s="361"/>
      <c r="E200" s="361"/>
      <c r="F200" s="361"/>
      <c r="G200" s="360"/>
      <c r="H200" s="360"/>
      <c r="I200" s="360"/>
      <c r="J200" s="360"/>
    </row>
    <row r="201" spans="1:10" s="58" customFormat="1" x14ac:dyDescent="0.2">
      <c r="A201" s="66"/>
      <c r="B201" s="66"/>
      <c r="C201" s="361"/>
      <c r="D201" s="361"/>
      <c r="E201" s="361"/>
      <c r="F201" s="361"/>
      <c r="G201" s="360"/>
      <c r="H201" s="360"/>
      <c r="I201" s="360"/>
      <c r="J201" s="360"/>
    </row>
    <row r="202" spans="1:10" s="58" customFormat="1" x14ac:dyDescent="0.2">
      <c r="A202" s="66"/>
      <c r="B202" s="66"/>
      <c r="C202" s="361"/>
      <c r="D202" s="361"/>
      <c r="E202" s="361"/>
      <c r="F202" s="361"/>
      <c r="G202" s="360"/>
      <c r="H202" s="360"/>
      <c r="I202" s="360"/>
      <c r="J202" s="360"/>
    </row>
    <row r="203" spans="1:10" s="58" customFormat="1" x14ac:dyDescent="0.2">
      <c r="A203" s="66"/>
      <c r="B203" s="66"/>
      <c r="C203" s="361"/>
      <c r="D203" s="361"/>
      <c r="E203" s="361"/>
      <c r="F203" s="361"/>
      <c r="G203" s="360"/>
      <c r="H203" s="360"/>
      <c r="I203" s="360"/>
      <c r="J203" s="360"/>
    </row>
    <row r="204" spans="1:10" s="58" customFormat="1" x14ac:dyDescent="0.2">
      <c r="A204" s="66"/>
      <c r="B204" s="66"/>
      <c r="C204" s="361"/>
      <c r="D204" s="361"/>
      <c r="E204" s="361"/>
      <c r="F204" s="361"/>
      <c r="G204" s="360"/>
      <c r="H204" s="360"/>
      <c r="I204" s="360"/>
      <c r="J204" s="360"/>
    </row>
    <row r="205" spans="1:10" s="58" customFormat="1" x14ac:dyDescent="0.2">
      <c r="A205" s="66"/>
      <c r="B205" s="66"/>
      <c r="C205" s="361"/>
      <c r="D205" s="361"/>
      <c r="E205" s="361"/>
      <c r="F205" s="361"/>
      <c r="G205" s="360"/>
      <c r="H205" s="360"/>
      <c r="I205" s="360"/>
      <c r="J205" s="360"/>
    </row>
    <row r="206" spans="1:10" s="58" customFormat="1" x14ac:dyDescent="0.2">
      <c r="A206" s="66"/>
      <c r="B206" s="66"/>
      <c r="C206" s="361"/>
      <c r="D206" s="361"/>
      <c r="E206" s="361"/>
      <c r="F206" s="361"/>
      <c r="G206" s="360"/>
      <c r="H206" s="360"/>
      <c r="I206" s="360"/>
      <c r="J206" s="360"/>
    </row>
    <row r="207" spans="1:10" s="58" customFormat="1" x14ac:dyDescent="0.2">
      <c r="A207" s="66"/>
      <c r="B207" s="66"/>
      <c r="C207" s="361"/>
      <c r="D207" s="361"/>
      <c r="E207" s="361"/>
      <c r="F207" s="361"/>
      <c r="G207" s="360"/>
      <c r="H207" s="360"/>
      <c r="I207" s="360"/>
      <c r="J207" s="360"/>
    </row>
    <row r="208" spans="1:10" s="58" customFormat="1" x14ac:dyDescent="0.2">
      <c r="A208" s="66"/>
      <c r="B208" s="66"/>
      <c r="C208" s="361"/>
      <c r="D208" s="361"/>
      <c r="E208" s="361"/>
      <c r="F208" s="361"/>
      <c r="G208" s="360"/>
      <c r="H208" s="360"/>
      <c r="I208" s="360"/>
      <c r="J208" s="360"/>
    </row>
    <row r="209" spans="1:10" s="58" customFormat="1" x14ac:dyDescent="0.2">
      <c r="A209" s="66"/>
      <c r="B209" s="66"/>
      <c r="C209" s="361"/>
      <c r="D209" s="361"/>
      <c r="E209" s="361"/>
      <c r="F209" s="361"/>
      <c r="G209" s="360"/>
      <c r="H209" s="360"/>
      <c r="I209" s="360"/>
      <c r="J209" s="360"/>
    </row>
    <row r="210" spans="1:10" s="58" customFormat="1" x14ac:dyDescent="0.2">
      <c r="A210" s="66"/>
      <c r="B210" s="66"/>
      <c r="C210" s="361"/>
      <c r="D210" s="361"/>
      <c r="E210" s="361"/>
      <c r="F210" s="361"/>
      <c r="G210" s="360"/>
      <c r="H210" s="360"/>
      <c r="I210" s="360"/>
      <c r="J210" s="360"/>
    </row>
    <row r="211" spans="1:10" s="58" customFormat="1" x14ac:dyDescent="0.2">
      <c r="A211" s="66"/>
      <c r="B211" s="66"/>
      <c r="C211" s="361"/>
      <c r="D211" s="361"/>
      <c r="E211" s="361"/>
      <c r="F211" s="361"/>
      <c r="G211" s="360"/>
      <c r="H211" s="360"/>
      <c r="I211" s="360"/>
      <c r="J211" s="360"/>
    </row>
    <row r="212" spans="1:10" s="58" customFormat="1" x14ac:dyDescent="0.2">
      <c r="A212" s="66"/>
      <c r="B212" s="66"/>
      <c r="C212" s="361"/>
      <c r="D212" s="361"/>
      <c r="E212" s="361"/>
      <c r="F212" s="361"/>
      <c r="G212" s="360"/>
      <c r="H212" s="360"/>
      <c r="I212" s="360"/>
      <c r="J212" s="360"/>
    </row>
    <row r="213" spans="1:10" s="58" customFormat="1" x14ac:dyDescent="0.2">
      <c r="A213" s="66"/>
      <c r="B213" s="66"/>
      <c r="C213" s="361"/>
      <c r="D213" s="361"/>
      <c r="E213" s="361"/>
      <c r="F213" s="361"/>
      <c r="G213" s="360"/>
      <c r="H213" s="360"/>
      <c r="I213" s="360"/>
      <c r="J213" s="360"/>
    </row>
    <row r="214" spans="1:10" s="58" customFormat="1" x14ac:dyDescent="0.2">
      <c r="A214" s="66"/>
      <c r="B214" s="66"/>
      <c r="C214" s="361"/>
      <c r="D214" s="361"/>
      <c r="E214" s="361"/>
      <c r="F214" s="361"/>
      <c r="G214" s="360"/>
      <c r="H214" s="360"/>
      <c r="I214" s="360"/>
      <c r="J214" s="360"/>
    </row>
    <row r="215" spans="1:10" s="58" customFormat="1" x14ac:dyDescent="0.2">
      <c r="A215" s="66"/>
      <c r="B215" s="66"/>
      <c r="C215" s="361"/>
      <c r="D215" s="361"/>
      <c r="E215" s="361"/>
      <c r="F215" s="361"/>
      <c r="G215" s="360"/>
      <c r="H215" s="360"/>
      <c r="I215" s="360"/>
      <c r="J215" s="360"/>
    </row>
    <row r="216" spans="1:10" s="58" customFormat="1" x14ac:dyDescent="0.2">
      <c r="A216" s="66"/>
      <c r="B216" s="66"/>
      <c r="C216" s="361"/>
      <c r="D216" s="361"/>
      <c r="E216" s="361"/>
      <c r="F216" s="361"/>
      <c r="G216" s="360"/>
      <c r="H216" s="360"/>
      <c r="I216" s="360"/>
      <c r="J216" s="360"/>
    </row>
    <row r="217" spans="1:10" s="58" customFormat="1" x14ac:dyDescent="0.2">
      <c r="A217" s="66"/>
      <c r="B217" s="66"/>
      <c r="C217" s="361"/>
      <c r="D217" s="361"/>
      <c r="E217" s="361"/>
      <c r="F217" s="361"/>
      <c r="G217" s="360"/>
      <c r="H217" s="360"/>
      <c r="I217" s="360"/>
      <c r="J217" s="360"/>
    </row>
    <row r="218" spans="1:10" s="58" customFormat="1" x14ac:dyDescent="0.2">
      <c r="A218" s="66"/>
      <c r="B218" s="66"/>
      <c r="C218" s="361"/>
      <c r="D218" s="361"/>
      <c r="E218" s="361"/>
      <c r="F218" s="361"/>
      <c r="G218" s="360"/>
      <c r="H218" s="360"/>
      <c r="I218" s="360"/>
      <c r="J218" s="360"/>
    </row>
    <row r="219" spans="1:10" s="58" customFormat="1" x14ac:dyDescent="0.2">
      <c r="A219" s="66"/>
      <c r="B219" s="66"/>
      <c r="C219" s="361"/>
      <c r="D219" s="361"/>
      <c r="E219" s="361"/>
      <c r="F219" s="361"/>
      <c r="G219" s="360"/>
      <c r="H219" s="360"/>
      <c r="I219" s="360"/>
      <c r="J219" s="360"/>
    </row>
    <row r="220" spans="1:10" s="58" customFormat="1" x14ac:dyDescent="0.2">
      <c r="A220" s="66"/>
      <c r="B220" s="66"/>
      <c r="C220" s="361"/>
      <c r="D220" s="361"/>
      <c r="E220" s="361"/>
      <c r="F220" s="361"/>
      <c r="G220" s="360"/>
      <c r="H220" s="360"/>
      <c r="I220" s="360"/>
      <c r="J220" s="360"/>
    </row>
    <row r="221" spans="1:10" s="58" customFormat="1" x14ac:dyDescent="0.2">
      <c r="A221" s="66"/>
      <c r="B221" s="66"/>
      <c r="C221" s="361"/>
      <c r="D221" s="361"/>
      <c r="E221" s="361"/>
      <c r="F221" s="361"/>
      <c r="G221" s="360"/>
      <c r="H221" s="360"/>
      <c r="I221" s="360"/>
      <c r="J221" s="360"/>
    </row>
    <row r="222" spans="1:10" s="58" customFormat="1" x14ac:dyDescent="0.2">
      <c r="A222" s="66"/>
      <c r="B222" s="66"/>
      <c r="C222" s="361"/>
      <c r="D222" s="361"/>
      <c r="E222" s="361"/>
      <c r="F222" s="361"/>
      <c r="G222" s="360"/>
      <c r="H222" s="360"/>
      <c r="I222" s="360"/>
      <c r="J222" s="360"/>
    </row>
    <row r="223" spans="1:10" s="58" customFormat="1" x14ac:dyDescent="0.2">
      <c r="A223" s="66"/>
      <c r="B223" s="66"/>
      <c r="C223" s="361"/>
      <c r="D223" s="361"/>
      <c r="E223" s="361"/>
      <c r="F223" s="361"/>
      <c r="G223" s="360"/>
      <c r="H223" s="360"/>
      <c r="I223" s="360"/>
      <c r="J223" s="360"/>
    </row>
    <row r="224" spans="1:10" s="58" customFormat="1" x14ac:dyDescent="0.2">
      <c r="A224" s="66"/>
      <c r="B224" s="66"/>
      <c r="C224" s="361"/>
      <c r="D224" s="361"/>
      <c r="E224" s="361"/>
      <c r="F224" s="361"/>
      <c r="G224" s="360"/>
      <c r="H224" s="360"/>
      <c r="I224" s="360"/>
      <c r="J224" s="360"/>
    </row>
    <row r="225" spans="1:10" s="58" customFormat="1" x14ac:dyDescent="0.2">
      <c r="A225" s="66"/>
      <c r="B225" s="66"/>
      <c r="C225" s="361"/>
      <c r="D225" s="361"/>
      <c r="E225" s="361"/>
      <c r="F225" s="361"/>
      <c r="G225" s="360"/>
      <c r="H225" s="360"/>
      <c r="I225" s="360"/>
      <c r="J225" s="360"/>
    </row>
    <row r="226" spans="1:10" s="58" customFormat="1" x14ac:dyDescent="0.2">
      <c r="A226" s="66"/>
      <c r="B226" s="66"/>
      <c r="C226" s="361"/>
      <c r="D226" s="361"/>
      <c r="E226" s="361"/>
      <c r="F226" s="361"/>
      <c r="G226" s="360"/>
      <c r="H226" s="360"/>
      <c r="I226" s="360"/>
      <c r="J226" s="360"/>
    </row>
    <row r="227" spans="1:10" s="58" customFormat="1" x14ac:dyDescent="0.2">
      <c r="A227" s="66"/>
      <c r="B227" s="66"/>
      <c r="C227" s="361"/>
      <c r="D227" s="361"/>
      <c r="E227" s="361"/>
      <c r="F227" s="361"/>
      <c r="G227" s="360"/>
      <c r="H227" s="360"/>
      <c r="I227" s="360"/>
      <c r="J227" s="360"/>
    </row>
    <row r="228" spans="1:10" s="58" customFormat="1" x14ac:dyDescent="0.2">
      <c r="A228" s="66"/>
      <c r="B228" s="66"/>
      <c r="C228" s="361"/>
      <c r="D228" s="361"/>
      <c r="E228" s="361"/>
      <c r="F228" s="361"/>
      <c r="G228" s="360"/>
      <c r="H228" s="360"/>
      <c r="I228" s="360"/>
      <c r="J228" s="360"/>
    </row>
    <row r="229" spans="1:10" s="58" customFormat="1" x14ac:dyDescent="0.2">
      <c r="A229" s="66"/>
      <c r="B229" s="66"/>
      <c r="C229" s="361"/>
      <c r="D229" s="361"/>
      <c r="E229" s="361"/>
      <c r="F229" s="361"/>
      <c r="G229" s="360"/>
      <c r="H229" s="360"/>
      <c r="I229" s="360"/>
      <c r="J229" s="360"/>
    </row>
    <row r="230" spans="1:10" s="58" customFormat="1" x14ac:dyDescent="0.2">
      <c r="A230" s="66"/>
      <c r="B230" s="66"/>
      <c r="C230" s="361"/>
      <c r="D230" s="361"/>
      <c r="E230" s="361"/>
      <c r="F230" s="361"/>
      <c r="G230" s="360"/>
      <c r="H230" s="360"/>
      <c r="I230" s="360"/>
      <c r="J230" s="360"/>
    </row>
    <row r="231" spans="1:10" s="58" customFormat="1" x14ac:dyDescent="0.2">
      <c r="A231" s="66"/>
      <c r="B231" s="66"/>
      <c r="C231" s="361"/>
      <c r="D231" s="361"/>
      <c r="E231" s="361"/>
      <c r="F231" s="361"/>
      <c r="G231" s="360"/>
      <c r="H231" s="360"/>
      <c r="I231" s="360"/>
      <c r="J231" s="360"/>
    </row>
    <row r="232" spans="1:10" s="58" customFormat="1" x14ac:dyDescent="0.2">
      <c r="A232" s="66"/>
      <c r="B232" s="66"/>
      <c r="C232" s="361"/>
      <c r="D232" s="361"/>
      <c r="E232" s="361"/>
      <c r="F232" s="361"/>
      <c r="G232" s="360"/>
      <c r="H232" s="360"/>
      <c r="I232" s="360"/>
      <c r="J232" s="360"/>
    </row>
    <row r="233" spans="1:10" s="58" customFormat="1" x14ac:dyDescent="0.2">
      <c r="A233" s="66"/>
      <c r="B233" s="66"/>
      <c r="C233" s="361"/>
      <c r="D233" s="361"/>
      <c r="E233" s="361"/>
      <c r="F233" s="361"/>
      <c r="G233" s="360"/>
      <c r="H233" s="360"/>
      <c r="I233" s="360"/>
      <c r="J233" s="360"/>
    </row>
    <row r="234" spans="1:10" s="58" customFormat="1" x14ac:dyDescent="0.2">
      <c r="A234" s="66"/>
      <c r="B234" s="66"/>
      <c r="C234" s="361"/>
      <c r="D234" s="361"/>
      <c r="E234" s="361"/>
      <c r="F234" s="361"/>
      <c r="G234" s="360"/>
      <c r="H234" s="360"/>
      <c r="I234" s="360"/>
      <c r="J234" s="360"/>
    </row>
    <row r="235" spans="1:10" s="58" customFormat="1" x14ac:dyDescent="0.2">
      <c r="A235" s="66"/>
      <c r="B235" s="66"/>
      <c r="C235" s="361"/>
      <c r="D235" s="361"/>
      <c r="E235" s="361"/>
      <c r="F235" s="361"/>
      <c r="G235" s="360"/>
      <c r="H235" s="360"/>
      <c r="I235" s="360"/>
      <c r="J235" s="360"/>
    </row>
    <row r="236" spans="1:10" s="58" customFormat="1" x14ac:dyDescent="0.2">
      <c r="A236" s="66"/>
      <c r="B236" s="66"/>
      <c r="C236" s="361"/>
      <c r="D236" s="361"/>
      <c r="E236" s="361"/>
      <c r="F236" s="361"/>
      <c r="G236" s="360"/>
      <c r="H236" s="360"/>
      <c r="I236" s="360"/>
      <c r="J236" s="360"/>
    </row>
    <row r="237" spans="1:10" s="58" customFormat="1" x14ac:dyDescent="0.2">
      <c r="A237" s="66"/>
      <c r="B237" s="66"/>
      <c r="C237" s="361"/>
      <c r="D237" s="361"/>
      <c r="E237" s="361"/>
      <c r="F237" s="361"/>
      <c r="G237" s="360"/>
      <c r="H237" s="360"/>
      <c r="I237" s="360"/>
      <c r="J237" s="360"/>
    </row>
    <row r="238" spans="1:10" s="58" customFormat="1" x14ac:dyDescent="0.2">
      <c r="A238" s="66"/>
      <c r="B238" s="66"/>
      <c r="C238" s="361"/>
      <c r="D238" s="361"/>
      <c r="E238" s="361"/>
      <c r="F238" s="361"/>
      <c r="G238" s="360"/>
      <c r="H238" s="360"/>
      <c r="I238" s="360"/>
      <c r="J238" s="360"/>
    </row>
    <row r="239" spans="1:10" s="58" customFormat="1" x14ac:dyDescent="0.2">
      <c r="A239" s="66"/>
      <c r="B239" s="66"/>
      <c r="C239" s="361"/>
      <c r="D239" s="361"/>
      <c r="E239" s="361"/>
      <c r="F239" s="361"/>
      <c r="G239" s="360"/>
      <c r="H239" s="360"/>
      <c r="I239" s="360"/>
      <c r="J239" s="360"/>
    </row>
    <row r="240" spans="1:10" s="58" customFormat="1" x14ac:dyDescent="0.2">
      <c r="A240" s="66"/>
      <c r="B240" s="66"/>
      <c r="C240" s="361"/>
      <c r="D240" s="361"/>
      <c r="E240" s="361"/>
      <c r="F240" s="361"/>
      <c r="G240" s="360"/>
      <c r="H240" s="360"/>
      <c r="I240" s="360"/>
      <c r="J240" s="360"/>
    </row>
    <row r="241" spans="1:10" s="58" customFormat="1" x14ac:dyDescent="0.2">
      <c r="A241" s="66"/>
      <c r="B241" s="66"/>
      <c r="C241" s="361"/>
      <c r="D241" s="361"/>
      <c r="E241" s="361"/>
      <c r="F241" s="361"/>
      <c r="G241" s="360"/>
      <c r="H241" s="360"/>
      <c r="I241" s="360"/>
      <c r="J241" s="360"/>
    </row>
    <row r="242" spans="1:10" s="58" customFormat="1" x14ac:dyDescent="0.2">
      <c r="A242" s="66"/>
      <c r="B242" s="66"/>
      <c r="C242" s="361"/>
      <c r="D242" s="361"/>
      <c r="E242" s="361"/>
      <c r="F242" s="361"/>
      <c r="G242" s="360"/>
      <c r="H242" s="360"/>
      <c r="I242" s="360"/>
      <c r="J242" s="360"/>
    </row>
    <row r="243" spans="1:10" s="58" customFormat="1" x14ac:dyDescent="0.2">
      <c r="A243" s="66"/>
      <c r="B243" s="66"/>
      <c r="C243" s="361"/>
      <c r="D243" s="361"/>
      <c r="E243" s="361"/>
      <c r="F243" s="361"/>
      <c r="G243" s="360"/>
      <c r="H243" s="360"/>
      <c r="I243" s="360"/>
      <c r="J243" s="360"/>
    </row>
    <row r="244" spans="1:10" s="58" customFormat="1" x14ac:dyDescent="0.2">
      <c r="A244" s="66"/>
      <c r="B244" s="66"/>
      <c r="C244" s="361"/>
      <c r="D244" s="361"/>
      <c r="E244" s="361"/>
      <c r="F244" s="361"/>
      <c r="G244" s="360"/>
      <c r="H244" s="360"/>
      <c r="I244" s="360"/>
      <c r="J244" s="360"/>
    </row>
    <row r="245" spans="1:10" s="58" customFormat="1" x14ac:dyDescent="0.2">
      <c r="A245" s="66"/>
      <c r="B245" s="66"/>
      <c r="C245" s="361"/>
      <c r="D245" s="361"/>
      <c r="E245" s="361"/>
      <c r="F245" s="361"/>
      <c r="G245" s="360"/>
      <c r="H245" s="360"/>
      <c r="I245" s="360"/>
      <c r="J245" s="360"/>
    </row>
    <row r="246" spans="1:10" s="58" customFormat="1" x14ac:dyDescent="0.2">
      <c r="A246" s="66"/>
      <c r="B246" s="66"/>
      <c r="C246" s="361"/>
      <c r="D246" s="361"/>
      <c r="E246" s="361"/>
      <c r="F246" s="361"/>
      <c r="G246" s="360"/>
      <c r="H246" s="360"/>
      <c r="I246" s="360"/>
      <c r="J246" s="360"/>
    </row>
    <row r="247" spans="1:10" s="58" customFormat="1" x14ac:dyDescent="0.2">
      <c r="A247" s="66"/>
      <c r="B247" s="66"/>
      <c r="C247" s="361"/>
      <c r="D247" s="361"/>
      <c r="E247" s="361"/>
      <c r="F247" s="361"/>
      <c r="G247" s="360"/>
      <c r="H247" s="360"/>
      <c r="I247" s="360"/>
      <c r="J247" s="360"/>
    </row>
    <row r="248" spans="1:10" s="58" customFormat="1" x14ac:dyDescent="0.2">
      <c r="A248" s="66"/>
      <c r="B248" s="66"/>
      <c r="C248" s="361"/>
      <c r="D248" s="361"/>
      <c r="E248" s="361"/>
      <c r="F248" s="361"/>
      <c r="G248" s="360"/>
      <c r="H248" s="360"/>
      <c r="I248" s="360"/>
      <c r="J248" s="360"/>
    </row>
    <row r="249" spans="1:10" s="58" customFormat="1" x14ac:dyDescent="0.2">
      <c r="A249" s="66"/>
      <c r="B249" s="66"/>
      <c r="C249" s="361"/>
      <c r="D249" s="361"/>
      <c r="E249" s="361"/>
      <c r="F249" s="361"/>
      <c r="G249" s="360"/>
      <c r="H249" s="360"/>
      <c r="I249" s="360"/>
      <c r="J249" s="360"/>
    </row>
    <row r="250" spans="1:10" s="58" customFormat="1" x14ac:dyDescent="0.2">
      <c r="A250" s="66"/>
      <c r="B250" s="66"/>
      <c r="C250" s="361"/>
      <c r="D250" s="361"/>
      <c r="E250" s="361"/>
      <c r="F250" s="361"/>
      <c r="G250" s="360"/>
      <c r="H250" s="360"/>
      <c r="I250" s="360"/>
      <c r="J250" s="360"/>
    </row>
    <row r="251" spans="1:10" s="58" customFormat="1" x14ac:dyDescent="0.2">
      <c r="A251" s="66"/>
      <c r="B251" s="66"/>
      <c r="C251" s="361"/>
      <c r="D251" s="361"/>
      <c r="E251" s="361"/>
      <c r="F251" s="361"/>
      <c r="G251" s="360"/>
      <c r="H251" s="360"/>
      <c r="I251" s="360"/>
      <c r="J251" s="360"/>
    </row>
    <row r="252" spans="1:10" s="58" customFormat="1" x14ac:dyDescent="0.2">
      <c r="A252" s="66"/>
      <c r="B252" s="66"/>
      <c r="C252" s="361"/>
      <c r="D252" s="361"/>
      <c r="E252" s="361"/>
      <c r="F252" s="361"/>
      <c r="G252" s="360"/>
      <c r="H252" s="360"/>
      <c r="I252" s="360"/>
      <c r="J252" s="360"/>
    </row>
    <row r="253" spans="1:10" s="58" customFormat="1" x14ac:dyDescent="0.2">
      <c r="A253" s="66"/>
      <c r="B253" s="66"/>
      <c r="C253" s="361"/>
      <c r="D253" s="361"/>
      <c r="E253" s="361"/>
      <c r="F253" s="361"/>
      <c r="G253" s="360"/>
      <c r="H253" s="360"/>
      <c r="I253" s="360"/>
      <c r="J253" s="360"/>
    </row>
    <row r="254" spans="1:10" s="58" customFormat="1" x14ac:dyDescent="0.2">
      <c r="A254" s="66"/>
      <c r="B254" s="66"/>
      <c r="C254" s="361"/>
      <c r="D254" s="361"/>
      <c r="E254" s="361"/>
      <c r="F254" s="361"/>
      <c r="G254" s="360"/>
      <c r="H254" s="360"/>
      <c r="I254" s="360"/>
      <c r="J254" s="360"/>
    </row>
    <row r="255" spans="1:10" s="58" customFormat="1" x14ac:dyDescent="0.2">
      <c r="A255" s="66"/>
      <c r="B255" s="66"/>
      <c r="C255" s="361"/>
      <c r="D255" s="361"/>
      <c r="E255" s="361"/>
      <c r="F255" s="361"/>
      <c r="G255" s="360"/>
      <c r="H255" s="360"/>
      <c r="I255" s="360"/>
      <c r="J255" s="360"/>
    </row>
    <row r="256" spans="1:10" s="58" customFormat="1" x14ac:dyDescent="0.2">
      <c r="A256" s="66"/>
      <c r="B256" s="66"/>
      <c r="C256" s="361"/>
      <c r="D256" s="361"/>
      <c r="E256" s="361"/>
      <c r="F256" s="361"/>
      <c r="G256" s="360"/>
      <c r="H256" s="360"/>
      <c r="I256" s="360"/>
      <c r="J256" s="360"/>
    </row>
    <row r="257" spans="1:10" s="58" customFormat="1" x14ac:dyDescent="0.2">
      <c r="A257" s="66"/>
      <c r="B257" s="66"/>
      <c r="C257" s="361"/>
      <c r="D257" s="361"/>
      <c r="E257" s="361"/>
      <c r="F257" s="361"/>
      <c r="G257" s="360"/>
      <c r="H257" s="360"/>
      <c r="I257" s="360"/>
      <c r="J257" s="360"/>
    </row>
    <row r="258" spans="1:10" s="58" customFormat="1" x14ac:dyDescent="0.2">
      <c r="A258" s="66"/>
      <c r="B258" s="66"/>
      <c r="C258" s="361"/>
      <c r="D258" s="361"/>
      <c r="E258" s="361"/>
      <c r="F258" s="361"/>
      <c r="G258" s="360"/>
      <c r="H258" s="360"/>
      <c r="I258" s="360"/>
      <c r="J258" s="360"/>
    </row>
    <row r="259" spans="1:10" s="58" customFormat="1" x14ac:dyDescent="0.2">
      <c r="A259" s="66"/>
      <c r="B259" s="66"/>
      <c r="C259" s="361"/>
      <c r="D259" s="361"/>
      <c r="E259" s="361"/>
      <c r="F259" s="361"/>
      <c r="G259" s="360"/>
      <c r="H259" s="360"/>
      <c r="I259" s="360"/>
      <c r="J259" s="360"/>
    </row>
    <row r="260" spans="1:10" s="58" customFormat="1" x14ac:dyDescent="0.2">
      <c r="A260" s="66"/>
      <c r="B260" s="66"/>
      <c r="C260" s="361"/>
      <c r="D260" s="361"/>
      <c r="E260" s="361"/>
      <c r="F260" s="361"/>
      <c r="G260" s="360"/>
      <c r="H260" s="360"/>
      <c r="I260" s="360"/>
      <c r="J260" s="360"/>
    </row>
    <row r="261" spans="1:10" s="58" customFormat="1" x14ac:dyDescent="0.2">
      <c r="A261" s="66"/>
      <c r="B261" s="66"/>
      <c r="C261" s="361"/>
      <c r="D261" s="361"/>
      <c r="E261" s="361"/>
      <c r="F261" s="361"/>
      <c r="G261" s="360"/>
      <c r="H261" s="360"/>
      <c r="I261" s="360"/>
      <c r="J261" s="360"/>
    </row>
    <row r="262" spans="1:10" s="58" customFormat="1" x14ac:dyDescent="0.2">
      <c r="A262" s="66"/>
      <c r="B262" s="66"/>
      <c r="C262" s="361"/>
      <c r="D262" s="361"/>
      <c r="E262" s="361"/>
      <c r="F262" s="361"/>
      <c r="G262" s="360"/>
      <c r="H262" s="360"/>
      <c r="I262" s="360"/>
      <c r="J262" s="360"/>
    </row>
    <row r="263" spans="1:10" s="58" customFormat="1" x14ac:dyDescent="0.2">
      <c r="A263" s="66"/>
      <c r="B263" s="66"/>
      <c r="C263" s="361"/>
      <c r="D263" s="361"/>
      <c r="E263" s="361"/>
      <c r="F263" s="361"/>
      <c r="G263" s="360"/>
      <c r="H263" s="360"/>
      <c r="I263" s="360"/>
      <c r="J263" s="360"/>
    </row>
    <row r="264" spans="1:10" s="58" customFormat="1" x14ac:dyDescent="0.2">
      <c r="A264" s="66"/>
      <c r="B264" s="66"/>
      <c r="C264" s="361"/>
      <c r="D264" s="361"/>
      <c r="E264" s="361"/>
      <c r="F264" s="361"/>
      <c r="G264" s="360"/>
      <c r="H264" s="360"/>
      <c r="I264" s="360"/>
      <c r="J264" s="360"/>
    </row>
    <row r="265" spans="1:10" s="58" customFormat="1" x14ac:dyDescent="0.2">
      <c r="A265" s="66"/>
      <c r="B265" s="66"/>
      <c r="C265" s="361"/>
      <c r="D265" s="361"/>
      <c r="E265" s="361"/>
      <c r="F265" s="361"/>
      <c r="G265" s="360"/>
      <c r="H265" s="360"/>
      <c r="I265" s="360"/>
      <c r="J265" s="360"/>
    </row>
    <row r="266" spans="1:10" s="58" customFormat="1" x14ac:dyDescent="0.2">
      <c r="A266" s="66"/>
      <c r="B266" s="66"/>
      <c r="C266" s="361"/>
      <c r="D266" s="361"/>
      <c r="E266" s="361"/>
      <c r="F266" s="361"/>
      <c r="G266" s="360"/>
      <c r="H266" s="360"/>
      <c r="I266" s="360"/>
      <c r="J266" s="360"/>
    </row>
    <row r="267" spans="1:10" s="58" customFormat="1" x14ac:dyDescent="0.2">
      <c r="A267" s="66"/>
      <c r="B267" s="66"/>
      <c r="C267" s="361"/>
      <c r="D267" s="361"/>
      <c r="E267" s="361"/>
      <c r="F267" s="361"/>
      <c r="G267" s="360"/>
      <c r="H267" s="360"/>
      <c r="I267" s="360"/>
      <c r="J267" s="360"/>
    </row>
    <row r="268" spans="1:10" s="58" customFormat="1" x14ac:dyDescent="0.2">
      <c r="A268" s="66"/>
      <c r="B268" s="66"/>
      <c r="C268" s="361"/>
      <c r="D268" s="361"/>
      <c r="E268" s="361"/>
      <c r="F268" s="361"/>
      <c r="G268" s="360"/>
      <c r="H268" s="360"/>
      <c r="I268" s="360"/>
      <c r="J268" s="360"/>
    </row>
    <row r="269" spans="1:10" s="58" customFormat="1" x14ac:dyDescent="0.2">
      <c r="A269" s="66"/>
      <c r="B269" s="66"/>
      <c r="C269" s="361"/>
      <c r="D269" s="361"/>
      <c r="E269" s="361"/>
      <c r="F269" s="361"/>
      <c r="G269" s="360"/>
      <c r="H269" s="360"/>
      <c r="I269" s="360"/>
      <c r="J269" s="360"/>
    </row>
    <row r="270" spans="1:10" s="58" customFormat="1" x14ac:dyDescent="0.2">
      <c r="A270" s="66"/>
      <c r="B270" s="66"/>
      <c r="C270" s="361"/>
      <c r="D270" s="361"/>
      <c r="E270" s="361"/>
      <c r="F270" s="361"/>
      <c r="G270" s="360"/>
      <c r="H270" s="360"/>
      <c r="I270" s="360"/>
      <c r="J270" s="360"/>
    </row>
    <row r="271" spans="1:10" s="58" customFormat="1" x14ac:dyDescent="0.2">
      <c r="A271" s="66"/>
      <c r="B271" s="66"/>
      <c r="C271" s="361"/>
      <c r="D271" s="361"/>
      <c r="E271" s="361"/>
      <c r="F271" s="361"/>
      <c r="G271" s="360"/>
      <c r="H271" s="360"/>
      <c r="I271" s="360"/>
      <c r="J271" s="360"/>
    </row>
    <row r="272" spans="1:10" s="58" customFormat="1" x14ac:dyDescent="0.2">
      <c r="A272" s="66"/>
      <c r="B272" s="66"/>
      <c r="C272" s="361"/>
      <c r="D272" s="361"/>
      <c r="E272" s="361"/>
      <c r="F272" s="361"/>
      <c r="G272" s="360"/>
      <c r="H272" s="360"/>
      <c r="I272" s="360"/>
      <c r="J272" s="360"/>
    </row>
    <row r="273" spans="1:10" s="58" customFormat="1" x14ac:dyDescent="0.2">
      <c r="A273" s="66"/>
      <c r="B273" s="66"/>
      <c r="C273" s="361"/>
      <c r="D273" s="361"/>
      <c r="E273" s="361"/>
      <c r="F273" s="361"/>
      <c r="G273" s="360"/>
      <c r="H273" s="360"/>
      <c r="I273" s="360"/>
      <c r="J273" s="360"/>
    </row>
    <row r="274" spans="1:10" s="58" customFormat="1" x14ac:dyDescent="0.2">
      <c r="A274" s="66"/>
      <c r="B274" s="66"/>
      <c r="C274" s="361"/>
      <c r="D274" s="361"/>
      <c r="E274" s="361"/>
      <c r="F274" s="361"/>
      <c r="G274" s="360"/>
      <c r="H274" s="360"/>
      <c r="I274" s="360"/>
      <c r="J274" s="360"/>
    </row>
    <row r="275" spans="1:10" s="58" customFormat="1" x14ac:dyDescent="0.2">
      <c r="A275" s="66"/>
      <c r="B275" s="66"/>
      <c r="C275" s="361"/>
      <c r="D275" s="361"/>
      <c r="E275" s="361"/>
      <c r="F275" s="361"/>
      <c r="G275" s="360"/>
      <c r="H275" s="360"/>
      <c r="I275" s="360"/>
      <c r="J275" s="360"/>
    </row>
    <row r="276" spans="1:10" s="58" customFormat="1" x14ac:dyDescent="0.2">
      <c r="A276" s="66"/>
      <c r="B276" s="66"/>
      <c r="C276" s="361"/>
      <c r="D276" s="361"/>
      <c r="E276" s="361"/>
      <c r="F276" s="361"/>
      <c r="G276" s="360"/>
      <c r="H276" s="360"/>
      <c r="I276" s="360"/>
      <c r="J276" s="360"/>
    </row>
    <row r="277" spans="1:10" s="58" customFormat="1" x14ac:dyDescent="0.2">
      <c r="A277" s="66"/>
      <c r="B277" s="66"/>
      <c r="C277" s="361"/>
      <c r="D277" s="361"/>
      <c r="E277" s="361"/>
      <c r="F277" s="361"/>
      <c r="G277" s="360"/>
      <c r="H277" s="360"/>
      <c r="I277" s="360"/>
      <c r="J277" s="360"/>
    </row>
    <row r="278" spans="1:10" s="58" customFormat="1" x14ac:dyDescent="0.2">
      <c r="A278" s="66"/>
      <c r="B278" s="66"/>
      <c r="C278" s="361"/>
      <c r="D278" s="361"/>
      <c r="E278" s="361"/>
      <c r="F278" s="361"/>
      <c r="G278" s="360"/>
      <c r="H278" s="360"/>
      <c r="I278" s="360"/>
      <c r="J278" s="360"/>
    </row>
    <row r="279" spans="1:10" s="58" customFormat="1" x14ac:dyDescent="0.2">
      <c r="A279" s="66"/>
      <c r="B279" s="66"/>
      <c r="C279" s="361"/>
      <c r="D279" s="361"/>
      <c r="E279" s="361"/>
      <c r="F279" s="361"/>
      <c r="G279" s="360"/>
      <c r="H279" s="360"/>
      <c r="I279" s="360"/>
      <c r="J279" s="360"/>
    </row>
    <row r="280" spans="1:10" s="58" customFormat="1" x14ac:dyDescent="0.2">
      <c r="A280" s="66"/>
      <c r="B280" s="66"/>
      <c r="C280" s="361"/>
      <c r="D280" s="361"/>
      <c r="E280" s="361"/>
      <c r="F280" s="361"/>
      <c r="G280" s="360"/>
      <c r="H280" s="360"/>
      <c r="I280" s="360"/>
      <c r="J280" s="360"/>
    </row>
    <row r="281" spans="1:10" s="58" customFormat="1" x14ac:dyDescent="0.2">
      <c r="A281" s="66"/>
      <c r="B281" s="66"/>
      <c r="C281" s="361"/>
      <c r="D281" s="361"/>
      <c r="E281" s="361"/>
      <c r="F281" s="361"/>
      <c r="G281" s="360"/>
      <c r="H281" s="360"/>
      <c r="I281" s="360"/>
      <c r="J281" s="360"/>
    </row>
    <row r="282" spans="1:10" s="58" customFormat="1" x14ac:dyDescent="0.2">
      <c r="A282" s="66"/>
      <c r="B282" s="66"/>
      <c r="C282" s="361"/>
      <c r="D282" s="361"/>
      <c r="E282" s="361"/>
      <c r="F282" s="361"/>
      <c r="G282" s="360"/>
      <c r="H282" s="360"/>
      <c r="I282" s="360"/>
      <c r="J282" s="360"/>
    </row>
    <row r="283" spans="1:10" s="58" customFormat="1" x14ac:dyDescent="0.2">
      <c r="A283" s="66"/>
      <c r="B283" s="66"/>
      <c r="C283" s="361"/>
      <c r="D283" s="361"/>
      <c r="E283" s="361"/>
      <c r="F283" s="361"/>
      <c r="G283" s="360"/>
      <c r="H283" s="360"/>
      <c r="I283" s="360"/>
      <c r="J283" s="360"/>
    </row>
    <row r="284" spans="1:10" s="58" customFormat="1" x14ac:dyDescent="0.2">
      <c r="A284" s="66"/>
      <c r="B284" s="66"/>
      <c r="C284" s="361"/>
      <c r="D284" s="361"/>
      <c r="E284" s="361"/>
      <c r="F284" s="361"/>
      <c r="G284" s="360"/>
      <c r="H284" s="360"/>
      <c r="I284" s="360"/>
      <c r="J284" s="360"/>
    </row>
    <row r="285" spans="1:10" s="58" customFormat="1" x14ac:dyDescent="0.2">
      <c r="A285" s="66"/>
      <c r="B285" s="66"/>
      <c r="C285" s="361"/>
      <c r="D285" s="361"/>
      <c r="E285" s="361"/>
      <c r="F285" s="361"/>
      <c r="G285" s="360"/>
      <c r="H285" s="360"/>
      <c r="I285" s="360"/>
      <c r="J285" s="360"/>
    </row>
    <row r="286" spans="1:10" s="58" customFormat="1" x14ac:dyDescent="0.2">
      <c r="A286" s="66"/>
      <c r="B286" s="66"/>
      <c r="C286" s="361"/>
      <c r="D286" s="361"/>
      <c r="E286" s="361"/>
      <c r="F286" s="361"/>
      <c r="G286" s="360"/>
      <c r="H286" s="360"/>
      <c r="I286" s="360"/>
      <c r="J286" s="360"/>
    </row>
    <row r="287" spans="1:10" s="58" customFormat="1" x14ac:dyDescent="0.2">
      <c r="A287" s="66"/>
      <c r="B287" s="66"/>
      <c r="C287" s="361"/>
      <c r="D287" s="361"/>
      <c r="E287" s="361"/>
      <c r="F287" s="361"/>
      <c r="G287" s="360"/>
      <c r="H287" s="360"/>
      <c r="I287" s="360"/>
      <c r="J287" s="360"/>
    </row>
    <row r="288" spans="1:10" s="58" customFormat="1" x14ac:dyDescent="0.2">
      <c r="A288" s="66"/>
      <c r="B288" s="66"/>
      <c r="C288" s="361"/>
      <c r="D288" s="361"/>
      <c r="E288" s="361"/>
      <c r="F288" s="361"/>
      <c r="G288" s="360"/>
      <c r="H288" s="360"/>
      <c r="I288" s="360"/>
      <c r="J288" s="360"/>
    </row>
    <row r="289" spans="1:10" s="58" customFormat="1" x14ac:dyDescent="0.2">
      <c r="A289" s="66"/>
      <c r="B289" s="66"/>
      <c r="C289" s="361"/>
      <c r="D289" s="361"/>
      <c r="E289" s="361"/>
      <c r="F289" s="361"/>
      <c r="G289" s="360"/>
      <c r="H289" s="360"/>
      <c r="I289" s="360"/>
      <c r="J289" s="360"/>
    </row>
    <row r="290" spans="1:10" s="58" customFormat="1" x14ac:dyDescent="0.2">
      <c r="A290" s="66"/>
      <c r="B290" s="66"/>
      <c r="C290" s="361"/>
      <c r="D290" s="361"/>
      <c r="E290" s="361"/>
      <c r="F290" s="361"/>
      <c r="G290" s="360"/>
      <c r="H290" s="360"/>
      <c r="I290" s="360"/>
      <c r="J290" s="360"/>
    </row>
    <row r="291" spans="1:10" s="58" customFormat="1" x14ac:dyDescent="0.2">
      <c r="A291" s="66"/>
      <c r="B291" s="66"/>
      <c r="C291" s="361"/>
      <c r="D291" s="361"/>
      <c r="E291" s="361"/>
      <c r="F291" s="361"/>
      <c r="G291" s="360"/>
      <c r="H291" s="360"/>
      <c r="I291" s="360"/>
      <c r="J291" s="360"/>
    </row>
    <row r="292" spans="1:10" s="58" customFormat="1" x14ac:dyDescent="0.2">
      <c r="A292" s="66"/>
      <c r="B292" s="66"/>
      <c r="C292" s="361"/>
      <c r="D292" s="361"/>
      <c r="E292" s="361"/>
      <c r="F292" s="361"/>
      <c r="G292" s="360"/>
      <c r="H292" s="360"/>
      <c r="I292" s="360"/>
      <c r="J292" s="360"/>
    </row>
    <row r="293" spans="1:10" s="58" customFormat="1" x14ac:dyDescent="0.2">
      <c r="A293" s="66"/>
      <c r="B293" s="66"/>
      <c r="C293" s="361"/>
      <c r="D293" s="361"/>
      <c r="E293" s="361"/>
      <c r="F293" s="361"/>
      <c r="G293" s="360"/>
      <c r="H293" s="360"/>
      <c r="I293" s="360"/>
      <c r="J293" s="360"/>
    </row>
    <row r="294" spans="1:10" s="58" customFormat="1" x14ac:dyDescent="0.2">
      <c r="A294" s="66"/>
      <c r="B294" s="66"/>
      <c r="C294" s="361"/>
      <c r="D294" s="361"/>
      <c r="E294" s="361"/>
      <c r="F294" s="361"/>
      <c r="G294" s="360"/>
      <c r="H294" s="360"/>
      <c r="I294" s="360"/>
      <c r="J294" s="360"/>
    </row>
    <row r="295" spans="1:10" s="58" customFormat="1" x14ac:dyDescent="0.2">
      <c r="A295" s="66"/>
      <c r="B295" s="66"/>
      <c r="C295" s="361"/>
      <c r="D295" s="361"/>
      <c r="E295" s="361"/>
      <c r="F295" s="361"/>
      <c r="G295" s="360"/>
      <c r="H295" s="360"/>
      <c r="I295" s="360"/>
      <c r="J295" s="360"/>
    </row>
    <row r="296" spans="1:10" s="58" customFormat="1" x14ac:dyDescent="0.2">
      <c r="A296" s="66"/>
      <c r="B296" s="66"/>
      <c r="C296" s="361"/>
      <c r="D296" s="361"/>
      <c r="E296" s="361"/>
      <c r="F296" s="361"/>
      <c r="G296" s="360"/>
      <c r="H296" s="360"/>
      <c r="I296" s="360"/>
      <c r="J296" s="360"/>
    </row>
    <row r="297" spans="1:10" s="58" customFormat="1" x14ac:dyDescent="0.2">
      <c r="A297" s="66"/>
      <c r="B297" s="66"/>
      <c r="C297" s="361"/>
      <c r="D297" s="361"/>
      <c r="E297" s="361"/>
      <c r="F297" s="361"/>
      <c r="G297" s="360"/>
      <c r="H297" s="360"/>
      <c r="I297" s="360"/>
      <c r="J297" s="360"/>
    </row>
    <row r="298" spans="1:10" s="58" customFormat="1" x14ac:dyDescent="0.2">
      <c r="A298" s="66"/>
      <c r="B298" s="66"/>
      <c r="C298" s="361"/>
      <c r="D298" s="361"/>
      <c r="E298" s="361"/>
      <c r="F298" s="361"/>
      <c r="G298" s="360"/>
      <c r="H298" s="360"/>
      <c r="I298" s="360"/>
      <c r="J298" s="360"/>
    </row>
    <row r="299" spans="1:10" s="58" customFormat="1" x14ac:dyDescent="0.2">
      <c r="A299" s="66"/>
      <c r="B299" s="66"/>
      <c r="C299" s="361"/>
      <c r="D299" s="361"/>
      <c r="E299" s="361"/>
      <c r="F299" s="361"/>
      <c r="G299" s="360"/>
      <c r="H299" s="360"/>
      <c r="I299" s="360"/>
      <c r="J299" s="360"/>
    </row>
    <row r="300" spans="1:10" s="58" customFormat="1" x14ac:dyDescent="0.2">
      <c r="A300" s="66"/>
      <c r="B300" s="66"/>
      <c r="C300" s="361"/>
      <c r="D300" s="361"/>
      <c r="E300" s="361"/>
      <c r="F300" s="361"/>
      <c r="G300" s="360"/>
      <c r="H300" s="360"/>
      <c r="I300" s="360"/>
      <c r="J300" s="360"/>
    </row>
    <row r="301" spans="1:10" s="58" customFormat="1" x14ac:dyDescent="0.2">
      <c r="A301" s="66"/>
      <c r="B301" s="66"/>
      <c r="C301" s="361"/>
      <c r="D301" s="361"/>
      <c r="E301" s="361"/>
      <c r="F301" s="361"/>
      <c r="G301" s="360"/>
      <c r="H301" s="360"/>
      <c r="I301" s="360"/>
      <c r="J301" s="360"/>
    </row>
    <row r="302" spans="1:10" s="58" customFormat="1" x14ac:dyDescent="0.2">
      <c r="A302" s="66"/>
      <c r="B302" s="66"/>
      <c r="C302" s="361"/>
      <c r="D302" s="361"/>
      <c r="E302" s="361"/>
      <c r="F302" s="361"/>
      <c r="G302" s="360"/>
      <c r="H302" s="360"/>
      <c r="I302" s="360"/>
      <c r="J302" s="360"/>
    </row>
    <row r="303" spans="1:10" s="58" customFormat="1" x14ac:dyDescent="0.2">
      <c r="A303" s="66"/>
      <c r="B303" s="66"/>
      <c r="C303" s="361"/>
      <c r="D303" s="361"/>
      <c r="E303" s="361"/>
      <c r="F303" s="361"/>
      <c r="G303" s="360"/>
      <c r="H303" s="360"/>
      <c r="I303" s="360"/>
      <c r="J303" s="360"/>
    </row>
    <row r="304" spans="1:10" s="58" customFormat="1" x14ac:dyDescent="0.2">
      <c r="A304" s="66"/>
      <c r="B304" s="66"/>
      <c r="C304" s="361"/>
      <c r="D304" s="361"/>
      <c r="E304" s="361"/>
      <c r="F304" s="361"/>
      <c r="G304" s="360"/>
      <c r="H304" s="360"/>
      <c r="I304" s="360"/>
      <c r="J304" s="360"/>
    </row>
    <row r="305" spans="1:10" s="58" customFormat="1" x14ac:dyDescent="0.2">
      <c r="A305" s="66"/>
      <c r="B305" s="66"/>
      <c r="C305" s="361"/>
      <c r="D305" s="361"/>
      <c r="E305" s="361"/>
      <c r="F305" s="361"/>
      <c r="G305" s="360"/>
      <c r="H305" s="360"/>
      <c r="I305" s="360"/>
      <c r="J305" s="360"/>
    </row>
    <row r="306" spans="1:10" s="58" customFormat="1" x14ac:dyDescent="0.2">
      <c r="A306" s="66"/>
      <c r="B306" s="66"/>
      <c r="C306" s="361"/>
      <c r="D306" s="361"/>
      <c r="E306" s="361"/>
      <c r="F306" s="361"/>
      <c r="G306" s="360"/>
      <c r="H306" s="360"/>
      <c r="I306" s="360"/>
      <c r="J306" s="360"/>
    </row>
    <row r="307" spans="1:10" s="58" customFormat="1" x14ac:dyDescent="0.2">
      <c r="A307" s="66"/>
      <c r="B307" s="66"/>
      <c r="C307" s="361"/>
      <c r="D307" s="361"/>
      <c r="E307" s="361"/>
      <c r="F307" s="361"/>
      <c r="G307" s="360"/>
      <c r="H307" s="360"/>
      <c r="I307" s="360"/>
      <c r="J307" s="360"/>
    </row>
    <row r="308" spans="1:10" s="58" customFormat="1" x14ac:dyDescent="0.2">
      <c r="A308" s="66"/>
      <c r="B308" s="66"/>
      <c r="C308" s="361"/>
      <c r="D308" s="361"/>
      <c r="E308" s="361"/>
      <c r="F308" s="361"/>
      <c r="G308" s="360"/>
      <c r="H308" s="360"/>
      <c r="I308" s="360"/>
      <c r="J308" s="360"/>
    </row>
    <row r="309" spans="1:10" s="58" customFormat="1" x14ac:dyDescent="0.2">
      <c r="A309" s="66"/>
      <c r="B309" s="66"/>
      <c r="C309" s="361"/>
      <c r="D309" s="361"/>
      <c r="E309" s="361"/>
      <c r="F309" s="361"/>
      <c r="G309" s="360"/>
      <c r="H309" s="360"/>
      <c r="I309" s="360"/>
      <c r="J309" s="360"/>
    </row>
    <row r="310" spans="1:10" s="58" customFormat="1" x14ac:dyDescent="0.2">
      <c r="A310" s="66"/>
      <c r="B310" s="66"/>
      <c r="C310" s="361"/>
      <c r="D310" s="361"/>
      <c r="E310" s="361"/>
      <c r="F310" s="361"/>
      <c r="G310" s="360"/>
      <c r="H310" s="360"/>
      <c r="I310" s="360"/>
      <c r="J310" s="360"/>
    </row>
    <row r="311" spans="1:10" s="58" customFormat="1" x14ac:dyDescent="0.2">
      <c r="A311" s="66"/>
      <c r="B311" s="66"/>
      <c r="C311" s="361"/>
      <c r="D311" s="361"/>
      <c r="E311" s="361"/>
      <c r="F311" s="361"/>
      <c r="G311" s="360"/>
      <c r="H311" s="360"/>
      <c r="I311" s="360"/>
      <c r="J311" s="360"/>
    </row>
    <row r="312" spans="1:10" s="58" customFormat="1" x14ac:dyDescent="0.2">
      <c r="A312" s="66"/>
      <c r="B312" s="66"/>
      <c r="C312" s="361"/>
      <c r="D312" s="361"/>
      <c r="E312" s="361"/>
      <c r="F312" s="361"/>
      <c r="G312" s="360"/>
      <c r="H312" s="360"/>
      <c r="I312" s="360"/>
      <c r="J312" s="360"/>
    </row>
    <row r="313" spans="1:10" s="58" customFormat="1" x14ac:dyDescent="0.2">
      <c r="A313" s="66"/>
      <c r="B313" s="66"/>
      <c r="C313" s="361"/>
      <c r="D313" s="361"/>
      <c r="E313" s="361"/>
      <c r="F313" s="361"/>
      <c r="G313" s="360"/>
      <c r="H313" s="360"/>
      <c r="I313" s="360"/>
      <c r="J313" s="360"/>
    </row>
    <row r="314" spans="1:10" s="58" customFormat="1" x14ac:dyDescent="0.2">
      <c r="A314" s="66"/>
      <c r="B314" s="66"/>
      <c r="C314" s="361"/>
      <c r="D314" s="361"/>
      <c r="E314" s="361"/>
      <c r="F314" s="361"/>
      <c r="G314" s="360"/>
      <c r="H314" s="360"/>
      <c r="I314" s="360"/>
      <c r="J314" s="360"/>
    </row>
    <row r="315" spans="1:10" s="58" customFormat="1" x14ac:dyDescent="0.2">
      <c r="A315" s="66"/>
      <c r="B315" s="66"/>
      <c r="C315" s="361"/>
      <c r="D315" s="361"/>
      <c r="E315" s="361"/>
      <c r="F315" s="361"/>
      <c r="G315" s="360"/>
      <c r="H315" s="360"/>
      <c r="I315" s="360"/>
      <c r="J315" s="360"/>
    </row>
    <row r="316" spans="1:10" s="58" customFormat="1" x14ac:dyDescent="0.2">
      <c r="A316" s="66"/>
      <c r="B316" s="66"/>
      <c r="C316" s="361"/>
      <c r="D316" s="361"/>
      <c r="E316" s="361"/>
      <c r="F316" s="361"/>
      <c r="G316" s="360"/>
      <c r="H316" s="360"/>
      <c r="I316" s="360"/>
      <c r="J316" s="360"/>
    </row>
    <row r="317" spans="1:10" s="58" customFormat="1" x14ac:dyDescent="0.2">
      <c r="A317" s="66"/>
      <c r="B317" s="66"/>
      <c r="C317" s="361"/>
      <c r="D317" s="361"/>
      <c r="E317" s="361"/>
      <c r="F317" s="361"/>
      <c r="G317" s="360"/>
      <c r="H317" s="360"/>
      <c r="I317" s="360"/>
      <c r="J317" s="360"/>
    </row>
    <row r="318" spans="1:10" s="58" customFormat="1" x14ac:dyDescent="0.2">
      <c r="A318" s="66"/>
      <c r="B318" s="66"/>
      <c r="C318" s="361"/>
      <c r="D318" s="361"/>
      <c r="E318" s="361"/>
      <c r="F318" s="361"/>
      <c r="G318" s="360"/>
      <c r="H318" s="360"/>
      <c r="I318" s="360"/>
      <c r="J318" s="360"/>
    </row>
    <row r="319" spans="1:10" s="58" customFormat="1" x14ac:dyDescent="0.2">
      <c r="A319" s="66"/>
      <c r="B319" s="66"/>
      <c r="C319" s="361"/>
      <c r="D319" s="361"/>
      <c r="E319" s="361"/>
      <c r="F319" s="361"/>
      <c r="G319" s="360"/>
      <c r="H319" s="360"/>
      <c r="I319" s="360"/>
      <c r="J319" s="360"/>
    </row>
    <row r="320" spans="1:10" s="58" customFormat="1" x14ac:dyDescent="0.2">
      <c r="A320" s="66"/>
      <c r="B320" s="66"/>
      <c r="C320" s="361"/>
      <c r="D320" s="361"/>
      <c r="E320" s="361"/>
      <c r="F320" s="361"/>
      <c r="G320" s="360"/>
      <c r="H320" s="360"/>
      <c r="I320" s="360"/>
      <c r="J320" s="360"/>
    </row>
    <row r="321" spans="1:10" s="58" customFormat="1" x14ac:dyDescent="0.2">
      <c r="A321" s="66"/>
      <c r="B321" s="66"/>
      <c r="C321" s="361"/>
      <c r="D321" s="361"/>
      <c r="E321" s="361"/>
      <c r="F321" s="361"/>
      <c r="G321" s="360"/>
      <c r="H321" s="360"/>
      <c r="I321" s="360"/>
      <c r="J321" s="360"/>
    </row>
    <row r="322" spans="1:10" s="58" customFormat="1" x14ac:dyDescent="0.2">
      <c r="A322" s="66"/>
      <c r="B322" s="66"/>
      <c r="C322" s="361"/>
      <c r="D322" s="361"/>
      <c r="E322" s="361"/>
      <c r="F322" s="361"/>
      <c r="G322" s="360"/>
      <c r="H322" s="360"/>
      <c r="I322" s="360"/>
      <c r="J322" s="360"/>
    </row>
    <row r="323" spans="1:10" s="58" customFormat="1" x14ac:dyDescent="0.2">
      <c r="A323" s="66"/>
      <c r="B323" s="66"/>
      <c r="C323" s="361"/>
      <c r="D323" s="361"/>
      <c r="E323" s="361"/>
      <c r="F323" s="361"/>
      <c r="G323" s="360"/>
      <c r="H323" s="360"/>
      <c r="I323" s="360"/>
      <c r="J323" s="360"/>
    </row>
    <row r="324" spans="1:10" s="58" customFormat="1" x14ac:dyDescent="0.2">
      <c r="A324" s="66"/>
      <c r="B324" s="66"/>
      <c r="C324" s="361"/>
      <c r="D324" s="361"/>
      <c r="E324" s="361"/>
      <c r="F324" s="361"/>
      <c r="G324" s="360"/>
      <c r="H324" s="360"/>
      <c r="I324" s="360"/>
      <c r="J324" s="360"/>
    </row>
    <row r="325" spans="1:10" s="58" customFormat="1" x14ac:dyDescent="0.2">
      <c r="A325" s="66"/>
      <c r="B325" s="66"/>
      <c r="C325" s="361"/>
      <c r="D325" s="361"/>
      <c r="E325" s="361"/>
      <c r="F325" s="361"/>
      <c r="G325" s="360"/>
      <c r="H325" s="360"/>
      <c r="I325" s="360"/>
      <c r="J325" s="360"/>
    </row>
    <row r="326" spans="1:10" s="58" customFormat="1" x14ac:dyDescent="0.2">
      <c r="A326" s="66"/>
      <c r="B326" s="66"/>
      <c r="C326" s="361"/>
      <c r="D326" s="361"/>
      <c r="E326" s="361"/>
      <c r="F326" s="361"/>
      <c r="G326" s="360"/>
      <c r="H326" s="360"/>
      <c r="I326" s="360"/>
      <c r="J326" s="360"/>
    </row>
    <row r="327" spans="1:10" s="58" customFormat="1" x14ac:dyDescent="0.2">
      <c r="A327" s="66"/>
      <c r="B327" s="66"/>
      <c r="C327" s="361"/>
      <c r="D327" s="361"/>
      <c r="E327" s="361"/>
      <c r="F327" s="361"/>
      <c r="G327" s="360"/>
      <c r="H327" s="360"/>
      <c r="I327" s="360"/>
      <c r="J327" s="360"/>
    </row>
    <row r="328" spans="1:10" s="58" customFormat="1" x14ac:dyDescent="0.2">
      <c r="A328" s="66"/>
      <c r="B328" s="66"/>
      <c r="C328" s="361"/>
      <c r="D328" s="361"/>
      <c r="E328" s="361"/>
      <c r="F328" s="361"/>
      <c r="G328" s="360"/>
      <c r="H328" s="360"/>
      <c r="I328" s="360"/>
      <c r="J328" s="360"/>
    </row>
    <row r="329" spans="1:10" s="58" customFormat="1" x14ac:dyDescent="0.2">
      <c r="A329" s="66"/>
      <c r="B329" s="66"/>
      <c r="C329" s="361"/>
      <c r="D329" s="361"/>
      <c r="E329" s="361"/>
      <c r="F329" s="361"/>
      <c r="G329" s="360"/>
      <c r="H329" s="360"/>
      <c r="I329" s="360"/>
      <c r="J329" s="360"/>
    </row>
    <row r="330" spans="1:10" s="58" customFormat="1" x14ac:dyDescent="0.2">
      <c r="A330" s="66"/>
      <c r="B330" s="66"/>
      <c r="C330" s="361"/>
      <c r="D330" s="361"/>
      <c r="E330" s="361"/>
      <c r="F330" s="361"/>
      <c r="G330" s="360"/>
      <c r="H330" s="360"/>
      <c r="I330" s="360"/>
      <c r="J330" s="360"/>
    </row>
    <row r="331" spans="1:10" s="58" customFormat="1" x14ac:dyDescent="0.2">
      <c r="A331" s="66"/>
      <c r="B331" s="66"/>
      <c r="C331" s="361"/>
      <c r="D331" s="361"/>
      <c r="E331" s="361"/>
      <c r="F331" s="361"/>
      <c r="G331" s="360"/>
      <c r="H331" s="360"/>
      <c r="I331" s="360"/>
      <c r="J331" s="360"/>
    </row>
    <row r="332" spans="1:10" s="58" customFormat="1" x14ac:dyDescent="0.2">
      <c r="A332" s="66"/>
      <c r="B332" s="66"/>
      <c r="C332" s="361"/>
      <c r="D332" s="361"/>
      <c r="E332" s="361"/>
      <c r="F332" s="361"/>
      <c r="G332" s="360"/>
      <c r="H332" s="360"/>
      <c r="I332" s="360"/>
      <c r="J332" s="360"/>
    </row>
    <row r="333" spans="1:10" s="58" customFormat="1" x14ac:dyDescent="0.2">
      <c r="A333" s="66"/>
      <c r="B333" s="66"/>
      <c r="C333" s="361"/>
      <c r="D333" s="361"/>
      <c r="E333" s="361"/>
      <c r="F333" s="361"/>
      <c r="G333" s="360"/>
      <c r="H333" s="360"/>
      <c r="I333" s="360"/>
      <c r="J333" s="360"/>
    </row>
    <row r="334" spans="1:10" s="58" customFormat="1" x14ac:dyDescent="0.2">
      <c r="A334" s="66"/>
      <c r="B334" s="66"/>
      <c r="C334" s="361"/>
      <c r="D334" s="361"/>
      <c r="E334" s="361"/>
      <c r="F334" s="361"/>
      <c r="G334" s="360"/>
      <c r="H334" s="360"/>
      <c r="I334" s="360"/>
      <c r="J334" s="360"/>
    </row>
    <row r="335" spans="1:10" s="58" customFormat="1" x14ac:dyDescent="0.2">
      <c r="A335" s="66"/>
      <c r="B335" s="66"/>
      <c r="C335" s="361"/>
      <c r="D335" s="361"/>
      <c r="E335" s="361"/>
      <c r="F335" s="361"/>
      <c r="G335" s="360"/>
      <c r="H335" s="360"/>
      <c r="I335" s="360"/>
      <c r="J335" s="360"/>
    </row>
    <row r="336" spans="1:10" s="58" customFormat="1" x14ac:dyDescent="0.2">
      <c r="A336" s="66"/>
      <c r="B336" s="66"/>
      <c r="C336" s="361"/>
      <c r="D336" s="361"/>
      <c r="E336" s="361"/>
      <c r="F336" s="361"/>
      <c r="G336" s="360"/>
      <c r="H336" s="360"/>
      <c r="I336" s="360"/>
      <c r="J336" s="360"/>
    </row>
    <row r="337" spans="1:10" s="58" customFormat="1" x14ac:dyDescent="0.2">
      <c r="A337" s="66"/>
      <c r="B337" s="66"/>
      <c r="C337" s="361"/>
      <c r="D337" s="361"/>
      <c r="E337" s="361"/>
      <c r="F337" s="361"/>
      <c r="G337" s="360"/>
      <c r="H337" s="360"/>
      <c r="I337" s="360"/>
      <c r="J337" s="360"/>
    </row>
    <row r="338" spans="1:10" s="58" customFormat="1" x14ac:dyDescent="0.2">
      <c r="A338" s="66"/>
      <c r="B338" s="66"/>
      <c r="C338" s="361"/>
      <c r="D338" s="361"/>
      <c r="E338" s="361"/>
      <c r="F338" s="361"/>
      <c r="G338" s="360"/>
      <c r="H338" s="360"/>
      <c r="I338" s="360"/>
      <c r="J338" s="360"/>
    </row>
    <row r="339" spans="1:10" s="58" customFormat="1" x14ac:dyDescent="0.2">
      <c r="A339" s="66"/>
      <c r="B339" s="66"/>
      <c r="C339" s="361"/>
      <c r="D339" s="361"/>
      <c r="E339" s="361"/>
      <c r="F339" s="361"/>
      <c r="G339" s="360"/>
      <c r="H339" s="360"/>
      <c r="I339" s="360"/>
      <c r="J339" s="360"/>
    </row>
    <row r="340" spans="1:10" s="58" customFormat="1" x14ac:dyDescent="0.2">
      <c r="A340" s="66"/>
      <c r="B340" s="66"/>
      <c r="C340" s="361"/>
      <c r="D340" s="361"/>
      <c r="E340" s="361"/>
      <c r="F340" s="361"/>
      <c r="G340" s="360"/>
      <c r="H340" s="360"/>
      <c r="I340" s="360"/>
      <c r="J340" s="360"/>
    </row>
    <row r="341" spans="1:10" s="58" customFormat="1" x14ac:dyDescent="0.2">
      <c r="A341" s="66"/>
      <c r="B341" s="66"/>
      <c r="C341" s="361"/>
      <c r="D341" s="361"/>
      <c r="E341" s="361"/>
      <c r="F341" s="361"/>
      <c r="G341" s="360"/>
      <c r="H341" s="360"/>
      <c r="I341" s="360"/>
      <c r="J341" s="360"/>
    </row>
    <row r="342" spans="1:10" s="58" customFormat="1" x14ac:dyDescent="0.2">
      <c r="A342" s="66"/>
      <c r="B342" s="66"/>
      <c r="C342" s="361"/>
      <c r="D342" s="361"/>
      <c r="E342" s="361"/>
      <c r="F342" s="361"/>
      <c r="G342" s="360"/>
      <c r="H342" s="360"/>
      <c r="I342" s="360"/>
      <c r="J342" s="360"/>
    </row>
    <row r="343" spans="1:10" s="58" customFormat="1" x14ac:dyDescent="0.2">
      <c r="A343" s="66"/>
      <c r="B343" s="66"/>
      <c r="C343" s="361"/>
      <c r="D343" s="361"/>
      <c r="E343" s="361"/>
      <c r="F343" s="361"/>
      <c r="G343" s="360"/>
      <c r="H343" s="360"/>
      <c r="I343" s="360"/>
      <c r="J343" s="360"/>
    </row>
    <row r="344" spans="1:10" s="58" customFormat="1" x14ac:dyDescent="0.2">
      <c r="A344" s="66"/>
      <c r="B344" s="66"/>
      <c r="C344" s="361"/>
      <c r="D344" s="361"/>
      <c r="E344" s="361"/>
      <c r="F344" s="361"/>
      <c r="G344" s="360"/>
      <c r="H344" s="360"/>
      <c r="I344" s="360"/>
      <c r="J344" s="360"/>
    </row>
    <row r="345" spans="1:10" s="58" customFormat="1" x14ac:dyDescent="0.2">
      <c r="A345" s="66"/>
      <c r="B345" s="66"/>
      <c r="C345" s="361"/>
      <c r="D345" s="361"/>
      <c r="E345" s="361"/>
      <c r="F345" s="361"/>
      <c r="G345" s="360"/>
      <c r="H345" s="360"/>
      <c r="I345" s="360"/>
      <c r="J345" s="360"/>
    </row>
    <row r="346" spans="1:10" s="58" customFormat="1" x14ac:dyDescent="0.2">
      <c r="A346" s="66"/>
      <c r="B346" s="66"/>
      <c r="C346" s="361"/>
      <c r="D346" s="361"/>
      <c r="E346" s="361"/>
      <c r="F346" s="361"/>
      <c r="G346" s="360"/>
      <c r="H346" s="360"/>
      <c r="I346" s="360"/>
      <c r="J346" s="360"/>
    </row>
    <row r="347" spans="1:10" s="58" customFormat="1" x14ac:dyDescent="0.2">
      <c r="A347" s="66"/>
      <c r="B347" s="66"/>
      <c r="C347" s="361"/>
      <c r="D347" s="361"/>
      <c r="E347" s="361"/>
      <c r="F347" s="361"/>
      <c r="G347" s="360"/>
      <c r="H347" s="360"/>
      <c r="I347" s="360"/>
      <c r="J347" s="360"/>
    </row>
    <row r="348" spans="1:10" s="58" customFormat="1" x14ac:dyDescent="0.2">
      <c r="A348" s="66"/>
      <c r="B348" s="66"/>
      <c r="C348" s="361"/>
      <c r="D348" s="361"/>
      <c r="E348" s="361"/>
      <c r="F348" s="361"/>
      <c r="G348" s="360"/>
      <c r="H348" s="360"/>
      <c r="I348" s="360"/>
      <c r="J348" s="360"/>
    </row>
    <row r="349" spans="1:10" s="58" customFormat="1" x14ac:dyDescent="0.2">
      <c r="A349" s="66"/>
      <c r="B349" s="66"/>
      <c r="C349" s="361"/>
      <c r="D349" s="361"/>
      <c r="E349" s="361"/>
      <c r="F349" s="361"/>
      <c r="G349" s="360"/>
      <c r="H349" s="360"/>
      <c r="I349" s="360"/>
      <c r="J349" s="360"/>
    </row>
    <row r="350" spans="1:10" s="58" customFormat="1" x14ac:dyDescent="0.2">
      <c r="A350" s="66"/>
      <c r="B350" s="66"/>
      <c r="C350" s="361"/>
      <c r="D350" s="361"/>
      <c r="E350" s="361"/>
      <c r="F350" s="361"/>
      <c r="G350" s="360"/>
      <c r="H350" s="360"/>
      <c r="I350" s="360"/>
      <c r="J350" s="360"/>
    </row>
    <row r="351" spans="1:10" s="58" customFormat="1" x14ac:dyDescent="0.2">
      <c r="A351" s="66"/>
      <c r="B351" s="66"/>
      <c r="C351" s="361"/>
      <c r="D351" s="361"/>
      <c r="E351" s="361"/>
      <c r="F351" s="361"/>
      <c r="G351" s="360"/>
      <c r="H351" s="360"/>
      <c r="I351" s="360"/>
      <c r="J351" s="360"/>
    </row>
    <row r="352" spans="1:10" s="58" customFormat="1" x14ac:dyDescent="0.2">
      <c r="A352" s="66"/>
      <c r="B352" s="66"/>
      <c r="C352" s="361"/>
      <c r="D352" s="361"/>
      <c r="E352" s="361"/>
      <c r="F352" s="361"/>
      <c r="G352" s="360"/>
      <c r="H352" s="360"/>
      <c r="I352" s="360"/>
      <c r="J352" s="360"/>
    </row>
    <row r="353" spans="1:10" s="58" customFormat="1" x14ac:dyDescent="0.2">
      <c r="A353" s="66"/>
      <c r="B353" s="66"/>
      <c r="C353" s="361"/>
      <c r="D353" s="361"/>
      <c r="E353" s="361"/>
      <c r="F353" s="361"/>
      <c r="G353" s="360"/>
      <c r="H353" s="360"/>
      <c r="I353" s="360"/>
      <c r="J353" s="360"/>
    </row>
    <row r="354" spans="1:10" s="58" customFormat="1" x14ac:dyDescent="0.2">
      <c r="A354" s="66"/>
      <c r="B354" s="66"/>
      <c r="C354" s="361"/>
      <c r="D354" s="361"/>
      <c r="E354" s="361"/>
      <c r="F354" s="361"/>
      <c r="G354" s="360"/>
      <c r="H354" s="360"/>
      <c r="I354" s="360"/>
      <c r="J354" s="360"/>
    </row>
    <row r="355" spans="1:10" s="58" customFormat="1" x14ac:dyDescent="0.2">
      <c r="A355" s="66"/>
      <c r="B355" s="66"/>
      <c r="C355" s="361"/>
      <c r="D355" s="361"/>
      <c r="E355" s="361"/>
      <c r="F355" s="361"/>
      <c r="G355" s="360"/>
      <c r="H355" s="360"/>
      <c r="I355" s="360"/>
      <c r="J355" s="360"/>
    </row>
    <row r="356" spans="1:10" s="58" customFormat="1" x14ac:dyDescent="0.2">
      <c r="A356" s="66"/>
      <c r="B356" s="66"/>
      <c r="C356" s="361"/>
      <c r="D356" s="361"/>
      <c r="E356" s="361"/>
      <c r="F356" s="361"/>
      <c r="G356" s="360"/>
      <c r="H356" s="360"/>
      <c r="I356" s="360"/>
      <c r="J356" s="360"/>
    </row>
    <row r="357" spans="1:10" s="58" customFormat="1" x14ac:dyDescent="0.2">
      <c r="A357" s="66"/>
      <c r="B357" s="66"/>
      <c r="C357" s="361"/>
      <c r="D357" s="361"/>
      <c r="E357" s="361"/>
      <c r="F357" s="361"/>
      <c r="G357" s="360"/>
      <c r="H357" s="360"/>
      <c r="I357" s="360"/>
      <c r="J357" s="360"/>
    </row>
    <row r="358" spans="1:10" s="58" customFormat="1" x14ac:dyDescent="0.2">
      <c r="A358" s="66"/>
      <c r="B358" s="66"/>
      <c r="C358" s="361"/>
      <c r="D358" s="361"/>
      <c r="E358" s="361"/>
      <c r="F358" s="361"/>
      <c r="G358" s="360"/>
      <c r="H358" s="360"/>
      <c r="I358" s="360"/>
      <c r="J358" s="360"/>
    </row>
    <row r="359" spans="1:10" s="58" customFormat="1" x14ac:dyDescent="0.2">
      <c r="A359" s="66"/>
      <c r="B359" s="66"/>
      <c r="C359" s="361"/>
      <c r="D359" s="361"/>
      <c r="E359" s="361"/>
      <c r="F359" s="361"/>
      <c r="G359" s="360"/>
      <c r="H359" s="360"/>
      <c r="I359" s="360"/>
      <c r="J359" s="360"/>
    </row>
    <row r="360" spans="1:10" s="58" customFormat="1" x14ac:dyDescent="0.2">
      <c r="A360" s="66"/>
      <c r="B360" s="66"/>
      <c r="C360" s="361"/>
      <c r="D360" s="361"/>
      <c r="E360" s="361"/>
      <c r="F360" s="361"/>
      <c r="G360" s="360"/>
      <c r="H360" s="360"/>
      <c r="I360" s="360"/>
      <c r="J360" s="360"/>
    </row>
    <row r="361" spans="1:10" s="58" customFormat="1" x14ac:dyDescent="0.2">
      <c r="A361" s="66"/>
      <c r="B361" s="66"/>
      <c r="C361" s="361"/>
      <c r="D361" s="361"/>
      <c r="E361" s="361"/>
      <c r="F361" s="361"/>
      <c r="G361" s="360"/>
      <c r="H361" s="360"/>
      <c r="I361" s="360"/>
      <c r="J361" s="360"/>
    </row>
    <row r="362" spans="1:10" s="58" customFormat="1" x14ac:dyDescent="0.2">
      <c r="A362" s="66"/>
      <c r="B362" s="66"/>
      <c r="C362" s="361"/>
      <c r="D362" s="361"/>
      <c r="E362" s="361"/>
      <c r="F362" s="361"/>
      <c r="G362" s="360"/>
      <c r="H362" s="360"/>
      <c r="I362" s="360"/>
      <c r="J362" s="360"/>
    </row>
    <row r="363" spans="1:10" s="58" customFormat="1" x14ac:dyDescent="0.2">
      <c r="A363" s="66"/>
      <c r="B363" s="66"/>
      <c r="C363" s="361"/>
      <c r="D363" s="361"/>
      <c r="E363" s="361"/>
      <c r="F363" s="361"/>
      <c r="G363" s="360"/>
      <c r="H363" s="360"/>
      <c r="I363" s="360"/>
      <c r="J363" s="360"/>
    </row>
    <row r="364" spans="1:10" s="58" customFormat="1" x14ac:dyDescent="0.2">
      <c r="A364" s="66"/>
      <c r="B364" s="66"/>
      <c r="C364" s="361"/>
      <c r="D364" s="361"/>
      <c r="E364" s="361"/>
      <c r="F364" s="361"/>
      <c r="G364" s="360"/>
      <c r="H364" s="360"/>
      <c r="I364" s="360"/>
      <c r="J364" s="360"/>
    </row>
    <row r="365" spans="1:10" s="58" customFormat="1" x14ac:dyDescent="0.2">
      <c r="A365" s="66"/>
      <c r="B365" s="66"/>
      <c r="C365" s="361"/>
      <c r="D365" s="361"/>
      <c r="E365" s="361"/>
      <c r="F365" s="361"/>
      <c r="G365" s="360"/>
      <c r="H365" s="360"/>
      <c r="I365" s="360"/>
      <c r="J365" s="360"/>
    </row>
    <row r="366" spans="1:10" s="58" customFormat="1" x14ac:dyDescent="0.2">
      <c r="A366" s="66"/>
      <c r="B366" s="66"/>
      <c r="C366" s="361"/>
      <c r="D366" s="361"/>
      <c r="E366" s="361"/>
      <c r="F366" s="361"/>
      <c r="G366" s="360"/>
      <c r="H366" s="360"/>
      <c r="I366" s="360"/>
      <c r="J366" s="360"/>
    </row>
    <row r="367" spans="1:10" s="58" customFormat="1" x14ac:dyDescent="0.2">
      <c r="A367" s="66"/>
      <c r="B367" s="66"/>
      <c r="C367" s="361"/>
      <c r="D367" s="361"/>
      <c r="E367" s="361"/>
      <c r="F367" s="361"/>
      <c r="G367" s="360"/>
      <c r="H367" s="360"/>
      <c r="I367" s="360"/>
      <c r="J367" s="360"/>
    </row>
    <row r="368" spans="1:10" s="58" customFormat="1" x14ac:dyDescent="0.2">
      <c r="A368" s="66"/>
      <c r="B368" s="66"/>
      <c r="C368" s="361"/>
      <c r="D368" s="361"/>
      <c r="E368" s="361"/>
      <c r="F368" s="361"/>
      <c r="G368" s="360"/>
      <c r="H368" s="360"/>
      <c r="I368" s="360"/>
      <c r="J368" s="360"/>
    </row>
    <row r="369" spans="1:10" s="58" customFormat="1" x14ac:dyDescent="0.2">
      <c r="A369" s="66"/>
      <c r="B369" s="66"/>
      <c r="C369" s="361"/>
      <c r="D369" s="361"/>
      <c r="E369" s="361"/>
      <c r="F369" s="361"/>
      <c r="G369" s="360"/>
      <c r="H369" s="360"/>
      <c r="I369" s="360"/>
      <c r="J369" s="360"/>
    </row>
    <row r="370" spans="1:10" s="58" customFormat="1" x14ac:dyDescent="0.2">
      <c r="A370" s="66"/>
      <c r="B370" s="66"/>
      <c r="C370" s="361"/>
      <c r="D370" s="361"/>
      <c r="E370" s="361"/>
      <c r="F370" s="361"/>
      <c r="G370" s="360"/>
      <c r="H370" s="360"/>
      <c r="I370" s="360"/>
      <c r="J370" s="360"/>
    </row>
    <row r="371" spans="1:10" s="58" customFormat="1" x14ac:dyDescent="0.2">
      <c r="A371" s="66"/>
      <c r="B371" s="66"/>
      <c r="C371" s="361"/>
      <c r="D371" s="361"/>
      <c r="E371" s="361"/>
      <c r="F371" s="361"/>
      <c r="G371" s="360"/>
      <c r="H371" s="360"/>
      <c r="I371" s="360"/>
      <c r="J371" s="360"/>
    </row>
    <row r="372" spans="1:10" s="58" customFormat="1" x14ac:dyDescent="0.2">
      <c r="A372" s="66"/>
      <c r="B372" s="66"/>
      <c r="C372" s="361"/>
      <c r="D372" s="361"/>
      <c r="E372" s="361"/>
      <c r="F372" s="361"/>
      <c r="G372" s="360"/>
      <c r="H372" s="360"/>
      <c r="I372" s="360"/>
      <c r="J372" s="360"/>
    </row>
    <row r="373" spans="1:10" s="58" customFormat="1" x14ac:dyDescent="0.2">
      <c r="A373" s="66"/>
      <c r="B373" s="66"/>
      <c r="C373" s="361"/>
      <c r="D373" s="361"/>
      <c r="E373" s="361"/>
      <c r="F373" s="361"/>
      <c r="G373" s="360"/>
      <c r="H373" s="360"/>
      <c r="I373" s="360"/>
      <c r="J373" s="360"/>
    </row>
    <row r="374" spans="1:10" s="58" customFormat="1" x14ac:dyDescent="0.2">
      <c r="A374" s="66"/>
      <c r="B374" s="66"/>
      <c r="C374" s="361"/>
      <c r="D374" s="361"/>
      <c r="E374" s="361"/>
      <c r="F374" s="361"/>
      <c r="G374" s="360"/>
      <c r="H374" s="360"/>
      <c r="I374" s="360"/>
      <c r="J374" s="360"/>
    </row>
    <row r="375" spans="1:10" s="58" customFormat="1" x14ac:dyDescent="0.2">
      <c r="A375" s="66"/>
      <c r="B375" s="66"/>
      <c r="C375" s="361"/>
      <c r="D375" s="361"/>
      <c r="E375" s="361"/>
      <c r="F375" s="361"/>
      <c r="G375" s="360"/>
      <c r="H375" s="360"/>
      <c r="I375" s="360"/>
      <c r="J375" s="360"/>
    </row>
    <row r="376" spans="1:10" s="58" customFormat="1" x14ac:dyDescent="0.2">
      <c r="A376" s="66"/>
      <c r="B376" s="66"/>
      <c r="C376" s="361"/>
      <c r="D376" s="361"/>
      <c r="E376" s="361"/>
      <c r="F376" s="361"/>
      <c r="G376" s="360"/>
      <c r="H376" s="360"/>
      <c r="I376" s="360"/>
      <c r="J376" s="360"/>
    </row>
    <row r="377" spans="1:10" s="58" customFormat="1" x14ac:dyDescent="0.2">
      <c r="A377" s="66"/>
      <c r="B377" s="66"/>
      <c r="C377" s="361"/>
      <c r="D377" s="361"/>
      <c r="E377" s="361"/>
      <c r="F377" s="361"/>
      <c r="G377" s="360"/>
      <c r="H377" s="360"/>
      <c r="I377" s="360"/>
      <c r="J377" s="360"/>
    </row>
    <row r="378" spans="1:10" s="58" customFormat="1" x14ac:dyDescent="0.2">
      <c r="A378" s="66"/>
      <c r="B378" s="66"/>
      <c r="C378" s="361"/>
      <c r="D378" s="361"/>
      <c r="E378" s="361"/>
      <c r="F378" s="361"/>
      <c r="G378" s="360"/>
      <c r="H378" s="360"/>
      <c r="I378" s="360"/>
      <c r="J378" s="360"/>
    </row>
    <row r="379" spans="1:10" s="58" customFormat="1" x14ac:dyDescent="0.2">
      <c r="A379" s="66"/>
      <c r="B379" s="66"/>
      <c r="C379" s="361"/>
      <c r="D379" s="361"/>
      <c r="E379" s="361"/>
      <c r="F379" s="361"/>
      <c r="G379" s="360"/>
      <c r="H379" s="360"/>
      <c r="I379" s="360"/>
      <c r="J379" s="360"/>
    </row>
    <row r="380" spans="1:10" s="58" customFormat="1" x14ac:dyDescent="0.2">
      <c r="A380" s="66"/>
      <c r="B380" s="66"/>
      <c r="C380" s="361"/>
      <c r="D380" s="361"/>
      <c r="E380" s="361"/>
      <c r="F380" s="361"/>
      <c r="G380" s="360"/>
      <c r="H380" s="360"/>
      <c r="I380" s="360"/>
      <c r="J380" s="360"/>
    </row>
    <row r="381" spans="1:10" s="58" customFormat="1" x14ac:dyDescent="0.2">
      <c r="A381" s="66"/>
      <c r="B381" s="66"/>
      <c r="C381" s="361"/>
      <c r="D381" s="361"/>
      <c r="E381" s="361"/>
      <c r="F381" s="361"/>
      <c r="G381" s="360"/>
      <c r="H381" s="360"/>
      <c r="I381" s="360"/>
      <c r="J381" s="360"/>
    </row>
    <row r="382" spans="1:10" s="58" customFormat="1" x14ac:dyDescent="0.2">
      <c r="A382" s="66"/>
      <c r="B382" s="66"/>
      <c r="C382" s="361"/>
      <c r="D382" s="361"/>
      <c r="E382" s="361"/>
      <c r="F382" s="361"/>
      <c r="G382" s="360"/>
      <c r="H382" s="360"/>
      <c r="I382" s="360"/>
      <c r="J382" s="360"/>
    </row>
    <row r="383" spans="1:10" s="58" customFormat="1" x14ac:dyDescent="0.2">
      <c r="A383" s="66"/>
      <c r="B383" s="66"/>
      <c r="C383" s="361"/>
      <c r="D383" s="361"/>
      <c r="E383" s="361"/>
      <c r="F383" s="361"/>
      <c r="G383" s="360"/>
      <c r="H383" s="360"/>
      <c r="I383" s="360"/>
      <c r="J383" s="360"/>
    </row>
    <row r="384" spans="1:10" s="58" customFormat="1" x14ac:dyDescent="0.2">
      <c r="A384" s="66"/>
      <c r="B384" s="66"/>
      <c r="C384" s="361"/>
      <c r="D384" s="361"/>
      <c r="E384" s="361"/>
      <c r="F384" s="361"/>
      <c r="G384" s="360"/>
      <c r="H384" s="360"/>
      <c r="I384" s="360"/>
      <c r="J384" s="360"/>
    </row>
    <row r="385" spans="1:10" s="58" customFormat="1" x14ac:dyDescent="0.2">
      <c r="A385" s="66"/>
      <c r="B385" s="66"/>
      <c r="C385" s="361"/>
      <c r="D385" s="361"/>
      <c r="E385" s="361"/>
      <c r="F385" s="361"/>
      <c r="G385" s="360"/>
      <c r="H385" s="360"/>
      <c r="I385" s="360"/>
      <c r="J385" s="360"/>
    </row>
    <row r="386" spans="1:10" s="58" customFormat="1" x14ac:dyDescent="0.2">
      <c r="A386" s="66"/>
      <c r="B386" s="66"/>
      <c r="C386" s="361"/>
      <c r="D386" s="361"/>
      <c r="E386" s="361"/>
      <c r="F386" s="361"/>
      <c r="G386" s="360"/>
      <c r="H386" s="360"/>
      <c r="I386" s="360"/>
      <c r="J386" s="360"/>
    </row>
    <row r="387" spans="1:10" s="58" customFormat="1" x14ac:dyDescent="0.2">
      <c r="A387" s="66"/>
      <c r="B387" s="66"/>
      <c r="C387" s="361"/>
      <c r="D387" s="361"/>
      <c r="E387" s="361"/>
      <c r="F387" s="361"/>
      <c r="G387" s="360"/>
      <c r="H387" s="360"/>
      <c r="I387" s="360"/>
      <c r="J387" s="360"/>
    </row>
    <row r="388" spans="1:10" s="58" customFormat="1" x14ac:dyDescent="0.2">
      <c r="A388" s="66"/>
      <c r="B388" s="66"/>
      <c r="C388" s="361"/>
      <c r="D388" s="361"/>
      <c r="E388" s="361"/>
      <c r="F388" s="361"/>
      <c r="G388" s="360"/>
      <c r="H388" s="360"/>
      <c r="I388" s="360"/>
      <c r="J388" s="360"/>
    </row>
    <row r="389" spans="1:10" s="58" customFormat="1" x14ac:dyDescent="0.2">
      <c r="A389" s="66"/>
      <c r="B389" s="66"/>
      <c r="C389" s="361"/>
      <c r="D389" s="361"/>
      <c r="E389" s="361"/>
      <c r="F389" s="361"/>
      <c r="G389" s="360"/>
      <c r="H389" s="360"/>
      <c r="I389" s="360"/>
      <c r="J389" s="360"/>
    </row>
    <row r="390" spans="1:10" s="58" customFormat="1" x14ac:dyDescent="0.2">
      <c r="A390" s="66"/>
      <c r="B390" s="66"/>
      <c r="C390" s="361"/>
      <c r="D390" s="361"/>
      <c r="E390" s="361"/>
      <c r="F390" s="361"/>
      <c r="G390" s="360"/>
      <c r="H390" s="360"/>
      <c r="I390" s="360"/>
      <c r="J390" s="360"/>
    </row>
    <row r="391" spans="1:10" s="58" customFormat="1" x14ac:dyDescent="0.2">
      <c r="A391" s="66"/>
      <c r="B391" s="66"/>
      <c r="C391" s="361"/>
      <c r="D391" s="361"/>
      <c r="E391" s="361"/>
      <c r="F391" s="361"/>
      <c r="G391" s="360"/>
      <c r="H391" s="360"/>
      <c r="I391" s="360"/>
      <c r="J391" s="360"/>
    </row>
    <row r="392" spans="1:10" s="58" customFormat="1" x14ac:dyDescent="0.2">
      <c r="A392" s="66"/>
      <c r="B392" s="66"/>
      <c r="C392" s="361"/>
      <c r="D392" s="361"/>
      <c r="E392" s="361"/>
      <c r="F392" s="361"/>
      <c r="G392" s="360"/>
      <c r="H392" s="360"/>
      <c r="I392" s="360"/>
      <c r="J392" s="360"/>
    </row>
    <row r="393" spans="1:10" s="58" customFormat="1" x14ac:dyDescent="0.2">
      <c r="A393" s="66"/>
      <c r="B393" s="66"/>
      <c r="C393" s="361"/>
      <c r="D393" s="361"/>
      <c r="E393" s="361"/>
      <c r="F393" s="361"/>
      <c r="G393" s="360"/>
      <c r="H393" s="360"/>
      <c r="I393" s="360"/>
      <c r="J393" s="360"/>
    </row>
    <row r="394" spans="1:10" s="58" customFormat="1" x14ac:dyDescent="0.2">
      <c r="A394" s="66"/>
      <c r="B394" s="66"/>
      <c r="C394" s="361"/>
      <c r="D394" s="361"/>
      <c r="E394" s="361"/>
      <c r="F394" s="361"/>
      <c r="G394" s="360"/>
      <c r="H394" s="360"/>
      <c r="I394" s="360"/>
      <c r="J394" s="360"/>
    </row>
    <row r="395" spans="1:10" s="58" customFormat="1" x14ac:dyDescent="0.2">
      <c r="A395" s="66"/>
      <c r="B395" s="66"/>
      <c r="C395" s="361"/>
      <c r="D395" s="361"/>
      <c r="E395" s="361"/>
      <c r="F395" s="361"/>
      <c r="G395" s="360"/>
      <c r="H395" s="360"/>
      <c r="I395" s="360"/>
      <c r="J395" s="360"/>
    </row>
    <row r="396" spans="1:10" s="58" customFormat="1" x14ac:dyDescent="0.2">
      <c r="A396" s="66"/>
      <c r="B396" s="66"/>
      <c r="C396" s="361"/>
      <c r="D396" s="361"/>
      <c r="E396" s="361"/>
      <c r="F396" s="361"/>
      <c r="G396" s="360"/>
      <c r="H396" s="360"/>
      <c r="I396" s="360"/>
      <c r="J396" s="360"/>
    </row>
    <row r="397" spans="1:10" s="58" customFormat="1" x14ac:dyDescent="0.2">
      <c r="A397" s="66"/>
      <c r="B397" s="66"/>
      <c r="C397" s="361"/>
      <c r="D397" s="361"/>
      <c r="E397" s="361"/>
      <c r="F397" s="361"/>
      <c r="G397" s="360"/>
      <c r="H397" s="360"/>
      <c r="I397" s="360"/>
      <c r="J397" s="360"/>
    </row>
    <row r="398" spans="1:10" s="58" customFormat="1" x14ac:dyDescent="0.2">
      <c r="A398" s="66"/>
      <c r="B398" s="66"/>
      <c r="C398" s="361"/>
      <c r="D398" s="361"/>
      <c r="E398" s="361"/>
      <c r="F398" s="361"/>
      <c r="G398" s="360"/>
      <c r="H398" s="360"/>
      <c r="I398" s="360"/>
      <c r="J398" s="360"/>
    </row>
    <row r="399" spans="1:10" s="58" customFormat="1" x14ac:dyDescent="0.2">
      <c r="A399" s="66"/>
      <c r="B399" s="66"/>
      <c r="C399" s="361"/>
      <c r="D399" s="361"/>
      <c r="E399" s="361"/>
      <c r="F399" s="361"/>
      <c r="G399" s="360"/>
      <c r="H399" s="360"/>
      <c r="I399" s="360"/>
      <c r="J399" s="360"/>
    </row>
    <row r="400" spans="1:10" s="58" customFormat="1" x14ac:dyDescent="0.2">
      <c r="A400" s="66"/>
      <c r="B400" s="66"/>
      <c r="C400" s="361"/>
      <c r="D400" s="361"/>
      <c r="E400" s="361"/>
      <c r="F400" s="361"/>
      <c r="G400" s="360"/>
      <c r="H400" s="360"/>
      <c r="I400" s="360"/>
      <c r="J400" s="360"/>
    </row>
    <row r="401" spans="1:10" s="58" customFormat="1" x14ac:dyDescent="0.2">
      <c r="A401" s="66"/>
      <c r="B401" s="66"/>
      <c r="C401" s="361"/>
      <c r="D401" s="361"/>
      <c r="E401" s="361"/>
      <c r="F401" s="361"/>
      <c r="G401" s="360"/>
      <c r="H401" s="360"/>
      <c r="I401" s="360"/>
      <c r="J401" s="360"/>
    </row>
    <row r="402" spans="1:10" s="58" customFormat="1" x14ac:dyDescent="0.2">
      <c r="A402" s="66"/>
      <c r="B402" s="66"/>
      <c r="C402" s="361"/>
      <c r="D402" s="361"/>
      <c r="E402" s="361"/>
      <c r="F402" s="361"/>
      <c r="G402" s="360"/>
      <c r="H402" s="360"/>
      <c r="I402" s="360"/>
      <c r="J402" s="360"/>
    </row>
    <row r="403" spans="1:10" s="58" customFormat="1" x14ac:dyDescent="0.2">
      <c r="A403" s="66"/>
      <c r="B403" s="66"/>
      <c r="C403" s="361"/>
      <c r="D403" s="361"/>
      <c r="E403" s="361"/>
      <c r="F403" s="361"/>
      <c r="G403" s="360"/>
      <c r="H403" s="360"/>
      <c r="I403" s="360"/>
      <c r="J403" s="360"/>
    </row>
    <row r="404" spans="1:10" s="58" customFormat="1" x14ac:dyDescent="0.2">
      <c r="A404" s="66"/>
      <c r="B404" s="66"/>
      <c r="C404" s="361"/>
      <c r="D404" s="361"/>
      <c r="E404" s="361"/>
      <c r="F404" s="361"/>
      <c r="G404" s="360"/>
      <c r="H404" s="360"/>
      <c r="I404" s="360"/>
      <c r="J404" s="360"/>
    </row>
    <row r="405" spans="1:10" s="58" customFormat="1" x14ac:dyDescent="0.2">
      <c r="A405" s="66"/>
      <c r="B405" s="66"/>
      <c r="C405" s="361"/>
      <c r="D405" s="361"/>
      <c r="E405" s="361"/>
      <c r="F405" s="361"/>
      <c r="G405" s="360"/>
      <c r="H405" s="360"/>
      <c r="I405" s="360"/>
      <c r="J405" s="360"/>
    </row>
    <row r="406" spans="1:10" s="58" customFormat="1" x14ac:dyDescent="0.2">
      <c r="A406" s="66"/>
      <c r="B406" s="66"/>
      <c r="C406" s="361"/>
      <c r="D406" s="361"/>
      <c r="E406" s="361"/>
      <c r="F406" s="361"/>
      <c r="G406" s="360"/>
      <c r="H406" s="360"/>
      <c r="I406" s="360"/>
      <c r="J406" s="360"/>
    </row>
    <row r="407" spans="1:10" s="58" customFormat="1" x14ac:dyDescent="0.2">
      <c r="A407" s="66"/>
      <c r="B407" s="66"/>
      <c r="C407" s="361"/>
      <c r="D407" s="361"/>
      <c r="E407" s="361"/>
      <c r="F407" s="361"/>
      <c r="G407" s="360"/>
      <c r="H407" s="360"/>
      <c r="I407" s="360"/>
      <c r="J407" s="360"/>
    </row>
    <row r="408" spans="1:10" s="58" customFormat="1" x14ac:dyDescent="0.2">
      <c r="A408" s="66"/>
      <c r="B408" s="66"/>
      <c r="C408" s="361"/>
      <c r="D408" s="361"/>
      <c r="E408" s="361"/>
      <c r="F408" s="361"/>
      <c r="G408" s="360"/>
      <c r="H408" s="360"/>
      <c r="I408" s="360"/>
      <c r="J408" s="360"/>
    </row>
    <row r="409" spans="1:10" s="58" customFormat="1" x14ac:dyDescent="0.2">
      <c r="A409" s="66"/>
      <c r="B409" s="66"/>
      <c r="C409" s="361"/>
      <c r="D409" s="361"/>
      <c r="E409" s="361"/>
      <c r="F409" s="361"/>
      <c r="G409" s="360"/>
      <c r="H409" s="360"/>
      <c r="I409" s="360"/>
      <c r="J409" s="360"/>
    </row>
    <row r="410" spans="1:10" s="58" customFormat="1" x14ac:dyDescent="0.2">
      <c r="A410" s="66"/>
      <c r="B410" s="66"/>
      <c r="C410" s="361"/>
      <c r="D410" s="361"/>
      <c r="E410" s="361"/>
      <c r="F410" s="361"/>
      <c r="G410" s="360"/>
      <c r="H410" s="360"/>
      <c r="I410" s="360"/>
      <c r="J410" s="360"/>
    </row>
    <row r="411" spans="1:10" s="58" customFormat="1" x14ac:dyDescent="0.2">
      <c r="A411" s="66"/>
      <c r="B411" s="66"/>
      <c r="C411" s="361"/>
      <c r="D411" s="361"/>
      <c r="E411" s="361"/>
      <c r="F411" s="361"/>
      <c r="G411" s="360"/>
      <c r="H411" s="360"/>
      <c r="I411" s="360"/>
      <c r="J411" s="360"/>
    </row>
    <row r="412" spans="1:10" s="58" customFormat="1" x14ac:dyDescent="0.2">
      <c r="A412" s="66"/>
      <c r="B412" s="66"/>
      <c r="C412" s="361"/>
      <c r="D412" s="361"/>
      <c r="E412" s="361"/>
      <c r="F412" s="361"/>
      <c r="G412" s="360"/>
      <c r="H412" s="360"/>
      <c r="I412" s="360"/>
      <c r="J412" s="360"/>
    </row>
    <row r="413" spans="1:10" s="58" customFormat="1" x14ac:dyDescent="0.2">
      <c r="A413" s="66"/>
      <c r="B413" s="66"/>
      <c r="C413" s="361"/>
      <c r="D413" s="361"/>
      <c r="E413" s="361"/>
      <c r="F413" s="361"/>
      <c r="G413" s="360"/>
      <c r="H413" s="360"/>
      <c r="I413" s="360"/>
      <c r="J413" s="360"/>
    </row>
    <row r="414" spans="1:10" s="58" customFormat="1" x14ac:dyDescent="0.2">
      <c r="A414" s="66"/>
      <c r="B414" s="66"/>
      <c r="C414" s="361"/>
      <c r="D414" s="361"/>
      <c r="E414" s="361"/>
      <c r="F414" s="361"/>
      <c r="G414" s="360"/>
      <c r="H414" s="360"/>
      <c r="I414" s="360"/>
      <c r="J414" s="360"/>
    </row>
    <row r="415" spans="1:10" s="58" customFormat="1" x14ac:dyDescent="0.2">
      <c r="A415" s="66"/>
      <c r="B415" s="66"/>
      <c r="C415" s="361"/>
      <c r="D415" s="361"/>
      <c r="E415" s="361"/>
      <c r="F415" s="361"/>
      <c r="G415" s="360"/>
      <c r="H415" s="360"/>
      <c r="I415" s="360"/>
      <c r="J415" s="360"/>
    </row>
    <row r="416" spans="1:10" s="58" customFormat="1" x14ac:dyDescent="0.2">
      <c r="A416" s="66"/>
      <c r="B416" s="66"/>
      <c r="C416" s="361"/>
      <c r="D416" s="361"/>
      <c r="E416" s="361"/>
      <c r="F416" s="361"/>
      <c r="G416" s="360"/>
      <c r="H416" s="360"/>
      <c r="I416" s="360"/>
      <c r="J416" s="360"/>
    </row>
    <row r="417" spans="1:10" s="58" customFormat="1" x14ac:dyDescent="0.2">
      <c r="A417" s="66"/>
      <c r="B417" s="66"/>
      <c r="C417" s="361"/>
      <c r="D417" s="361"/>
      <c r="E417" s="361"/>
      <c r="F417" s="361"/>
      <c r="G417" s="360"/>
      <c r="H417" s="360"/>
      <c r="I417" s="360"/>
      <c r="J417" s="360"/>
    </row>
    <row r="418" spans="1:10" s="58" customFormat="1" x14ac:dyDescent="0.2">
      <c r="A418" s="66"/>
      <c r="B418" s="66"/>
      <c r="C418" s="361"/>
      <c r="D418" s="361"/>
      <c r="E418" s="361"/>
      <c r="F418" s="361"/>
      <c r="G418" s="360"/>
      <c r="H418" s="360"/>
      <c r="I418" s="360"/>
      <c r="J418" s="360"/>
    </row>
    <row r="419" spans="1:10" s="58" customFormat="1" x14ac:dyDescent="0.2">
      <c r="A419" s="66"/>
      <c r="B419" s="66"/>
      <c r="C419" s="361"/>
      <c r="D419" s="361"/>
      <c r="E419" s="361"/>
      <c r="F419" s="361"/>
      <c r="G419" s="360"/>
      <c r="H419" s="360"/>
      <c r="I419" s="360"/>
      <c r="J419" s="360"/>
    </row>
    <row r="420" spans="1:10" s="58" customFormat="1" x14ac:dyDescent="0.2">
      <c r="A420" s="66"/>
      <c r="B420" s="66"/>
      <c r="C420" s="361"/>
      <c r="D420" s="361"/>
      <c r="E420" s="361"/>
      <c r="F420" s="361"/>
      <c r="G420" s="360"/>
      <c r="H420" s="360"/>
      <c r="I420" s="360"/>
      <c r="J420" s="360"/>
    </row>
    <row r="421" spans="1:10" s="58" customFormat="1" x14ac:dyDescent="0.2">
      <c r="A421" s="66"/>
      <c r="B421" s="66"/>
      <c r="C421" s="361"/>
      <c r="D421" s="361"/>
      <c r="E421" s="361"/>
      <c r="F421" s="361"/>
      <c r="G421" s="360"/>
      <c r="H421" s="360"/>
      <c r="I421" s="360"/>
      <c r="J421" s="360"/>
    </row>
    <row r="422" spans="1:10" s="58" customFormat="1" x14ac:dyDescent="0.2">
      <c r="A422" s="66"/>
      <c r="B422" s="66"/>
      <c r="C422" s="361"/>
      <c r="D422" s="361"/>
      <c r="E422" s="361"/>
      <c r="F422" s="361"/>
      <c r="G422" s="360"/>
      <c r="H422" s="360"/>
      <c r="I422" s="360"/>
      <c r="J422" s="360"/>
    </row>
    <row r="423" spans="1:10" s="58" customFormat="1" x14ac:dyDescent="0.2">
      <c r="A423" s="66"/>
      <c r="B423" s="66"/>
      <c r="C423" s="361"/>
      <c r="D423" s="361"/>
      <c r="E423" s="361"/>
      <c r="F423" s="361"/>
      <c r="G423" s="360"/>
      <c r="H423" s="360"/>
      <c r="I423" s="360"/>
      <c r="J423" s="360"/>
    </row>
    <row r="424" spans="1:10" s="58" customFormat="1" x14ac:dyDescent="0.2">
      <c r="A424" s="66"/>
      <c r="B424" s="66"/>
      <c r="C424" s="361"/>
      <c r="D424" s="361"/>
      <c r="E424" s="361"/>
      <c r="F424" s="361"/>
      <c r="G424" s="360"/>
      <c r="H424" s="360"/>
      <c r="I424" s="360"/>
      <c r="J424" s="360"/>
    </row>
    <row r="425" spans="1:10" s="58" customFormat="1" x14ac:dyDescent="0.2">
      <c r="A425" s="66"/>
      <c r="B425" s="66"/>
      <c r="C425" s="361"/>
      <c r="D425" s="361"/>
      <c r="E425" s="361"/>
      <c r="F425" s="361"/>
      <c r="G425" s="360"/>
      <c r="H425" s="360"/>
      <c r="I425" s="360"/>
      <c r="J425" s="360"/>
    </row>
    <row r="426" spans="1:10" s="58" customFormat="1" x14ac:dyDescent="0.2">
      <c r="A426" s="66"/>
      <c r="B426" s="66"/>
      <c r="C426" s="361"/>
      <c r="D426" s="361"/>
      <c r="E426" s="361"/>
      <c r="F426" s="361"/>
      <c r="G426" s="360"/>
      <c r="H426" s="360"/>
      <c r="I426" s="360"/>
      <c r="J426" s="360"/>
    </row>
    <row r="427" spans="1:10" s="58" customFormat="1" x14ac:dyDescent="0.2">
      <c r="A427" s="66"/>
      <c r="B427" s="66"/>
      <c r="C427" s="361"/>
      <c r="D427" s="361"/>
      <c r="E427" s="361"/>
      <c r="F427" s="361"/>
      <c r="G427" s="360"/>
      <c r="H427" s="360"/>
      <c r="I427" s="360"/>
      <c r="J427" s="360"/>
    </row>
    <row r="428" spans="1:10" s="58" customFormat="1" x14ac:dyDescent="0.2">
      <c r="A428" s="66"/>
      <c r="B428" s="66"/>
      <c r="C428" s="361"/>
      <c r="D428" s="361"/>
      <c r="E428" s="361"/>
      <c r="F428" s="361"/>
      <c r="G428" s="360"/>
      <c r="H428" s="360"/>
      <c r="I428" s="360"/>
      <c r="J428" s="360"/>
    </row>
    <row r="429" spans="1:10" s="58" customFormat="1" x14ac:dyDescent="0.2">
      <c r="A429" s="66"/>
      <c r="B429" s="66"/>
      <c r="C429" s="361"/>
      <c r="D429" s="361"/>
      <c r="E429" s="361"/>
      <c r="F429" s="361"/>
      <c r="G429" s="360"/>
      <c r="H429" s="360"/>
      <c r="I429" s="360"/>
      <c r="J429" s="360"/>
    </row>
    <row r="430" spans="1:10" s="58" customFormat="1" x14ac:dyDescent="0.2">
      <c r="A430" s="66"/>
      <c r="B430" s="66"/>
      <c r="C430" s="361"/>
      <c r="D430" s="361"/>
      <c r="E430" s="361"/>
      <c r="F430" s="361"/>
      <c r="G430" s="360"/>
      <c r="H430" s="360"/>
      <c r="I430" s="360"/>
      <c r="J430" s="360"/>
    </row>
    <row r="431" spans="1:10" s="58" customFormat="1" x14ac:dyDescent="0.2">
      <c r="A431" s="66"/>
      <c r="B431" s="66"/>
      <c r="C431" s="361"/>
      <c r="D431" s="361"/>
      <c r="E431" s="361"/>
      <c r="F431" s="361"/>
      <c r="G431" s="360"/>
      <c r="H431" s="360"/>
      <c r="I431" s="360"/>
      <c r="J431" s="360"/>
    </row>
    <row r="432" spans="1:10" s="58" customFormat="1" x14ac:dyDescent="0.2">
      <c r="A432" s="66"/>
      <c r="B432" s="66"/>
      <c r="C432" s="361"/>
      <c r="D432" s="361"/>
      <c r="E432" s="361"/>
      <c r="F432" s="361"/>
      <c r="G432" s="360"/>
      <c r="H432" s="360"/>
      <c r="I432" s="360"/>
      <c r="J432" s="360"/>
    </row>
    <row r="433" spans="1:10" s="58" customFormat="1" x14ac:dyDescent="0.2">
      <c r="A433" s="66"/>
      <c r="B433" s="66"/>
      <c r="C433" s="361"/>
      <c r="D433" s="361"/>
      <c r="E433" s="361"/>
      <c r="F433" s="361"/>
      <c r="G433" s="360"/>
      <c r="H433" s="360"/>
      <c r="I433" s="360"/>
      <c r="J433" s="360"/>
    </row>
    <row r="434" spans="1:10" s="58" customFormat="1" x14ac:dyDescent="0.2">
      <c r="A434" s="66"/>
      <c r="B434" s="66"/>
      <c r="C434" s="361"/>
      <c r="D434" s="361"/>
      <c r="E434" s="361"/>
      <c r="F434" s="361"/>
      <c r="G434" s="360"/>
      <c r="H434" s="360"/>
      <c r="I434" s="360"/>
      <c r="J434" s="360"/>
    </row>
    <row r="435" spans="1:10" s="58" customFormat="1" x14ac:dyDescent="0.2">
      <c r="A435" s="66"/>
      <c r="B435" s="66"/>
      <c r="C435" s="361"/>
      <c r="D435" s="361"/>
      <c r="E435" s="361"/>
      <c r="F435" s="361"/>
      <c r="G435" s="360"/>
      <c r="H435" s="360"/>
      <c r="I435" s="360"/>
      <c r="J435" s="360"/>
    </row>
    <row r="436" spans="1:10" s="58" customFormat="1" x14ac:dyDescent="0.2">
      <c r="A436" s="66"/>
      <c r="B436" s="66"/>
      <c r="C436" s="361"/>
      <c r="D436" s="361"/>
      <c r="E436" s="361"/>
      <c r="F436" s="361"/>
      <c r="G436" s="360"/>
      <c r="H436" s="360"/>
      <c r="I436" s="360"/>
      <c r="J436" s="360"/>
    </row>
    <row r="437" spans="1:10" s="58" customFormat="1" x14ac:dyDescent="0.2">
      <c r="A437" s="66"/>
      <c r="B437" s="66"/>
      <c r="C437" s="361"/>
      <c r="D437" s="361"/>
      <c r="E437" s="361"/>
      <c r="F437" s="361"/>
      <c r="G437" s="360"/>
      <c r="H437" s="360"/>
      <c r="I437" s="360"/>
      <c r="J437" s="360"/>
    </row>
    <row r="438" spans="1:10" s="58" customFormat="1" x14ac:dyDescent="0.2">
      <c r="A438" s="66"/>
      <c r="B438" s="66"/>
      <c r="C438" s="361"/>
      <c r="D438" s="361"/>
      <c r="E438" s="361"/>
      <c r="F438" s="361"/>
      <c r="G438" s="360"/>
      <c r="H438" s="360"/>
      <c r="I438" s="360"/>
      <c r="J438" s="360"/>
    </row>
    <row r="439" spans="1:10" s="58" customFormat="1" x14ac:dyDescent="0.2">
      <c r="A439" s="66"/>
      <c r="B439" s="66"/>
      <c r="C439" s="361"/>
      <c r="D439" s="361"/>
      <c r="E439" s="361"/>
      <c r="F439" s="361"/>
      <c r="G439" s="360"/>
      <c r="H439" s="360"/>
      <c r="I439" s="360"/>
      <c r="J439" s="360"/>
    </row>
    <row r="440" spans="1:10" s="58" customFormat="1" x14ac:dyDescent="0.2">
      <c r="A440" s="66"/>
      <c r="B440" s="66"/>
      <c r="C440" s="361"/>
      <c r="D440" s="361"/>
      <c r="E440" s="361"/>
      <c r="F440" s="361"/>
      <c r="G440" s="360"/>
      <c r="H440" s="360"/>
      <c r="I440" s="360"/>
      <c r="J440" s="360"/>
    </row>
    <row r="441" spans="1:10" s="58" customFormat="1" x14ac:dyDescent="0.2">
      <c r="A441" s="66"/>
      <c r="B441" s="66"/>
      <c r="C441" s="361"/>
      <c r="D441" s="361"/>
      <c r="E441" s="361"/>
      <c r="F441" s="361"/>
      <c r="G441" s="360"/>
      <c r="H441" s="360"/>
      <c r="I441" s="360"/>
      <c r="J441" s="360"/>
    </row>
    <row r="442" spans="1:10" s="58" customFormat="1" x14ac:dyDescent="0.2">
      <c r="A442" s="66"/>
      <c r="B442" s="66"/>
      <c r="C442" s="361"/>
      <c r="D442" s="361"/>
      <c r="E442" s="361"/>
      <c r="F442" s="361"/>
      <c r="G442" s="360"/>
      <c r="H442" s="360"/>
      <c r="I442" s="360"/>
      <c r="J442" s="360"/>
    </row>
    <row r="443" spans="1:10" s="58" customFormat="1" x14ac:dyDescent="0.2">
      <c r="A443" s="66"/>
      <c r="B443" s="66"/>
      <c r="C443" s="361"/>
      <c r="D443" s="361"/>
      <c r="E443" s="361"/>
      <c r="F443" s="361"/>
      <c r="G443" s="360"/>
      <c r="H443" s="360"/>
      <c r="I443" s="360"/>
      <c r="J443" s="360"/>
    </row>
    <row r="444" spans="1:10" s="58" customFormat="1" x14ac:dyDescent="0.2">
      <c r="A444" s="66"/>
      <c r="B444" s="66"/>
      <c r="C444" s="361"/>
      <c r="D444" s="361"/>
      <c r="E444" s="361"/>
      <c r="F444" s="361"/>
      <c r="G444" s="360"/>
      <c r="H444" s="360"/>
      <c r="I444" s="360"/>
      <c r="J444" s="360"/>
    </row>
    <row r="445" spans="1:10" s="58" customFormat="1" x14ac:dyDescent="0.2">
      <c r="A445" s="66"/>
      <c r="B445" s="66"/>
      <c r="C445" s="361"/>
      <c r="D445" s="361"/>
      <c r="E445" s="361"/>
      <c r="F445" s="361"/>
      <c r="G445" s="360"/>
      <c r="H445" s="360"/>
      <c r="I445" s="360"/>
      <c r="J445" s="360"/>
    </row>
    <row r="446" spans="1:10" s="58" customFormat="1" x14ac:dyDescent="0.2">
      <c r="A446" s="66"/>
      <c r="B446" s="66"/>
      <c r="C446" s="361"/>
      <c r="D446" s="361"/>
      <c r="E446" s="361"/>
      <c r="F446" s="361"/>
      <c r="G446" s="360"/>
      <c r="H446" s="360"/>
      <c r="I446" s="360"/>
      <c r="J446" s="360"/>
    </row>
    <row r="447" spans="1:10" s="58" customFormat="1" x14ac:dyDescent="0.2">
      <c r="A447" s="66"/>
      <c r="B447" s="66"/>
      <c r="C447" s="361"/>
      <c r="D447" s="361"/>
      <c r="E447" s="361"/>
      <c r="F447" s="361"/>
      <c r="G447" s="360"/>
      <c r="H447" s="360"/>
      <c r="I447" s="360"/>
      <c r="J447" s="360"/>
    </row>
    <row r="448" spans="1:10" s="58" customFormat="1" x14ac:dyDescent="0.2">
      <c r="A448" s="66"/>
      <c r="B448" s="66"/>
      <c r="C448" s="361"/>
      <c r="D448" s="361"/>
      <c r="E448" s="361"/>
      <c r="F448" s="361"/>
      <c r="G448" s="360"/>
      <c r="H448" s="360"/>
      <c r="I448" s="360"/>
      <c r="J448" s="360"/>
    </row>
    <row r="449" spans="1:10" s="58" customFormat="1" x14ac:dyDescent="0.2">
      <c r="A449" s="66"/>
      <c r="B449" s="66"/>
      <c r="C449" s="361"/>
      <c r="D449" s="361"/>
      <c r="E449" s="361"/>
      <c r="F449" s="361"/>
      <c r="G449" s="360"/>
      <c r="H449" s="360"/>
      <c r="I449" s="360"/>
      <c r="J449" s="360"/>
    </row>
    <row r="450" spans="1:10" s="58" customFormat="1" x14ac:dyDescent="0.2">
      <c r="A450" s="66"/>
      <c r="B450" s="66"/>
      <c r="C450" s="361"/>
      <c r="D450" s="361"/>
      <c r="E450" s="361"/>
      <c r="F450" s="361"/>
      <c r="G450" s="360"/>
      <c r="H450" s="360"/>
      <c r="I450" s="360"/>
      <c r="J450" s="360"/>
    </row>
    <row r="451" spans="1:10" s="58" customFormat="1" x14ac:dyDescent="0.2">
      <c r="A451" s="66"/>
      <c r="B451" s="66"/>
      <c r="C451" s="361"/>
      <c r="D451" s="361"/>
      <c r="E451" s="361"/>
      <c r="F451" s="361"/>
      <c r="G451" s="360"/>
      <c r="H451" s="360"/>
      <c r="I451" s="360"/>
      <c r="J451" s="360"/>
    </row>
    <row r="452" spans="1:10" s="58" customFormat="1" x14ac:dyDescent="0.2">
      <c r="A452" s="66"/>
      <c r="B452" s="66"/>
      <c r="C452" s="361"/>
      <c r="D452" s="361"/>
      <c r="E452" s="361"/>
      <c r="F452" s="361"/>
      <c r="G452" s="360"/>
      <c r="H452" s="360"/>
      <c r="I452" s="360"/>
      <c r="J452" s="360"/>
    </row>
    <row r="453" spans="1:10" s="58" customFormat="1" x14ac:dyDescent="0.2">
      <c r="A453" s="66"/>
      <c r="B453" s="66"/>
      <c r="C453" s="361"/>
      <c r="D453" s="361"/>
      <c r="E453" s="361"/>
      <c r="F453" s="361"/>
      <c r="G453" s="360"/>
      <c r="H453" s="360"/>
      <c r="I453" s="360"/>
      <c r="J453" s="360"/>
    </row>
    <row r="454" spans="1:10" s="58" customFormat="1" x14ac:dyDescent="0.2">
      <c r="A454" s="66"/>
      <c r="B454" s="66"/>
      <c r="C454" s="361"/>
      <c r="D454" s="361"/>
      <c r="E454" s="361"/>
      <c r="F454" s="361"/>
      <c r="G454" s="360"/>
      <c r="H454" s="360"/>
      <c r="I454" s="360"/>
      <c r="J454" s="360"/>
    </row>
    <row r="455" spans="1:10" s="58" customFormat="1" x14ac:dyDescent="0.2">
      <c r="A455" s="66"/>
      <c r="B455" s="66"/>
      <c r="C455" s="361"/>
      <c r="D455" s="361"/>
      <c r="E455" s="361"/>
      <c r="F455" s="361"/>
      <c r="G455" s="360"/>
      <c r="H455" s="360"/>
      <c r="I455" s="360"/>
      <c r="J455" s="360"/>
    </row>
    <row r="456" spans="1:10" s="58" customFormat="1" x14ac:dyDescent="0.2">
      <c r="A456" s="66"/>
      <c r="B456" s="66"/>
      <c r="C456" s="361"/>
      <c r="D456" s="361"/>
      <c r="E456" s="361"/>
      <c r="F456" s="361"/>
      <c r="G456" s="360"/>
      <c r="H456" s="360"/>
      <c r="I456" s="360"/>
      <c r="J456" s="360"/>
    </row>
    <row r="457" spans="1:10" s="58" customFormat="1" x14ac:dyDescent="0.2">
      <c r="A457" s="66"/>
      <c r="B457" s="66"/>
      <c r="C457" s="361"/>
      <c r="D457" s="361"/>
      <c r="E457" s="361"/>
      <c r="F457" s="361"/>
      <c r="G457" s="360"/>
      <c r="H457" s="360"/>
      <c r="I457" s="360"/>
      <c r="J457" s="360"/>
    </row>
    <row r="458" spans="1:10" s="58" customFormat="1" x14ac:dyDescent="0.2">
      <c r="A458" s="66"/>
      <c r="B458" s="66"/>
      <c r="C458" s="361"/>
      <c r="D458" s="361"/>
      <c r="E458" s="361"/>
      <c r="F458" s="361"/>
      <c r="G458" s="360"/>
      <c r="H458" s="360"/>
      <c r="I458" s="360"/>
      <c r="J458" s="360"/>
    </row>
    <row r="459" spans="1:10" s="58" customFormat="1" x14ac:dyDescent="0.2">
      <c r="A459" s="66"/>
      <c r="B459" s="66"/>
      <c r="C459" s="361"/>
      <c r="D459" s="361"/>
      <c r="E459" s="361"/>
      <c r="F459" s="361"/>
      <c r="G459" s="360"/>
      <c r="H459" s="360"/>
      <c r="I459" s="360"/>
      <c r="J459" s="360"/>
    </row>
    <row r="460" spans="1:10" s="58" customFormat="1" x14ac:dyDescent="0.2">
      <c r="A460" s="66"/>
      <c r="B460" s="66"/>
      <c r="C460" s="361"/>
      <c r="D460" s="361"/>
      <c r="E460" s="361"/>
      <c r="F460" s="361"/>
      <c r="G460" s="360"/>
      <c r="H460" s="360"/>
      <c r="I460" s="360"/>
      <c r="J460" s="360"/>
    </row>
    <row r="461" spans="1:10" s="58" customFormat="1" x14ac:dyDescent="0.2">
      <c r="A461" s="66"/>
      <c r="B461" s="66"/>
      <c r="C461" s="361"/>
      <c r="D461" s="361"/>
      <c r="E461" s="361"/>
      <c r="F461" s="361"/>
      <c r="G461" s="360"/>
      <c r="H461" s="360"/>
      <c r="I461" s="360"/>
      <c r="J461" s="360"/>
    </row>
    <row r="462" spans="1:10" s="58" customFormat="1" x14ac:dyDescent="0.2">
      <c r="A462" s="66"/>
      <c r="B462" s="66"/>
      <c r="C462" s="361"/>
      <c r="D462" s="361"/>
      <c r="E462" s="361"/>
      <c r="F462" s="361"/>
      <c r="G462" s="360"/>
      <c r="H462" s="360"/>
      <c r="I462" s="360"/>
      <c r="J462" s="360"/>
    </row>
    <row r="463" spans="1:10" s="58" customFormat="1" x14ac:dyDescent="0.2">
      <c r="A463" s="66"/>
      <c r="B463" s="66"/>
      <c r="C463" s="361"/>
      <c r="D463" s="361"/>
      <c r="E463" s="361"/>
      <c r="F463" s="361"/>
      <c r="G463" s="360"/>
      <c r="H463" s="360"/>
      <c r="I463" s="360"/>
      <c r="J463" s="360"/>
    </row>
    <row r="464" spans="1:10" s="58" customFormat="1" x14ac:dyDescent="0.2">
      <c r="A464" s="66"/>
      <c r="B464" s="66"/>
      <c r="C464" s="361"/>
      <c r="D464" s="361"/>
      <c r="E464" s="361"/>
      <c r="F464" s="361"/>
      <c r="G464" s="360"/>
      <c r="H464" s="360"/>
      <c r="I464" s="360"/>
      <c r="J464" s="360"/>
    </row>
    <row r="465" spans="1:10" s="58" customFormat="1" x14ac:dyDescent="0.2">
      <c r="A465" s="66"/>
      <c r="B465" s="66"/>
      <c r="C465" s="361"/>
      <c r="D465" s="361"/>
      <c r="E465" s="361"/>
      <c r="F465" s="361"/>
      <c r="G465" s="360"/>
      <c r="H465" s="360"/>
      <c r="I465" s="360"/>
      <c r="J465" s="360"/>
    </row>
    <row r="466" spans="1:10" s="58" customFormat="1" x14ac:dyDescent="0.2">
      <c r="A466" s="66"/>
      <c r="B466" s="66"/>
      <c r="C466" s="361"/>
      <c r="D466" s="361"/>
      <c r="E466" s="361"/>
      <c r="F466" s="361"/>
      <c r="G466" s="360"/>
      <c r="H466" s="360"/>
      <c r="I466" s="360"/>
      <c r="J466" s="360"/>
    </row>
    <row r="467" spans="1:10" s="58" customFormat="1" x14ac:dyDescent="0.2">
      <c r="A467" s="66"/>
      <c r="B467" s="66"/>
      <c r="C467" s="361"/>
      <c r="D467" s="361"/>
      <c r="E467" s="361"/>
      <c r="F467" s="361"/>
      <c r="G467" s="360"/>
      <c r="H467" s="360"/>
      <c r="I467" s="360"/>
      <c r="J467" s="360"/>
    </row>
    <row r="468" spans="1:10" s="58" customFormat="1" x14ac:dyDescent="0.2">
      <c r="A468" s="66"/>
      <c r="B468" s="66"/>
      <c r="C468" s="361"/>
      <c r="D468" s="361"/>
      <c r="E468" s="361"/>
      <c r="F468" s="361"/>
      <c r="G468" s="360"/>
      <c r="H468" s="360"/>
      <c r="I468" s="360"/>
      <c r="J468" s="360"/>
    </row>
    <row r="469" spans="1:10" s="58" customFormat="1" x14ac:dyDescent="0.2">
      <c r="A469" s="66"/>
      <c r="B469" s="66"/>
      <c r="C469" s="361"/>
      <c r="D469" s="361"/>
      <c r="E469" s="361"/>
      <c r="F469" s="361"/>
      <c r="G469" s="360"/>
      <c r="H469" s="360"/>
      <c r="I469" s="360"/>
      <c r="J469" s="360"/>
    </row>
    <row r="470" spans="1:10" s="58" customFormat="1" x14ac:dyDescent="0.2">
      <c r="A470" s="66"/>
      <c r="B470" s="66"/>
      <c r="C470" s="361"/>
      <c r="D470" s="361"/>
      <c r="E470" s="361"/>
      <c r="F470" s="361"/>
      <c r="G470" s="360"/>
      <c r="H470" s="360"/>
      <c r="I470" s="360"/>
      <c r="J470" s="360"/>
    </row>
    <row r="471" spans="1:10" s="58" customFormat="1" x14ac:dyDescent="0.2">
      <c r="A471" s="66"/>
      <c r="B471" s="66"/>
      <c r="C471" s="361"/>
      <c r="D471" s="361"/>
      <c r="E471" s="361"/>
      <c r="F471" s="361"/>
      <c r="G471" s="360"/>
      <c r="H471" s="360"/>
      <c r="I471" s="360"/>
      <c r="J471" s="360"/>
    </row>
    <row r="472" spans="1:10" s="58" customFormat="1" x14ac:dyDescent="0.2">
      <c r="A472" s="66"/>
      <c r="B472" s="66"/>
      <c r="C472" s="361"/>
      <c r="D472" s="361"/>
      <c r="E472" s="361"/>
      <c r="F472" s="361"/>
      <c r="G472" s="360"/>
      <c r="H472" s="360"/>
      <c r="I472" s="360"/>
      <c r="J472" s="360"/>
    </row>
    <row r="473" spans="1:10" s="58" customFormat="1" x14ac:dyDescent="0.2">
      <c r="A473" s="66"/>
      <c r="B473" s="66"/>
      <c r="C473" s="361"/>
      <c r="D473" s="361"/>
      <c r="E473" s="361"/>
      <c r="F473" s="361"/>
      <c r="G473" s="360"/>
      <c r="H473" s="360"/>
      <c r="I473" s="360"/>
      <c r="J473" s="360"/>
    </row>
    <row r="474" spans="1:10" s="58" customFormat="1" x14ac:dyDescent="0.2">
      <c r="A474" s="66"/>
      <c r="B474" s="66"/>
      <c r="C474" s="361"/>
      <c r="D474" s="361"/>
      <c r="E474" s="361"/>
      <c r="F474" s="361"/>
      <c r="G474" s="360"/>
      <c r="H474" s="360"/>
      <c r="I474" s="360"/>
      <c r="J474" s="360"/>
    </row>
    <row r="475" spans="1:10" s="58" customFormat="1" x14ac:dyDescent="0.2">
      <c r="A475" s="66"/>
      <c r="B475" s="66"/>
      <c r="C475" s="361"/>
      <c r="D475" s="361"/>
      <c r="E475" s="361"/>
      <c r="F475" s="361"/>
      <c r="G475" s="360"/>
      <c r="H475" s="360"/>
      <c r="I475" s="360"/>
      <c r="J475" s="360"/>
    </row>
    <row r="476" spans="1:10" s="58" customFormat="1" x14ac:dyDescent="0.2">
      <c r="A476" s="66"/>
      <c r="B476" s="66"/>
      <c r="C476" s="361"/>
      <c r="D476" s="361"/>
      <c r="E476" s="361"/>
      <c r="F476" s="361"/>
      <c r="G476" s="360"/>
      <c r="H476" s="360"/>
      <c r="I476" s="360"/>
      <c r="J476" s="360"/>
    </row>
    <row r="477" spans="1:10" s="58" customFormat="1" x14ac:dyDescent="0.2">
      <c r="A477" s="66"/>
      <c r="B477" s="66"/>
      <c r="C477" s="361"/>
      <c r="D477" s="361"/>
      <c r="E477" s="361"/>
      <c r="F477" s="361"/>
      <c r="G477" s="360"/>
      <c r="H477" s="360"/>
      <c r="I477" s="360"/>
      <c r="J477" s="360"/>
    </row>
    <row r="478" spans="1:10" s="58" customFormat="1" x14ac:dyDescent="0.2">
      <c r="A478" s="66"/>
      <c r="B478" s="66"/>
      <c r="C478" s="361"/>
      <c r="D478" s="361"/>
      <c r="E478" s="361"/>
      <c r="F478" s="361"/>
      <c r="G478" s="360"/>
      <c r="H478" s="360"/>
      <c r="I478" s="360"/>
      <c r="J478" s="360"/>
    </row>
    <row r="479" spans="1:10" s="58" customFormat="1" x14ac:dyDescent="0.2">
      <c r="A479" s="66"/>
      <c r="B479" s="66"/>
      <c r="C479" s="361"/>
      <c r="D479" s="361"/>
      <c r="E479" s="361"/>
      <c r="F479" s="361"/>
      <c r="G479" s="360"/>
      <c r="H479" s="360"/>
      <c r="I479" s="360"/>
      <c r="J479" s="360"/>
    </row>
    <row r="480" spans="1:10" s="58" customFormat="1" x14ac:dyDescent="0.2">
      <c r="A480" s="66"/>
      <c r="B480" s="66"/>
      <c r="C480" s="361"/>
      <c r="D480" s="361"/>
      <c r="E480" s="361"/>
      <c r="F480" s="361"/>
      <c r="G480" s="360"/>
      <c r="H480" s="360"/>
      <c r="I480" s="360"/>
      <c r="J480" s="360"/>
    </row>
    <row r="481" spans="1:10" s="58" customFormat="1" x14ac:dyDescent="0.2">
      <c r="A481" s="66"/>
      <c r="B481" s="66"/>
      <c r="C481" s="361"/>
      <c r="D481" s="361"/>
      <c r="E481" s="361"/>
      <c r="F481" s="361"/>
      <c r="G481" s="360"/>
      <c r="H481" s="360"/>
      <c r="I481" s="360"/>
      <c r="J481" s="360"/>
    </row>
    <row r="482" spans="1:10" s="58" customFormat="1" x14ac:dyDescent="0.2">
      <c r="A482" s="66"/>
      <c r="B482" s="66"/>
      <c r="C482" s="361"/>
      <c r="D482" s="361"/>
      <c r="E482" s="361"/>
      <c r="F482" s="361"/>
      <c r="G482" s="360"/>
      <c r="H482" s="360"/>
      <c r="I482" s="360"/>
      <c r="J482" s="360"/>
    </row>
    <row r="483" spans="1:10" s="58" customFormat="1" x14ac:dyDescent="0.2">
      <c r="A483" s="66"/>
      <c r="B483" s="66"/>
      <c r="C483" s="361"/>
      <c r="D483" s="361"/>
      <c r="E483" s="361"/>
      <c r="F483" s="361"/>
      <c r="G483" s="360"/>
      <c r="H483" s="360"/>
      <c r="I483" s="360"/>
      <c r="J483" s="360"/>
    </row>
    <row r="484" spans="1:10" s="58" customFormat="1" x14ac:dyDescent="0.2">
      <c r="A484" s="66"/>
      <c r="B484" s="66"/>
      <c r="C484" s="361"/>
      <c r="D484" s="361"/>
      <c r="E484" s="361"/>
      <c r="F484" s="361"/>
      <c r="G484" s="360"/>
      <c r="H484" s="360"/>
      <c r="I484" s="360"/>
      <c r="J484" s="360"/>
    </row>
    <row r="485" spans="1:10" s="58" customFormat="1" x14ac:dyDescent="0.2">
      <c r="A485" s="66"/>
      <c r="B485" s="66"/>
      <c r="C485" s="361"/>
      <c r="D485" s="361"/>
      <c r="E485" s="361"/>
      <c r="F485" s="361"/>
      <c r="G485" s="360"/>
      <c r="H485" s="360"/>
      <c r="I485" s="360"/>
      <c r="J485" s="360"/>
    </row>
    <row r="486" spans="1:10" s="58" customFormat="1" x14ac:dyDescent="0.2">
      <c r="A486" s="66"/>
      <c r="B486" s="66"/>
      <c r="C486" s="361"/>
      <c r="D486" s="361"/>
      <c r="E486" s="361"/>
      <c r="F486" s="361"/>
      <c r="G486" s="360"/>
      <c r="H486" s="360"/>
      <c r="I486" s="360"/>
      <c r="J486" s="360"/>
    </row>
    <row r="487" spans="1:10" s="58" customFormat="1" x14ac:dyDescent="0.2">
      <c r="A487" s="66"/>
      <c r="B487" s="66"/>
      <c r="C487" s="361"/>
      <c r="D487" s="361"/>
      <c r="E487" s="361"/>
      <c r="F487" s="361"/>
      <c r="G487" s="360"/>
      <c r="H487" s="360"/>
      <c r="I487" s="360"/>
      <c r="J487" s="360"/>
    </row>
    <row r="488" spans="1:10" s="58" customFormat="1" x14ac:dyDescent="0.2">
      <c r="A488" s="66"/>
      <c r="B488" s="66"/>
      <c r="C488" s="361"/>
      <c r="D488" s="361"/>
      <c r="E488" s="361"/>
      <c r="F488" s="361"/>
      <c r="G488" s="360"/>
      <c r="H488" s="360"/>
      <c r="I488" s="360"/>
      <c r="J488" s="360"/>
    </row>
    <row r="489" spans="1:10" s="58" customFormat="1" x14ac:dyDescent="0.2">
      <c r="A489" s="66"/>
      <c r="B489" s="66"/>
      <c r="C489" s="361"/>
      <c r="D489" s="361"/>
      <c r="E489" s="361"/>
      <c r="F489" s="361"/>
      <c r="G489" s="360"/>
      <c r="H489" s="360"/>
      <c r="I489" s="360"/>
      <c r="J489" s="360"/>
    </row>
    <row r="490" spans="1:10" s="58" customFormat="1" x14ac:dyDescent="0.2">
      <c r="A490" s="66"/>
      <c r="B490" s="66"/>
      <c r="C490" s="361"/>
      <c r="D490" s="361"/>
      <c r="E490" s="361"/>
      <c r="F490" s="361"/>
      <c r="G490" s="360"/>
      <c r="H490" s="360"/>
      <c r="I490" s="360"/>
      <c r="J490" s="360"/>
    </row>
    <row r="491" spans="1:10" s="58" customFormat="1" x14ac:dyDescent="0.2">
      <c r="A491" s="66"/>
      <c r="B491" s="66"/>
      <c r="C491" s="361"/>
      <c r="D491" s="361"/>
      <c r="E491" s="361"/>
      <c r="F491" s="361"/>
      <c r="G491" s="360"/>
      <c r="H491" s="360"/>
      <c r="I491" s="360"/>
      <c r="J491" s="360"/>
    </row>
    <row r="492" spans="1:10" s="58" customFormat="1" x14ac:dyDescent="0.2">
      <c r="A492" s="66"/>
      <c r="B492" s="66"/>
      <c r="C492" s="361"/>
      <c r="D492" s="361"/>
      <c r="E492" s="361"/>
      <c r="F492" s="361"/>
      <c r="G492" s="360"/>
      <c r="H492" s="360"/>
      <c r="I492" s="360"/>
      <c r="J492" s="360"/>
    </row>
    <row r="493" spans="1:10" s="58" customFormat="1" x14ac:dyDescent="0.2">
      <c r="A493" s="66"/>
      <c r="B493" s="66"/>
      <c r="C493" s="361"/>
      <c r="D493" s="361"/>
      <c r="E493" s="361"/>
      <c r="F493" s="361"/>
      <c r="G493" s="360"/>
      <c r="H493" s="360"/>
      <c r="I493" s="360"/>
      <c r="J493" s="360"/>
    </row>
    <row r="494" spans="1:10" s="58" customFormat="1" x14ac:dyDescent="0.2">
      <c r="A494" s="66"/>
      <c r="B494" s="66"/>
      <c r="C494" s="361"/>
      <c r="D494" s="361"/>
      <c r="E494" s="361"/>
      <c r="F494" s="361"/>
      <c r="G494" s="360"/>
      <c r="H494" s="360"/>
      <c r="I494" s="360"/>
      <c r="J494" s="360"/>
    </row>
    <row r="495" spans="1:10" s="58" customFormat="1" x14ac:dyDescent="0.2">
      <c r="A495" s="66"/>
      <c r="B495" s="66"/>
      <c r="C495" s="361"/>
      <c r="D495" s="361"/>
      <c r="E495" s="361"/>
      <c r="F495" s="361"/>
      <c r="G495" s="360"/>
      <c r="H495" s="360"/>
      <c r="I495" s="360"/>
      <c r="J495" s="360"/>
    </row>
    <row r="496" spans="1:10" s="58" customFormat="1" x14ac:dyDescent="0.2">
      <c r="A496" s="66"/>
      <c r="B496" s="66"/>
      <c r="C496" s="361"/>
      <c r="D496" s="361"/>
      <c r="E496" s="361"/>
      <c r="F496" s="361"/>
      <c r="G496" s="360"/>
      <c r="H496" s="360"/>
      <c r="I496" s="360"/>
      <c r="J496" s="360"/>
    </row>
    <row r="497" spans="1:10" s="58" customFormat="1" x14ac:dyDescent="0.2">
      <c r="A497" s="66"/>
      <c r="B497" s="66"/>
      <c r="C497" s="361"/>
      <c r="D497" s="361"/>
      <c r="E497" s="361"/>
      <c r="F497" s="361"/>
      <c r="G497" s="360"/>
      <c r="H497" s="360"/>
      <c r="I497" s="360"/>
      <c r="J497" s="360"/>
    </row>
    <row r="498" spans="1:10" s="58" customFormat="1" x14ac:dyDescent="0.2">
      <c r="A498" s="66"/>
      <c r="B498" s="66"/>
      <c r="C498" s="361"/>
      <c r="D498" s="361"/>
      <c r="E498" s="361"/>
      <c r="F498" s="361"/>
      <c r="G498" s="360"/>
      <c r="H498" s="360"/>
      <c r="I498" s="360"/>
      <c r="J498" s="360"/>
    </row>
    <row r="499" spans="1:10" s="58" customFormat="1" x14ac:dyDescent="0.2">
      <c r="A499" s="66"/>
      <c r="B499" s="66"/>
      <c r="C499" s="361"/>
      <c r="D499" s="361"/>
      <c r="E499" s="361"/>
      <c r="F499" s="361"/>
      <c r="G499" s="360"/>
      <c r="H499" s="360"/>
      <c r="I499" s="360"/>
      <c r="J499" s="360"/>
    </row>
    <row r="500" spans="1:10" s="58" customFormat="1" x14ac:dyDescent="0.2">
      <c r="A500" s="66"/>
      <c r="B500" s="66"/>
      <c r="C500" s="361"/>
      <c r="D500" s="361"/>
      <c r="E500" s="361"/>
      <c r="F500" s="361"/>
      <c r="G500" s="360"/>
      <c r="H500" s="360"/>
      <c r="I500" s="360"/>
      <c r="J500" s="360"/>
    </row>
    <row r="501" spans="1:10" s="58" customFormat="1" x14ac:dyDescent="0.2">
      <c r="A501" s="66"/>
      <c r="B501" s="66"/>
      <c r="C501" s="361"/>
      <c r="D501" s="361"/>
      <c r="E501" s="361"/>
      <c r="F501" s="361"/>
      <c r="G501" s="360"/>
      <c r="H501" s="360"/>
      <c r="I501" s="360"/>
      <c r="J501" s="360"/>
    </row>
    <row r="502" spans="1:10" s="58" customFormat="1" x14ac:dyDescent="0.2">
      <c r="A502" s="66"/>
      <c r="B502" s="66"/>
      <c r="C502" s="361"/>
      <c r="D502" s="361"/>
      <c r="E502" s="361"/>
      <c r="F502" s="361"/>
      <c r="G502" s="360"/>
      <c r="H502" s="360"/>
      <c r="I502" s="360"/>
      <c r="J502" s="360"/>
    </row>
    <row r="503" spans="1:10" s="58" customFormat="1" x14ac:dyDescent="0.2">
      <c r="A503" s="66"/>
      <c r="B503" s="66"/>
      <c r="C503" s="361"/>
      <c r="D503" s="361"/>
      <c r="E503" s="361"/>
      <c r="F503" s="361"/>
      <c r="G503" s="360"/>
      <c r="H503" s="360"/>
      <c r="I503" s="360"/>
      <c r="J503" s="360"/>
    </row>
    <row r="504" spans="1:10" s="58" customFormat="1" x14ac:dyDescent="0.2">
      <c r="A504" s="66"/>
      <c r="B504" s="66"/>
      <c r="C504" s="361"/>
      <c r="D504" s="361"/>
      <c r="E504" s="361"/>
      <c r="F504" s="361"/>
      <c r="G504" s="360"/>
      <c r="H504" s="360"/>
      <c r="I504" s="360"/>
      <c r="J504" s="360"/>
    </row>
    <row r="505" spans="1:10" s="58" customFormat="1" x14ac:dyDescent="0.2">
      <c r="A505" s="66"/>
      <c r="B505" s="66"/>
      <c r="C505" s="361"/>
      <c r="D505" s="361"/>
      <c r="E505" s="361"/>
      <c r="F505" s="361"/>
      <c r="G505" s="360"/>
      <c r="H505" s="360"/>
      <c r="I505" s="360"/>
      <c r="J505" s="360"/>
    </row>
    <row r="506" spans="1:10" s="58" customFormat="1" x14ac:dyDescent="0.2">
      <c r="A506" s="66"/>
      <c r="B506" s="66"/>
      <c r="C506" s="361"/>
      <c r="D506" s="361"/>
      <c r="E506" s="361"/>
      <c r="F506" s="361"/>
      <c r="G506" s="360"/>
      <c r="H506" s="360"/>
      <c r="I506" s="360"/>
      <c r="J506" s="360"/>
    </row>
    <row r="507" spans="1:10" s="58" customFormat="1" x14ac:dyDescent="0.2">
      <c r="A507" s="66"/>
      <c r="B507" s="66"/>
      <c r="C507" s="361"/>
      <c r="D507" s="361"/>
      <c r="E507" s="361"/>
      <c r="F507" s="361"/>
      <c r="G507" s="360"/>
      <c r="H507" s="360"/>
      <c r="I507" s="360"/>
      <c r="J507" s="360"/>
    </row>
    <row r="508" spans="1:10" s="58" customFormat="1" x14ac:dyDescent="0.2">
      <c r="A508" s="66"/>
      <c r="B508" s="66"/>
      <c r="C508" s="361"/>
      <c r="D508" s="361"/>
      <c r="E508" s="361"/>
      <c r="F508" s="361"/>
      <c r="G508" s="360"/>
      <c r="H508" s="360"/>
      <c r="I508" s="360"/>
      <c r="J508" s="360"/>
    </row>
    <row r="509" spans="1:10" s="58" customFormat="1" x14ac:dyDescent="0.2">
      <c r="A509" s="66"/>
      <c r="B509" s="66"/>
      <c r="C509" s="361"/>
      <c r="D509" s="361"/>
      <c r="E509" s="361"/>
      <c r="F509" s="361"/>
      <c r="G509" s="360"/>
      <c r="H509" s="360"/>
      <c r="I509" s="360"/>
      <c r="J509" s="360"/>
    </row>
    <row r="510" spans="1:10" s="58" customFormat="1" x14ac:dyDescent="0.2">
      <c r="A510" s="66"/>
      <c r="B510" s="66"/>
      <c r="C510" s="361"/>
      <c r="D510" s="361"/>
      <c r="E510" s="361"/>
      <c r="F510" s="361"/>
      <c r="G510" s="360"/>
      <c r="H510" s="360"/>
      <c r="I510" s="360"/>
      <c r="J510" s="360"/>
    </row>
    <row r="511" spans="1:10" s="58" customFormat="1" x14ac:dyDescent="0.2">
      <c r="A511" s="66"/>
      <c r="B511" s="66"/>
      <c r="C511" s="361"/>
      <c r="D511" s="361"/>
      <c r="E511" s="361"/>
      <c r="F511" s="361"/>
      <c r="G511" s="360"/>
      <c r="H511" s="360"/>
      <c r="I511" s="360"/>
      <c r="J511" s="360"/>
    </row>
    <row r="512" spans="1:10" s="58" customFormat="1" x14ac:dyDescent="0.2">
      <c r="A512" s="66"/>
      <c r="B512" s="66"/>
      <c r="C512" s="361"/>
      <c r="D512" s="361"/>
      <c r="E512" s="361"/>
      <c r="F512" s="361"/>
      <c r="G512" s="360"/>
      <c r="H512" s="360"/>
      <c r="I512" s="360"/>
      <c r="J512" s="360"/>
    </row>
    <row r="513" spans="1:10" s="58" customFormat="1" x14ac:dyDescent="0.2">
      <c r="A513" s="66"/>
      <c r="B513" s="66"/>
      <c r="C513" s="361"/>
      <c r="D513" s="361"/>
      <c r="E513" s="361"/>
      <c r="F513" s="361"/>
      <c r="G513" s="360"/>
      <c r="H513" s="360"/>
      <c r="I513" s="360"/>
      <c r="J513" s="360"/>
    </row>
    <row r="514" spans="1:10" s="58" customFormat="1" x14ac:dyDescent="0.2">
      <c r="A514" s="66"/>
      <c r="B514" s="66"/>
      <c r="C514" s="361"/>
      <c r="D514" s="361"/>
      <c r="E514" s="361"/>
      <c r="F514" s="361"/>
      <c r="G514" s="360"/>
      <c r="H514" s="360"/>
      <c r="I514" s="360"/>
      <c r="J514" s="360"/>
    </row>
    <row r="515" spans="1:10" s="58" customFormat="1" x14ac:dyDescent="0.2">
      <c r="A515" s="66"/>
      <c r="B515" s="66"/>
      <c r="C515" s="361"/>
      <c r="D515" s="361"/>
      <c r="E515" s="361"/>
      <c r="F515" s="361"/>
      <c r="G515" s="360"/>
      <c r="H515" s="360"/>
      <c r="I515" s="360"/>
      <c r="J515" s="360"/>
    </row>
    <row r="516" spans="1:10" s="58" customFormat="1" x14ac:dyDescent="0.2">
      <c r="A516" s="66"/>
      <c r="B516" s="66"/>
      <c r="C516" s="361"/>
      <c r="D516" s="361"/>
      <c r="E516" s="361"/>
      <c r="F516" s="361"/>
      <c r="G516" s="360"/>
      <c r="H516" s="360"/>
      <c r="I516" s="360"/>
      <c r="J516" s="360"/>
    </row>
    <row r="517" spans="1:10" s="58" customFormat="1" x14ac:dyDescent="0.2">
      <c r="A517" s="66"/>
      <c r="B517" s="66"/>
      <c r="C517" s="361"/>
      <c r="D517" s="361"/>
      <c r="E517" s="361"/>
      <c r="F517" s="361"/>
      <c r="G517" s="360"/>
      <c r="H517" s="360"/>
      <c r="I517" s="360"/>
      <c r="J517" s="360"/>
    </row>
    <row r="518" spans="1:10" s="58" customFormat="1" x14ac:dyDescent="0.2">
      <c r="A518" s="66"/>
      <c r="B518" s="66"/>
      <c r="C518" s="361"/>
      <c r="D518" s="361"/>
      <c r="E518" s="361"/>
      <c r="F518" s="361"/>
      <c r="G518" s="360"/>
      <c r="H518" s="360"/>
      <c r="I518" s="360"/>
      <c r="J518" s="360"/>
    </row>
    <row r="519" spans="1:10" s="58" customFormat="1" x14ac:dyDescent="0.2">
      <c r="A519" s="66"/>
      <c r="B519" s="66"/>
      <c r="C519" s="361"/>
      <c r="D519" s="361"/>
      <c r="E519" s="361"/>
      <c r="F519" s="361"/>
      <c r="G519" s="360"/>
      <c r="H519" s="360"/>
      <c r="I519" s="360"/>
      <c r="J519" s="360"/>
    </row>
    <row r="520" spans="1:10" s="58" customFormat="1" x14ac:dyDescent="0.2">
      <c r="A520" s="66"/>
      <c r="B520" s="66"/>
      <c r="C520" s="361"/>
      <c r="D520" s="361"/>
      <c r="E520" s="361"/>
      <c r="F520" s="361"/>
      <c r="G520" s="360"/>
      <c r="H520" s="360"/>
      <c r="I520" s="360"/>
      <c r="J520" s="360"/>
    </row>
    <row r="521" spans="1:10" s="58" customFormat="1" x14ac:dyDescent="0.2">
      <c r="A521" s="66"/>
      <c r="B521" s="66"/>
      <c r="C521" s="361"/>
      <c r="D521" s="361"/>
      <c r="E521" s="361"/>
      <c r="F521" s="361"/>
      <c r="G521" s="360"/>
      <c r="H521" s="360"/>
      <c r="I521" s="360"/>
      <c r="J521" s="360"/>
    </row>
    <row r="522" spans="1:10" s="58" customFormat="1" x14ac:dyDescent="0.2">
      <c r="A522" s="66"/>
      <c r="B522" s="66"/>
      <c r="C522" s="361"/>
      <c r="D522" s="361"/>
      <c r="E522" s="361"/>
      <c r="F522" s="361"/>
      <c r="G522" s="360"/>
      <c r="H522" s="360"/>
      <c r="I522" s="360"/>
      <c r="J522" s="360"/>
    </row>
    <row r="523" spans="1:10" s="58" customFormat="1" x14ac:dyDescent="0.2">
      <c r="A523" s="66"/>
      <c r="B523" s="66"/>
      <c r="C523" s="361"/>
      <c r="D523" s="361"/>
      <c r="E523" s="361"/>
      <c r="F523" s="361"/>
      <c r="G523" s="360"/>
      <c r="H523" s="360"/>
      <c r="I523" s="360"/>
      <c r="J523" s="360"/>
    </row>
    <row r="524" spans="1:10" s="58" customFormat="1" x14ac:dyDescent="0.2">
      <c r="A524" s="66"/>
      <c r="B524" s="66"/>
      <c r="C524" s="361"/>
      <c r="D524" s="361"/>
      <c r="E524" s="361"/>
      <c r="F524" s="361"/>
      <c r="G524" s="360"/>
      <c r="H524" s="360"/>
      <c r="I524" s="360"/>
      <c r="J524" s="360"/>
    </row>
    <row r="525" spans="1:10" s="58" customFormat="1" x14ac:dyDescent="0.2">
      <c r="A525" s="66"/>
      <c r="B525" s="66"/>
      <c r="C525" s="361"/>
      <c r="D525" s="361"/>
      <c r="E525" s="361"/>
      <c r="F525" s="361"/>
      <c r="G525" s="360"/>
      <c r="H525" s="360"/>
      <c r="I525" s="360"/>
      <c r="J525" s="360"/>
    </row>
    <row r="526" spans="1:10" s="58" customFormat="1" x14ac:dyDescent="0.2">
      <c r="A526" s="66"/>
      <c r="B526" s="66"/>
      <c r="C526" s="361"/>
      <c r="D526" s="361"/>
      <c r="E526" s="361"/>
      <c r="F526" s="361"/>
      <c r="G526" s="360"/>
      <c r="H526" s="360"/>
      <c r="I526" s="360"/>
      <c r="J526" s="360"/>
    </row>
    <row r="527" spans="1:10" s="58" customFormat="1" x14ac:dyDescent="0.2">
      <c r="A527" s="66"/>
      <c r="B527" s="66"/>
      <c r="C527" s="361"/>
      <c r="D527" s="361"/>
      <c r="E527" s="361"/>
      <c r="F527" s="361"/>
      <c r="G527" s="360"/>
      <c r="H527" s="360"/>
      <c r="I527" s="360"/>
      <c r="J527" s="360"/>
    </row>
    <row r="528" spans="1:10" s="58" customFormat="1" x14ac:dyDescent="0.2">
      <c r="A528" s="66"/>
      <c r="B528" s="66"/>
      <c r="C528" s="361"/>
      <c r="D528" s="361"/>
      <c r="E528" s="361"/>
      <c r="F528" s="361"/>
      <c r="G528" s="360"/>
      <c r="H528" s="360"/>
      <c r="I528" s="360"/>
      <c r="J528" s="360"/>
    </row>
    <row r="529" spans="1:10" s="58" customFormat="1" x14ac:dyDescent="0.2">
      <c r="A529" s="66"/>
      <c r="B529" s="66"/>
      <c r="C529" s="361"/>
      <c r="D529" s="361"/>
      <c r="E529" s="361"/>
      <c r="F529" s="361"/>
      <c r="G529" s="360"/>
      <c r="H529" s="360"/>
      <c r="I529" s="360"/>
      <c r="J529" s="360"/>
    </row>
    <row r="530" spans="1:10" s="58" customFormat="1" x14ac:dyDescent="0.2">
      <c r="A530" s="66"/>
      <c r="B530" s="66"/>
      <c r="C530" s="361"/>
      <c r="D530" s="361"/>
      <c r="E530" s="361"/>
      <c r="F530" s="361"/>
      <c r="G530" s="360"/>
      <c r="H530" s="360"/>
      <c r="I530" s="360"/>
      <c r="J530" s="360"/>
    </row>
    <row r="531" spans="1:10" s="58" customFormat="1" x14ac:dyDescent="0.2">
      <c r="A531" s="66"/>
      <c r="B531" s="66"/>
      <c r="C531" s="361"/>
      <c r="D531" s="361"/>
      <c r="E531" s="361"/>
      <c r="F531" s="361"/>
      <c r="G531" s="360"/>
      <c r="H531" s="360"/>
      <c r="I531" s="360"/>
      <c r="J531" s="360"/>
    </row>
    <row r="532" spans="1:10" s="58" customFormat="1" x14ac:dyDescent="0.2">
      <c r="A532" s="66"/>
      <c r="B532" s="66"/>
      <c r="C532" s="361"/>
      <c r="D532" s="361"/>
      <c r="E532" s="361"/>
      <c r="F532" s="361"/>
      <c r="G532" s="360"/>
      <c r="H532" s="360"/>
      <c r="I532" s="360"/>
      <c r="J532" s="360"/>
    </row>
    <row r="533" spans="1:10" s="58" customFormat="1" x14ac:dyDescent="0.2">
      <c r="A533" s="66"/>
      <c r="B533" s="66"/>
      <c r="C533" s="361"/>
      <c r="D533" s="361"/>
      <c r="E533" s="361"/>
      <c r="F533" s="361"/>
      <c r="G533" s="360"/>
      <c r="H533" s="360"/>
      <c r="I533" s="360"/>
      <c r="J533" s="360"/>
    </row>
    <row r="534" spans="1:10" s="58" customFormat="1" x14ac:dyDescent="0.2">
      <c r="A534" s="66"/>
      <c r="B534" s="66"/>
      <c r="C534" s="361"/>
      <c r="D534" s="361"/>
      <c r="E534" s="361"/>
      <c r="F534" s="361"/>
      <c r="G534" s="360"/>
      <c r="H534" s="360"/>
      <c r="I534" s="360"/>
      <c r="J534" s="360"/>
    </row>
    <row r="535" spans="1:10" s="58" customFormat="1" x14ac:dyDescent="0.2">
      <c r="A535" s="66"/>
      <c r="B535" s="66"/>
      <c r="C535" s="361"/>
      <c r="D535" s="361"/>
      <c r="E535" s="361"/>
      <c r="F535" s="361"/>
      <c r="G535" s="360"/>
      <c r="H535" s="360"/>
      <c r="I535" s="360"/>
      <c r="J535" s="360"/>
    </row>
    <row r="536" spans="1:10" s="58" customFormat="1" x14ac:dyDescent="0.2">
      <c r="A536" s="66"/>
      <c r="B536" s="66"/>
      <c r="C536" s="361"/>
      <c r="D536" s="361"/>
      <c r="E536" s="361"/>
      <c r="F536" s="361"/>
      <c r="G536" s="360"/>
      <c r="H536" s="360"/>
      <c r="I536" s="360"/>
      <c r="J536" s="360"/>
    </row>
    <row r="537" spans="1:10" s="58" customFormat="1" x14ac:dyDescent="0.2">
      <c r="A537" s="66"/>
      <c r="B537" s="66"/>
      <c r="C537" s="361"/>
      <c r="D537" s="361"/>
      <c r="E537" s="361"/>
      <c r="F537" s="361"/>
      <c r="G537" s="360"/>
      <c r="H537" s="360"/>
      <c r="I537" s="360"/>
      <c r="J537" s="360"/>
    </row>
    <row r="538" spans="1:10" s="58" customFormat="1" x14ac:dyDescent="0.2">
      <c r="A538" s="66"/>
      <c r="B538" s="66"/>
      <c r="C538" s="361"/>
      <c r="D538" s="361"/>
      <c r="E538" s="361"/>
      <c r="F538" s="361"/>
      <c r="G538" s="360"/>
      <c r="H538" s="360"/>
      <c r="I538" s="360"/>
      <c r="J538" s="360"/>
    </row>
    <row r="539" spans="1:10" s="58" customFormat="1" x14ac:dyDescent="0.2">
      <c r="A539" s="66"/>
      <c r="B539" s="66"/>
      <c r="C539" s="361"/>
      <c r="D539" s="361"/>
      <c r="E539" s="361"/>
      <c r="F539" s="361"/>
      <c r="G539" s="360"/>
      <c r="H539" s="360"/>
      <c r="I539" s="360"/>
      <c r="J539" s="360"/>
    </row>
    <row r="540" spans="1:10" s="58" customFormat="1" x14ac:dyDescent="0.2">
      <c r="A540" s="66"/>
      <c r="B540" s="66"/>
      <c r="C540" s="361"/>
      <c r="D540" s="361"/>
      <c r="E540" s="361"/>
      <c r="F540" s="361"/>
      <c r="G540" s="360"/>
      <c r="H540" s="360"/>
      <c r="I540" s="360"/>
      <c r="J540" s="360"/>
    </row>
    <row r="541" spans="1:10" s="58" customFormat="1" x14ac:dyDescent="0.2">
      <c r="A541" s="66"/>
      <c r="B541" s="66"/>
      <c r="C541" s="361"/>
      <c r="D541" s="361"/>
      <c r="E541" s="361"/>
      <c r="F541" s="361"/>
      <c r="G541" s="360"/>
      <c r="H541" s="360"/>
      <c r="I541" s="360"/>
      <c r="J541" s="360"/>
    </row>
    <row r="542" spans="1:10" s="58" customFormat="1" x14ac:dyDescent="0.2">
      <c r="A542" s="66"/>
      <c r="B542" s="66"/>
      <c r="C542" s="361"/>
      <c r="D542" s="361"/>
      <c r="E542" s="361"/>
      <c r="F542" s="361"/>
      <c r="G542" s="360"/>
      <c r="H542" s="360"/>
      <c r="I542" s="360"/>
      <c r="J542" s="360"/>
    </row>
    <row r="543" spans="1:10" s="58" customFormat="1" x14ac:dyDescent="0.2">
      <c r="A543" s="66"/>
      <c r="B543" s="66"/>
      <c r="C543" s="361"/>
      <c r="D543" s="361"/>
      <c r="E543" s="361"/>
      <c r="F543" s="361"/>
      <c r="G543" s="360"/>
      <c r="H543" s="360"/>
      <c r="I543" s="360"/>
      <c r="J543" s="360"/>
    </row>
    <row r="544" spans="1:10" s="58" customFormat="1" x14ac:dyDescent="0.2">
      <c r="A544" s="66"/>
      <c r="B544" s="66"/>
      <c r="C544" s="361"/>
      <c r="D544" s="361"/>
      <c r="E544" s="361"/>
      <c r="F544" s="361"/>
      <c r="G544" s="360"/>
      <c r="H544" s="360"/>
      <c r="I544" s="360"/>
      <c r="J544" s="360"/>
    </row>
    <row r="545" spans="1:10" s="58" customFormat="1" x14ac:dyDescent="0.2">
      <c r="A545" s="66"/>
      <c r="B545" s="66"/>
      <c r="C545" s="361"/>
      <c r="D545" s="361"/>
      <c r="E545" s="361"/>
      <c r="F545" s="361"/>
      <c r="G545" s="360"/>
      <c r="H545" s="360"/>
      <c r="I545" s="360"/>
      <c r="J545" s="360"/>
    </row>
    <row r="546" spans="1:10" s="58" customFormat="1" x14ac:dyDescent="0.2">
      <c r="A546" s="66"/>
      <c r="B546" s="66"/>
      <c r="C546" s="361"/>
      <c r="D546" s="361"/>
      <c r="E546" s="361"/>
      <c r="F546" s="361"/>
      <c r="G546" s="360"/>
      <c r="H546" s="360"/>
      <c r="I546" s="360"/>
      <c r="J546" s="360"/>
    </row>
    <row r="547" spans="1:10" s="58" customFormat="1" x14ac:dyDescent="0.2">
      <c r="A547" s="66"/>
      <c r="B547" s="66"/>
      <c r="C547" s="361"/>
      <c r="D547" s="361"/>
      <c r="E547" s="361"/>
      <c r="F547" s="361"/>
      <c r="G547" s="360"/>
      <c r="H547" s="360"/>
      <c r="I547" s="360"/>
      <c r="J547" s="360"/>
    </row>
    <row r="548" spans="1:10" s="58" customFormat="1" x14ac:dyDescent="0.2">
      <c r="A548" s="66"/>
      <c r="B548" s="66"/>
      <c r="C548" s="361"/>
      <c r="D548" s="361"/>
      <c r="E548" s="361"/>
      <c r="F548" s="361"/>
      <c r="G548" s="360"/>
      <c r="H548" s="360"/>
      <c r="I548" s="360"/>
      <c r="J548" s="360"/>
    </row>
    <row r="549" spans="1:10" s="58" customFormat="1" x14ac:dyDescent="0.2">
      <c r="A549" s="66"/>
      <c r="B549" s="66"/>
      <c r="C549" s="361"/>
      <c r="D549" s="361"/>
      <c r="E549" s="361"/>
      <c r="F549" s="361"/>
      <c r="G549" s="360"/>
      <c r="H549" s="360"/>
      <c r="I549" s="360"/>
      <c r="J549" s="360"/>
    </row>
    <row r="550" spans="1:10" s="58" customFormat="1" x14ac:dyDescent="0.2">
      <c r="A550" s="66"/>
      <c r="B550" s="66"/>
      <c r="C550" s="361"/>
      <c r="D550" s="361"/>
      <c r="E550" s="361"/>
      <c r="F550" s="361"/>
      <c r="G550" s="360"/>
      <c r="H550" s="360"/>
      <c r="I550" s="360"/>
      <c r="J550" s="360"/>
    </row>
    <row r="551" spans="1:10" s="58" customFormat="1" x14ac:dyDescent="0.2">
      <c r="A551" s="66"/>
      <c r="B551" s="66"/>
      <c r="C551" s="361"/>
      <c r="D551" s="361"/>
      <c r="E551" s="361"/>
      <c r="F551" s="361"/>
      <c r="G551" s="360"/>
      <c r="H551" s="360"/>
      <c r="I551" s="360"/>
      <c r="J551" s="360"/>
    </row>
    <row r="552" spans="1:10" s="58" customFormat="1" x14ac:dyDescent="0.2">
      <c r="A552" s="66"/>
      <c r="B552" s="66"/>
      <c r="C552" s="361"/>
      <c r="D552" s="361"/>
      <c r="E552" s="361"/>
      <c r="F552" s="361"/>
      <c r="G552" s="360"/>
      <c r="H552" s="360"/>
      <c r="I552" s="360"/>
      <c r="J552" s="360"/>
    </row>
    <row r="553" spans="1:10" s="58" customFormat="1" x14ac:dyDescent="0.2">
      <c r="A553" s="66"/>
      <c r="B553" s="66"/>
      <c r="C553" s="361"/>
      <c r="D553" s="361"/>
      <c r="E553" s="361"/>
      <c r="F553" s="361"/>
      <c r="G553" s="360"/>
      <c r="H553" s="360"/>
      <c r="I553" s="360"/>
      <c r="J553" s="360"/>
    </row>
    <row r="554" spans="1:10" s="58" customFormat="1" x14ac:dyDescent="0.2">
      <c r="A554" s="66"/>
      <c r="B554" s="66"/>
      <c r="C554" s="361"/>
      <c r="D554" s="361"/>
      <c r="E554" s="361"/>
      <c r="F554" s="361"/>
      <c r="G554" s="360"/>
      <c r="H554" s="360"/>
      <c r="I554" s="360"/>
      <c r="J554" s="360"/>
    </row>
    <row r="555" spans="1:10" s="58" customFormat="1" x14ac:dyDescent="0.2">
      <c r="A555" s="66"/>
      <c r="B555" s="66"/>
      <c r="C555" s="361"/>
      <c r="D555" s="361"/>
      <c r="E555" s="361"/>
      <c r="F555" s="361"/>
      <c r="G555" s="360"/>
      <c r="H555" s="360"/>
      <c r="I555" s="360"/>
      <c r="J555" s="360"/>
    </row>
    <row r="556" spans="1:10" s="58" customFormat="1" x14ac:dyDescent="0.2">
      <c r="A556" s="66"/>
      <c r="B556" s="66"/>
      <c r="C556" s="361"/>
      <c r="D556" s="361"/>
      <c r="E556" s="361"/>
      <c r="F556" s="361"/>
      <c r="G556" s="360"/>
      <c r="H556" s="360"/>
      <c r="I556" s="360"/>
      <c r="J556" s="360"/>
    </row>
    <row r="557" spans="1:10" s="58" customFormat="1" x14ac:dyDescent="0.2">
      <c r="A557" s="66"/>
      <c r="B557" s="66"/>
      <c r="C557" s="361"/>
      <c r="D557" s="361"/>
      <c r="E557" s="361"/>
      <c r="F557" s="361"/>
      <c r="G557" s="360"/>
      <c r="H557" s="360"/>
      <c r="I557" s="360"/>
      <c r="J557" s="360"/>
    </row>
    <row r="558" spans="1:10" s="58" customFormat="1" x14ac:dyDescent="0.2">
      <c r="A558" s="66"/>
      <c r="B558" s="66"/>
      <c r="C558" s="361"/>
      <c r="D558" s="361"/>
      <c r="E558" s="361"/>
      <c r="F558" s="361"/>
      <c r="G558" s="360"/>
      <c r="H558" s="360"/>
      <c r="I558" s="360"/>
      <c r="J558" s="360"/>
    </row>
    <row r="559" spans="1:10" s="58" customFormat="1" x14ac:dyDescent="0.2">
      <c r="A559" s="66"/>
      <c r="B559" s="66"/>
      <c r="C559" s="361"/>
      <c r="D559" s="361"/>
      <c r="E559" s="361"/>
      <c r="F559" s="361"/>
      <c r="G559" s="360"/>
      <c r="H559" s="360"/>
      <c r="I559" s="360"/>
      <c r="J559" s="360"/>
    </row>
    <row r="560" spans="1:10" s="58" customFormat="1" x14ac:dyDescent="0.2">
      <c r="A560" s="66"/>
      <c r="B560" s="66"/>
      <c r="C560" s="361"/>
      <c r="D560" s="361"/>
      <c r="E560" s="361"/>
      <c r="F560" s="361"/>
      <c r="G560" s="360"/>
      <c r="H560" s="360"/>
      <c r="I560" s="360"/>
      <c r="J560" s="360"/>
    </row>
    <row r="561" spans="1:10" s="58" customFormat="1" x14ac:dyDescent="0.2">
      <c r="A561" s="66"/>
      <c r="B561" s="66"/>
      <c r="C561" s="361"/>
      <c r="D561" s="361"/>
      <c r="E561" s="361"/>
      <c r="F561" s="361"/>
      <c r="G561" s="360"/>
      <c r="H561" s="360"/>
      <c r="I561" s="360"/>
      <c r="J561" s="360"/>
    </row>
    <row r="562" spans="1:10" s="58" customFormat="1" x14ac:dyDescent="0.2">
      <c r="A562" s="66"/>
      <c r="B562" s="66"/>
      <c r="C562" s="361"/>
      <c r="D562" s="361"/>
      <c r="E562" s="361"/>
      <c r="F562" s="361"/>
      <c r="G562" s="360"/>
      <c r="H562" s="360"/>
      <c r="I562" s="360"/>
      <c r="J562" s="360"/>
    </row>
    <row r="563" spans="1:10" s="58" customFormat="1" x14ac:dyDescent="0.2">
      <c r="A563" s="66"/>
      <c r="B563" s="66"/>
      <c r="C563" s="361"/>
      <c r="D563" s="361"/>
      <c r="E563" s="361"/>
      <c r="F563" s="361"/>
      <c r="G563" s="360"/>
      <c r="H563" s="360"/>
      <c r="I563" s="360"/>
      <c r="J563" s="360"/>
    </row>
    <row r="564" spans="1:10" s="58" customFormat="1" x14ac:dyDescent="0.2">
      <c r="A564" s="66"/>
      <c r="B564" s="66"/>
      <c r="C564" s="361"/>
      <c r="D564" s="361"/>
      <c r="E564" s="361"/>
      <c r="F564" s="361"/>
      <c r="G564" s="360"/>
      <c r="H564" s="360"/>
      <c r="I564" s="360"/>
      <c r="J564" s="360"/>
    </row>
    <row r="565" spans="1:10" s="58" customFormat="1" x14ac:dyDescent="0.2">
      <c r="A565" s="66"/>
      <c r="B565" s="66"/>
      <c r="C565" s="361"/>
      <c r="D565" s="361"/>
      <c r="E565" s="361"/>
      <c r="F565" s="361"/>
      <c r="G565" s="360"/>
      <c r="H565" s="360"/>
      <c r="I565" s="360"/>
      <c r="J565" s="360"/>
    </row>
    <row r="566" spans="1:10" s="58" customFormat="1" x14ac:dyDescent="0.2">
      <c r="A566" s="66"/>
      <c r="B566" s="66"/>
      <c r="C566" s="361"/>
      <c r="D566" s="361"/>
      <c r="E566" s="361"/>
      <c r="F566" s="361"/>
      <c r="G566" s="360"/>
      <c r="H566" s="360"/>
      <c r="I566" s="360"/>
      <c r="J566" s="360"/>
    </row>
    <row r="567" spans="1:10" s="58" customFormat="1" x14ac:dyDescent="0.2">
      <c r="A567" s="66"/>
      <c r="B567" s="66"/>
      <c r="C567" s="361"/>
      <c r="D567" s="361"/>
      <c r="E567" s="361"/>
      <c r="F567" s="361"/>
      <c r="G567" s="360"/>
      <c r="H567" s="360"/>
      <c r="I567" s="360"/>
      <c r="J567" s="360"/>
    </row>
    <row r="568" spans="1:10" s="58" customFormat="1" x14ac:dyDescent="0.2">
      <c r="A568" s="66"/>
      <c r="B568" s="66"/>
      <c r="C568" s="361"/>
      <c r="D568" s="361"/>
      <c r="E568" s="361"/>
      <c r="F568" s="361"/>
      <c r="G568" s="360"/>
      <c r="H568" s="360"/>
      <c r="I568" s="360"/>
      <c r="J568" s="360"/>
    </row>
    <row r="569" spans="1:10" s="58" customFormat="1" x14ac:dyDescent="0.2">
      <c r="A569" s="66"/>
      <c r="B569" s="66"/>
      <c r="C569" s="361"/>
      <c r="D569" s="361"/>
      <c r="E569" s="361"/>
      <c r="F569" s="361"/>
      <c r="G569" s="360"/>
      <c r="H569" s="360"/>
      <c r="I569" s="360"/>
      <c r="J569" s="360"/>
    </row>
    <row r="570" spans="1:10" s="58" customFormat="1" x14ac:dyDescent="0.2">
      <c r="A570" s="66"/>
      <c r="B570" s="66"/>
      <c r="C570" s="361"/>
      <c r="D570" s="361"/>
      <c r="E570" s="361"/>
      <c r="F570" s="361"/>
      <c r="G570" s="360"/>
      <c r="H570" s="360"/>
      <c r="I570" s="360"/>
      <c r="J570" s="360"/>
    </row>
    <row r="571" spans="1:10" s="58" customFormat="1" x14ac:dyDescent="0.2">
      <c r="A571" s="66"/>
      <c r="B571" s="66"/>
      <c r="C571" s="361"/>
      <c r="D571" s="361"/>
      <c r="E571" s="361"/>
      <c r="F571" s="361"/>
      <c r="G571" s="360"/>
      <c r="H571" s="360"/>
      <c r="I571" s="360"/>
      <c r="J571" s="360"/>
    </row>
    <row r="572" spans="1:10" s="58" customFormat="1" x14ac:dyDescent="0.2">
      <c r="A572" s="66"/>
      <c r="B572" s="66"/>
      <c r="C572" s="361"/>
      <c r="D572" s="361"/>
      <c r="E572" s="361"/>
      <c r="F572" s="361"/>
      <c r="G572" s="360"/>
      <c r="H572" s="360"/>
      <c r="I572" s="360"/>
      <c r="J572" s="360"/>
    </row>
    <row r="573" spans="1:10" s="58" customFormat="1" x14ac:dyDescent="0.2">
      <c r="A573" s="66"/>
      <c r="B573" s="66"/>
      <c r="C573" s="361"/>
      <c r="D573" s="361"/>
      <c r="E573" s="361"/>
      <c r="F573" s="361"/>
      <c r="G573" s="360"/>
      <c r="H573" s="360"/>
      <c r="I573" s="360"/>
      <c r="J573" s="360"/>
    </row>
    <row r="574" spans="1:10" s="58" customFormat="1" x14ac:dyDescent="0.2">
      <c r="A574" s="66"/>
      <c r="B574" s="66"/>
      <c r="C574" s="361"/>
      <c r="D574" s="361"/>
      <c r="E574" s="361"/>
      <c r="F574" s="361"/>
      <c r="G574" s="360"/>
      <c r="H574" s="360"/>
      <c r="I574" s="360"/>
      <c r="J574" s="360"/>
    </row>
    <row r="575" spans="1:10" s="58" customFormat="1" x14ac:dyDescent="0.2">
      <c r="A575" s="66"/>
      <c r="B575" s="66"/>
      <c r="C575" s="361"/>
      <c r="D575" s="361"/>
      <c r="E575" s="361"/>
      <c r="F575" s="361"/>
      <c r="G575" s="360"/>
      <c r="H575" s="360"/>
      <c r="I575" s="360"/>
      <c r="J575" s="360"/>
    </row>
    <row r="576" spans="1:10" s="58" customFormat="1" x14ac:dyDescent="0.2">
      <c r="A576" s="66"/>
      <c r="B576" s="66"/>
      <c r="C576" s="361"/>
      <c r="D576" s="361"/>
      <c r="E576" s="361"/>
      <c r="F576" s="361"/>
      <c r="G576" s="360"/>
      <c r="H576" s="360"/>
      <c r="I576" s="360"/>
      <c r="J576" s="360"/>
    </row>
    <row r="577" spans="1:10" s="58" customFormat="1" x14ac:dyDescent="0.2">
      <c r="A577" s="66"/>
      <c r="B577" s="66"/>
      <c r="C577" s="361"/>
      <c r="D577" s="361"/>
      <c r="E577" s="361"/>
      <c r="F577" s="361"/>
      <c r="G577" s="360"/>
      <c r="H577" s="360"/>
      <c r="I577" s="360"/>
      <c r="J577" s="360"/>
    </row>
    <row r="578" spans="1:10" s="58" customFormat="1" x14ac:dyDescent="0.2">
      <c r="A578" s="66"/>
      <c r="B578" s="66"/>
      <c r="C578" s="361"/>
      <c r="D578" s="361"/>
      <c r="E578" s="361"/>
      <c r="F578" s="361"/>
      <c r="G578" s="360"/>
      <c r="H578" s="360"/>
      <c r="I578" s="360"/>
      <c r="J578" s="360"/>
    </row>
    <row r="579" spans="1:10" s="58" customFormat="1" x14ac:dyDescent="0.2">
      <c r="A579" s="66"/>
      <c r="B579" s="66"/>
      <c r="C579" s="361"/>
      <c r="D579" s="361"/>
      <c r="E579" s="361"/>
      <c r="F579" s="361"/>
      <c r="G579" s="360"/>
      <c r="H579" s="360"/>
      <c r="I579" s="360"/>
      <c r="J579" s="360"/>
    </row>
    <row r="580" spans="1:10" s="58" customFormat="1" x14ac:dyDescent="0.2">
      <c r="A580" s="66"/>
      <c r="B580" s="66"/>
      <c r="C580" s="361"/>
      <c r="D580" s="361"/>
      <c r="E580" s="361"/>
      <c r="F580" s="361"/>
      <c r="G580" s="360"/>
      <c r="H580" s="360"/>
      <c r="I580" s="360"/>
      <c r="J580" s="360"/>
    </row>
    <row r="581" spans="1:10" s="58" customFormat="1" x14ac:dyDescent="0.2">
      <c r="A581" s="66"/>
      <c r="B581" s="66"/>
      <c r="C581" s="361"/>
      <c r="D581" s="361"/>
      <c r="E581" s="361"/>
      <c r="F581" s="361"/>
      <c r="G581" s="360"/>
      <c r="H581" s="360"/>
      <c r="I581" s="360"/>
      <c r="J581" s="360"/>
    </row>
    <row r="582" spans="1:10" s="58" customFormat="1" x14ac:dyDescent="0.2">
      <c r="A582" s="66"/>
      <c r="B582" s="66"/>
      <c r="C582" s="361"/>
      <c r="D582" s="361"/>
      <c r="E582" s="361"/>
      <c r="F582" s="361"/>
      <c r="G582" s="360"/>
      <c r="H582" s="360"/>
      <c r="I582" s="360"/>
      <c r="J582" s="360"/>
    </row>
    <row r="583" spans="1:10" s="58" customFormat="1" x14ac:dyDescent="0.2">
      <c r="A583" s="66"/>
      <c r="B583" s="66"/>
      <c r="C583" s="361"/>
      <c r="D583" s="361"/>
      <c r="E583" s="361"/>
      <c r="F583" s="361"/>
      <c r="G583" s="360"/>
      <c r="H583" s="360"/>
      <c r="I583" s="360"/>
      <c r="J583" s="360"/>
    </row>
    <row r="584" spans="1:10" s="58" customFormat="1" x14ac:dyDescent="0.2">
      <c r="A584" s="66"/>
      <c r="B584" s="66"/>
      <c r="C584" s="361"/>
      <c r="D584" s="361"/>
      <c r="E584" s="361"/>
      <c r="F584" s="361"/>
      <c r="G584" s="360"/>
      <c r="H584" s="360"/>
      <c r="I584" s="360"/>
      <c r="J584" s="360"/>
    </row>
    <row r="585" spans="1:10" s="58" customFormat="1" x14ac:dyDescent="0.2">
      <c r="A585" s="66"/>
      <c r="B585" s="66"/>
      <c r="C585" s="361"/>
      <c r="D585" s="361"/>
      <c r="E585" s="361"/>
      <c r="F585" s="361"/>
      <c r="G585" s="360"/>
      <c r="H585" s="360"/>
      <c r="I585" s="360"/>
      <c r="J585" s="360"/>
    </row>
    <row r="586" spans="1:10" s="58" customFormat="1" x14ac:dyDescent="0.2">
      <c r="A586" s="66"/>
      <c r="B586" s="66"/>
      <c r="C586" s="361"/>
      <c r="D586" s="361"/>
      <c r="E586" s="361"/>
      <c r="F586" s="361"/>
      <c r="G586" s="360"/>
      <c r="H586" s="360"/>
      <c r="I586" s="360"/>
      <c r="J586" s="360"/>
    </row>
    <row r="587" spans="1:10" s="58" customFormat="1" x14ac:dyDescent="0.2">
      <c r="A587" s="66"/>
      <c r="B587" s="66"/>
      <c r="C587" s="361"/>
      <c r="D587" s="361"/>
      <c r="E587" s="361"/>
      <c r="F587" s="361"/>
      <c r="G587" s="360"/>
      <c r="H587" s="360"/>
      <c r="I587" s="360"/>
      <c r="J587" s="360"/>
    </row>
    <row r="588" spans="1:10" s="58" customFormat="1" x14ac:dyDescent="0.2">
      <c r="A588" s="66"/>
      <c r="B588" s="66"/>
      <c r="C588" s="361"/>
      <c r="D588" s="361"/>
      <c r="E588" s="361"/>
      <c r="F588" s="361"/>
      <c r="G588" s="360"/>
      <c r="H588" s="360"/>
      <c r="I588" s="360"/>
      <c r="J588" s="360"/>
    </row>
    <row r="589" spans="1:10" s="58" customFormat="1" x14ac:dyDescent="0.2">
      <c r="A589" s="66"/>
      <c r="B589" s="66"/>
      <c r="C589" s="361"/>
      <c r="D589" s="361"/>
      <c r="E589" s="361"/>
      <c r="F589" s="361"/>
      <c r="G589" s="360"/>
      <c r="H589" s="360"/>
      <c r="I589" s="360"/>
      <c r="J589" s="360"/>
    </row>
    <row r="590" spans="1:10" s="58" customFormat="1" x14ac:dyDescent="0.2">
      <c r="A590" s="66"/>
      <c r="B590" s="66"/>
      <c r="C590" s="361"/>
      <c r="D590" s="361"/>
      <c r="E590" s="361"/>
      <c r="F590" s="361"/>
      <c r="G590" s="360"/>
      <c r="H590" s="360"/>
      <c r="I590" s="360"/>
      <c r="J590" s="360"/>
    </row>
    <row r="591" spans="1:10" s="58" customFormat="1" x14ac:dyDescent="0.2">
      <c r="A591" s="66"/>
      <c r="B591" s="66"/>
      <c r="C591" s="361"/>
      <c r="D591" s="361"/>
      <c r="E591" s="361"/>
      <c r="F591" s="361"/>
      <c r="G591" s="360"/>
      <c r="H591" s="360"/>
      <c r="I591" s="360"/>
      <c r="J591" s="360"/>
    </row>
    <row r="592" spans="1:10" s="58" customFormat="1" x14ac:dyDescent="0.2">
      <c r="A592" s="66"/>
      <c r="B592" s="66"/>
      <c r="C592" s="361"/>
      <c r="D592" s="361"/>
      <c r="E592" s="361"/>
      <c r="F592" s="361"/>
      <c r="G592" s="360"/>
      <c r="H592" s="360"/>
      <c r="I592" s="360"/>
      <c r="J592" s="360"/>
    </row>
    <row r="593" spans="1:10" s="58" customFormat="1" x14ac:dyDescent="0.2">
      <c r="A593" s="66"/>
      <c r="B593" s="66"/>
      <c r="C593" s="361"/>
      <c r="D593" s="361"/>
      <c r="E593" s="361"/>
      <c r="F593" s="361"/>
      <c r="G593" s="360"/>
      <c r="H593" s="360"/>
      <c r="I593" s="360"/>
      <c r="J593" s="360"/>
    </row>
    <row r="594" spans="1:10" s="58" customFormat="1" x14ac:dyDescent="0.2">
      <c r="A594" s="66"/>
      <c r="B594" s="66"/>
      <c r="C594" s="361"/>
      <c r="D594" s="361"/>
      <c r="E594" s="361"/>
      <c r="F594" s="361"/>
      <c r="G594" s="360"/>
      <c r="H594" s="360"/>
      <c r="I594" s="360"/>
      <c r="J594" s="360"/>
    </row>
    <row r="595" spans="1:10" s="58" customFormat="1" x14ac:dyDescent="0.2">
      <c r="A595" s="66"/>
      <c r="B595" s="66"/>
      <c r="C595" s="361"/>
      <c r="D595" s="361"/>
      <c r="E595" s="361"/>
      <c r="F595" s="361"/>
      <c r="G595" s="360"/>
      <c r="H595" s="360"/>
      <c r="I595" s="360"/>
      <c r="J595" s="360"/>
    </row>
    <row r="596" spans="1:10" s="58" customFormat="1" x14ac:dyDescent="0.2">
      <c r="A596" s="66"/>
      <c r="B596" s="66"/>
      <c r="C596" s="361"/>
      <c r="D596" s="361"/>
      <c r="E596" s="361"/>
      <c r="F596" s="361"/>
      <c r="G596" s="360"/>
      <c r="H596" s="360"/>
      <c r="I596" s="360"/>
      <c r="J596" s="360"/>
    </row>
    <row r="597" spans="1:10" s="58" customFormat="1" x14ac:dyDescent="0.2">
      <c r="A597" s="66"/>
      <c r="B597" s="66"/>
      <c r="C597" s="361"/>
      <c r="D597" s="361"/>
      <c r="E597" s="361"/>
      <c r="F597" s="361"/>
      <c r="G597" s="360"/>
      <c r="H597" s="360"/>
      <c r="I597" s="360"/>
      <c r="J597" s="360"/>
    </row>
    <row r="598" spans="1:10" s="58" customFormat="1" x14ac:dyDescent="0.2">
      <c r="A598" s="66"/>
      <c r="B598" s="66"/>
      <c r="C598" s="361"/>
      <c r="D598" s="361"/>
      <c r="E598" s="361"/>
      <c r="F598" s="361"/>
      <c r="G598" s="360"/>
      <c r="H598" s="360"/>
      <c r="I598" s="360"/>
      <c r="J598" s="360"/>
    </row>
    <row r="599" spans="1:10" s="58" customFormat="1" x14ac:dyDescent="0.2">
      <c r="A599" s="66"/>
      <c r="B599" s="66"/>
      <c r="C599" s="361"/>
      <c r="D599" s="361"/>
      <c r="E599" s="361"/>
      <c r="F599" s="361"/>
      <c r="G599" s="360"/>
      <c r="H599" s="360"/>
      <c r="I599" s="360"/>
      <c r="J599" s="360"/>
    </row>
    <row r="600" spans="1:10" s="58" customFormat="1" x14ac:dyDescent="0.2">
      <c r="A600" s="66"/>
      <c r="B600" s="66"/>
      <c r="C600" s="361"/>
      <c r="D600" s="361"/>
      <c r="E600" s="361"/>
      <c r="F600" s="361"/>
      <c r="G600" s="360"/>
      <c r="H600" s="360"/>
      <c r="I600" s="360"/>
      <c r="J600" s="360"/>
    </row>
    <row r="601" spans="1:10" s="58" customFormat="1" x14ac:dyDescent="0.2">
      <c r="A601" s="66"/>
      <c r="B601" s="66"/>
      <c r="C601" s="361"/>
      <c r="D601" s="361"/>
      <c r="E601" s="361"/>
      <c r="F601" s="361"/>
      <c r="G601" s="360"/>
      <c r="H601" s="360"/>
      <c r="I601" s="360"/>
      <c r="J601" s="360"/>
    </row>
    <row r="602" spans="1:10" s="58" customFormat="1" x14ac:dyDescent="0.2">
      <c r="A602" s="66"/>
      <c r="B602" s="66"/>
      <c r="C602" s="361"/>
      <c r="D602" s="361"/>
      <c r="E602" s="361"/>
      <c r="F602" s="361"/>
      <c r="G602" s="360"/>
      <c r="H602" s="360"/>
      <c r="I602" s="360"/>
      <c r="J602" s="360"/>
    </row>
    <row r="603" spans="1:10" s="58" customFormat="1" x14ac:dyDescent="0.2">
      <c r="A603" s="66"/>
      <c r="B603" s="66"/>
      <c r="C603" s="361"/>
      <c r="D603" s="361"/>
      <c r="E603" s="361"/>
      <c r="F603" s="361"/>
      <c r="G603" s="360"/>
      <c r="H603" s="360"/>
      <c r="I603" s="360"/>
      <c r="J603" s="360"/>
    </row>
    <row r="604" spans="1:10" s="58" customFormat="1" x14ac:dyDescent="0.2">
      <c r="A604" s="66"/>
      <c r="B604" s="66"/>
      <c r="C604" s="361"/>
      <c r="D604" s="361"/>
      <c r="E604" s="361"/>
      <c r="F604" s="361"/>
      <c r="G604" s="360"/>
      <c r="H604" s="360"/>
      <c r="I604" s="360"/>
      <c r="J604" s="360"/>
    </row>
    <row r="605" spans="1:10" s="58" customFormat="1" x14ac:dyDescent="0.2">
      <c r="A605" s="66"/>
      <c r="B605" s="66"/>
      <c r="C605" s="361"/>
      <c r="D605" s="361"/>
      <c r="E605" s="361"/>
      <c r="F605" s="361"/>
      <c r="G605" s="360"/>
      <c r="H605" s="360"/>
      <c r="I605" s="360"/>
      <c r="J605" s="360"/>
    </row>
    <row r="606" spans="1:10" s="58" customFormat="1" x14ac:dyDescent="0.2">
      <c r="A606" s="66"/>
      <c r="B606" s="66"/>
      <c r="C606" s="361"/>
      <c r="D606" s="361"/>
      <c r="E606" s="361"/>
      <c r="F606" s="361"/>
      <c r="G606" s="360"/>
      <c r="H606" s="360"/>
      <c r="I606" s="360"/>
      <c r="J606" s="360"/>
    </row>
    <row r="607" spans="1:10" s="58" customFormat="1" x14ac:dyDescent="0.2">
      <c r="A607" s="66"/>
      <c r="B607" s="66"/>
      <c r="C607" s="361"/>
      <c r="D607" s="361"/>
      <c r="E607" s="361"/>
      <c r="F607" s="361"/>
      <c r="G607" s="360"/>
      <c r="H607" s="360"/>
      <c r="I607" s="360"/>
      <c r="J607" s="360"/>
    </row>
    <row r="608" spans="1:10" s="58" customFormat="1" x14ac:dyDescent="0.2">
      <c r="A608" s="66"/>
      <c r="B608" s="66"/>
      <c r="C608" s="361"/>
      <c r="D608" s="361"/>
      <c r="E608" s="361"/>
      <c r="F608" s="361"/>
      <c r="G608" s="360"/>
      <c r="H608" s="360"/>
      <c r="I608" s="360"/>
      <c r="J608" s="360"/>
    </row>
    <row r="609" spans="1:10" s="58" customFormat="1" x14ac:dyDescent="0.2">
      <c r="A609" s="66"/>
      <c r="B609" s="66"/>
      <c r="C609" s="361"/>
      <c r="D609" s="361"/>
      <c r="E609" s="361"/>
      <c r="F609" s="361"/>
      <c r="G609" s="360"/>
      <c r="H609" s="360"/>
      <c r="I609" s="360"/>
      <c r="J609" s="360"/>
    </row>
    <row r="610" spans="1:10" s="58" customFormat="1" x14ac:dyDescent="0.2">
      <c r="A610" s="66"/>
      <c r="B610" s="66"/>
      <c r="C610" s="361"/>
      <c r="D610" s="361"/>
      <c r="E610" s="361"/>
      <c r="F610" s="361"/>
      <c r="G610" s="360"/>
      <c r="H610" s="360"/>
      <c r="I610" s="360"/>
      <c r="J610" s="360"/>
    </row>
    <row r="611" spans="1:10" s="58" customFormat="1" x14ac:dyDescent="0.2">
      <c r="A611" s="66"/>
      <c r="B611" s="66"/>
      <c r="C611" s="361"/>
      <c r="D611" s="361"/>
      <c r="E611" s="361"/>
      <c r="F611" s="361"/>
      <c r="G611" s="360"/>
      <c r="H611" s="360"/>
      <c r="I611" s="360"/>
      <c r="J611" s="360"/>
    </row>
    <row r="612" spans="1:10" s="58" customFormat="1" x14ac:dyDescent="0.2">
      <c r="A612" s="66"/>
      <c r="B612" s="66"/>
      <c r="C612" s="361"/>
      <c r="D612" s="361"/>
      <c r="E612" s="361"/>
      <c r="F612" s="361"/>
      <c r="G612" s="360"/>
      <c r="H612" s="360"/>
      <c r="I612" s="360"/>
      <c r="J612" s="360"/>
    </row>
    <row r="613" spans="1:10" s="58" customFormat="1" x14ac:dyDescent="0.2">
      <c r="A613" s="66"/>
      <c r="B613" s="66"/>
      <c r="C613" s="361"/>
      <c r="D613" s="361"/>
      <c r="E613" s="361"/>
      <c r="F613" s="361"/>
      <c r="G613" s="360"/>
      <c r="H613" s="360"/>
      <c r="I613" s="360"/>
      <c r="J613" s="360"/>
    </row>
    <row r="614" spans="1:10" s="58" customFormat="1" x14ac:dyDescent="0.2">
      <c r="A614" s="66"/>
      <c r="B614" s="66"/>
      <c r="C614" s="361"/>
      <c r="D614" s="361"/>
      <c r="E614" s="361"/>
      <c r="F614" s="361"/>
      <c r="G614" s="360"/>
      <c r="H614" s="360"/>
      <c r="I614" s="360"/>
      <c r="J614" s="360"/>
    </row>
    <row r="615" spans="1:10" s="58" customFormat="1" x14ac:dyDescent="0.2">
      <c r="A615" s="66"/>
      <c r="B615" s="66"/>
      <c r="C615" s="361"/>
      <c r="D615" s="361"/>
      <c r="E615" s="361"/>
      <c r="F615" s="361"/>
      <c r="G615" s="360"/>
      <c r="H615" s="360"/>
      <c r="I615" s="360"/>
      <c r="J615" s="360"/>
    </row>
    <row r="616" spans="1:10" s="58" customFormat="1" x14ac:dyDescent="0.2">
      <c r="A616" s="66"/>
      <c r="B616" s="66"/>
      <c r="C616" s="361"/>
      <c r="D616" s="361"/>
      <c r="E616" s="361"/>
      <c r="F616" s="361"/>
      <c r="G616" s="360"/>
      <c r="H616" s="360"/>
      <c r="I616" s="360"/>
      <c r="J616" s="360"/>
    </row>
    <row r="617" spans="1:10" s="58" customFormat="1" x14ac:dyDescent="0.2">
      <c r="A617" s="66"/>
      <c r="B617" s="66"/>
      <c r="C617" s="361"/>
      <c r="D617" s="361"/>
      <c r="E617" s="361"/>
      <c r="F617" s="361"/>
      <c r="G617" s="360"/>
      <c r="H617" s="360"/>
      <c r="I617" s="360"/>
      <c r="J617" s="360"/>
    </row>
    <row r="618" spans="1:10" s="58" customFormat="1" x14ac:dyDescent="0.2">
      <c r="A618" s="66"/>
      <c r="B618" s="66"/>
      <c r="C618" s="361"/>
      <c r="D618" s="361"/>
      <c r="E618" s="361"/>
      <c r="F618" s="361"/>
      <c r="G618" s="360"/>
      <c r="H618" s="360"/>
      <c r="I618" s="360"/>
      <c r="J618" s="360"/>
    </row>
    <row r="619" spans="1:10" s="58" customFormat="1" x14ac:dyDescent="0.2">
      <c r="A619" s="66"/>
      <c r="B619" s="66"/>
      <c r="C619" s="361"/>
      <c r="D619" s="361"/>
      <c r="E619" s="361"/>
      <c r="F619" s="361"/>
      <c r="G619" s="360"/>
      <c r="H619" s="360"/>
      <c r="I619" s="360"/>
      <c r="J619" s="360"/>
    </row>
    <row r="620" spans="1:10" s="58" customFormat="1" x14ac:dyDescent="0.2">
      <c r="A620" s="66"/>
      <c r="B620" s="66"/>
      <c r="C620" s="361"/>
      <c r="D620" s="361"/>
      <c r="E620" s="361"/>
      <c r="F620" s="361"/>
      <c r="G620" s="360"/>
      <c r="H620" s="360"/>
      <c r="I620" s="360"/>
      <c r="J620" s="360"/>
    </row>
    <row r="621" spans="1:10" s="58" customFormat="1" x14ac:dyDescent="0.2">
      <c r="A621" s="66"/>
      <c r="B621" s="66"/>
      <c r="C621" s="361"/>
      <c r="D621" s="361"/>
      <c r="E621" s="361"/>
      <c r="F621" s="361"/>
      <c r="G621" s="360"/>
      <c r="H621" s="360"/>
      <c r="I621" s="360"/>
      <c r="J621" s="360"/>
    </row>
    <row r="622" spans="1:10" s="58" customFormat="1" x14ac:dyDescent="0.2">
      <c r="A622" s="66"/>
      <c r="B622" s="66"/>
      <c r="C622" s="361"/>
      <c r="D622" s="361"/>
      <c r="E622" s="361"/>
      <c r="F622" s="361"/>
      <c r="G622" s="360"/>
      <c r="H622" s="360"/>
      <c r="I622" s="360"/>
      <c r="J622" s="360"/>
    </row>
    <row r="623" spans="1:10" s="58" customFormat="1" x14ac:dyDescent="0.2">
      <c r="A623" s="66"/>
      <c r="B623" s="66"/>
      <c r="C623" s="361"/>
      <c r="D623" s="361"/>
      <c r="E623" s="361"/>
      <c r="F623" s="361"/>
      <c r="G623" s="360"/>
      <c r="H623" s="360"/>
      <c r="I623" s="360"/>
      <c r="J623" s="360"/>
    </row>
    <row r="624" spans="1:10" s="58" customFormat="1" x14ac:dyDescent="0.2">
      <c r="A624" s="66"/>
      <c r="B624" s="66"/>
      <c r="C624" s="361"/>
      <c r="D624" s="361"/>
      <c r="E624" s="361"/>
      <c r="F624" s="361"/>
      <c r="G624" s="360"/>
      <c r="H624" s="360"/>
      <c r="I624" s="360"/>
      <c r="J624" s="360"/>
    </row>
    <row r="625" spans="1:10" s="58" customFormat="1" x14ac:dyDescent="0.2">
      <c r="A625" s="66"/>
      <c r="B625" s="66"/>
      <c r="C625" s="361"/>
      <c r="D625" s="361"/>
      <c r="E625" s="361"/>
      <c r="F625" s="361"/>
      <c r="G625" s="360"/>
      <c r="H625" s="360"/>
      <c r="I625" s="360"/>
      <c r="J625" s="360"/>
    </row>
    <row r="626" spans="1:10" s="58" customFormat="1" x14ac:dyDescent="0.2">
      <c r="A626" s="66"/>
      <c r="B626" s="66"/>
      <c r="C626" s="361"/>
      <c r="D626" s="361"/>
      <c r="E626" s="361"/>
      <c r="F626" s="361"/>
      <c r="G626" s="360"/>
      <c r="H626" s="360"/>
      <c r="I626" s="360"/>
      <c r="J626" s="360"/>
    </row>
    <row r="627" spans="1:10" s="58" customFormat="1" x14ac:dyDescent="0.2">
      <c r="A627" s="66"/>
      <c r="B627" s="66"/>
      <c r="C627" s="361"/>
      <c r="D627" s="361"/>
      <c r="E627" s="361"/>
      <c r="F627" s="361"/>
      <c r="G627" s="360"/>
      <c r="H627" s="360"/>
      <c r="I627" s="360"/>
      <c r="J627" s="360"/>
    </row>
    <row r="628" spans="1:10" s="58" customFormat="1" x14ac:dyDescent="0.2">
      <c r="A628" s="66"/>
      <c r="B628" s="66"/>
      <c r="C628" s="361"/>
      <c r="D628" s="361"/>
      <c r="E628" s="361"/>
      <c r="F628" s="361"/>
      <c r="G628" s="360"/>
      <c r="H628" s="360"/>
      <c r="I628" s="360"/>
      <c r="J628" s="360"/>
    </row>
    <row r="629" spans="1:10" s="58" customFormat="1" x14ac:dyDescent="0.2">
      <c r="A629" s="66"/>
      <c r="B629" s="66"/>
      <c r="C629" s="361"/>
      <c r="D629" s="361"/>
      <c r="E629" s="361"/>
      <c r="F629" s="361"/>
      <c r="G629" s="360"/>
      <c r="H629" s="360"/>
      <c r="I629" s="360"/>
      <c r="J629" s="360"/>
    </row>
    <row r="630" spans="1:10" s="58" customFormat="1" x14ac:dyDescent="0.2">
      <c r="A630" s="66"/>
      <c r="B630" s="66"/>
      <c r="C630" s="361"/>
      <c r="D630" s="361"/>
      <c r="E630" s="361"/>
      <c r="F630" s="361"/>
      <c r="G630" s="360"/>
      <c r="H630" s="360"/>
      <c r="I630" s="360"/>
      <c r="J630" s="360"/>
    </row>
    <row r="631" spans="1:10" s="58" customFormat="1" x14ac:dyDescent="0.2">
      <c r="A631" s="66"/>
      <c r="B631" s="66"/>
      <c r="C631" s="361"/>
      <c r="D631" s="361"/>
      <c r="E631" s="361"/>
      <c r="F631" s="361"/>
      <c r="G631" s="360"/>
      <c r="H631" s="360"/>
      <c r="I631" s="360"/>
      <c r="J631" s="360"/>
    </row>
    <row r="632" spans="1:10" s="58" customFormat="1" x14ac:dyDescent="0.2">
      <c r="A632" s="66"/>
      <c r="B632" s="66"/>
      <c r="C632" s="361"/>
      <c r="D632" s="361"/>
      <c r="E632" s="361"/>
      <c r="F632" s="361"/>
      <c r="G632" s="360"/>
      <c r="H632" s="360"/>
      <c r="I632" s="360"/>
      <c r="J632" s="360"/>
    </row>
    <row r="633" spans="1:10" s="58" customFormat="1" x14ac:dyDescent="0.2">
      <c r="A633" s="66"/>
      <c r="B633" s="66"/>
      <c r="C633" s="361"/>
      <c r="D633" s="361"/>
      <c r="E633" s="361"/>
      <c r="F633" s="361"/>
      <c r="G633" s="360"/>
      <c r="H633" s="360"/>
      <c r="I633" s="360"/>
      <c r="J633" s="360"/>
    </row>
    <row r="634" spans="1:10" s="58" customFormat="1" x14ac:dyDescent="0.2">
      <c r="A634" s="66"/>
      <c r="B634" s="66"/>
      <c r="C634" s="361"/>
      <c r="D634" s="361"/>
      <c r="E634" s="361"/>
      <c r="F634" s="361"/>
      <c r="G634" s="360"/>
      <c r="H634" s="360"/>
      <c r="I634" s="360"/>
      <c r="J634" s="360"/>
    </row>
    <row r="635" spans="1:10" s="58" customFormat="1" x14ac:dyDescent="0.2">
      <c r="A635" s="66"/>
      <c r="B635" s="66"/>
      <c r="C635" s="361"/>
      <c r="D635" s="361"/>
      <c r="E635" s="361"/>
      <c r="F635" s="361"/>
      <c r="G635" s="360"/>
      <c r="H635" s="360"/>
      <c r="I635" s="360"/>
      <c r="J635" s="360"/>
    </row>
    <row r="636" spans="1:10" s="58" customFormat="1" x14ac:dyDescent="0.2">
      <c r="A636" s="66"/>
      <c r="B636" s="66"/>
      <c r="C636" s="361"/>
      <c r="D636" s="361"/>
      <c r="E636" s="361"/>
      <c r="F636" s="361"/>
      <c r="G636" s="360"/>
      <c r="H636" s="360"/>
      <c r="I636" s="360"/>
      <c r="J636" s="360"/>
    </row>
    <row r="637" spans="1:10" s="58" customFormat="1" x14ac:dyDescent="0.2">
      <c r="A637" s="66"/>
      <c r="B637" s="66"/>
      <c r="C637" s="361"/>
      <c r="D637" s="361"/>
      <c r="E637" s="361"/>
      <c r="F637" s="361"/>
      <c r="G637" s="360"/>
      <c r="H637" s="360"/>
      <c r="I637" s="360"/>
      <c r="J637" s="360"/>
    </row>
    <row r="638" spans="1:10" s="58" customFormat="1" x14ac:dyDescent="0.2">
      <c r="A638" s="66"/>
      <c r="B638" s="66"/>
      <c r="C638" s="361"/>
      <c r="D638" s="361"/>
      <c r="E638" s="361"/>
      <c r="F638" s="361"/>
      <c r="G638" s="360"/>
      <c r="H638" s="360"/>
      <c r="I638" s="360"/>
      <c r="J638" s="360"/>
    </row>
    <row r="639" spans="1:10" s="58" customFormat="1" x14ac:dyDescent="0.2">
      <c r="A639" s="66"/>
      <c r="B639" s="66"/>
      <c r="C639" s="361"/>
      <c r="D639" s="361"/>
      <c r="E639" s="361"/>
      <c r="F639" s="361"/>
      <c r="G639" s="360"/>
      <c r="H639" s="360"/>
      <c r="I639" s="360"/>
      <c r="J639" s="360"/>
    </row>
    <row r="640" spans="1:10" s="58" customFormat="1" x14ac:dyDescent="0.2">
      <c r="A640" s="66"/>
      <c r="B640" s="66"/>
      <c r="C640" s="361"/>
      <c r="D640" s="361"/>
      <c r="E640" s="361"/>
      <c r="F640" s="361"/>
      <c r="G640" s="360"/>
      <c r="H640" s="360"/>
      <c r="I640" s="360"/>
      <c r="J640" s="360"/>
    </row>
    <row r="641" spans="1:10" s="58" customFormat="1" x14ac:dyDescent="0.2">
      <c r="A641" s="66"/>
      <c r="B641" s="66"/>
      <c r="C641" s="361"/>
      <c r="D641" s="361"/>
      <c r="E641" s="361"/>
      <c r="F641" s="361"/>
      <c r="G641" s="360"/>
      <c r="H641" s="360"/>
      <c r="I641" s="360"/>
      <c r="J641" s="360"/>
    </row>
    <row r="642" spans="1:10" s="58" customFormat="1" x14ac:dyDescent="0.2">
      <c r="A642" s="66"/>
      <c r="B642" s="66"/>
      <c r="C642" s="361"/>
      <c r="D642" s="361"/>
      <c r="E642" s="361"/>
      <c r="F642" s="361"/>
      <c r="G642" s="360"/>
      <c r="H642" s="360"/>
      <c r="I642" s="360"/>
      <c r="J642" s="360"/>
    </row>
    <row r="643" spans="1:10" s="58" customFormat="1" x14ac:dyDescent="0.2">
      <c r="A643" s="66"/>
      <c r="B643" s="66"/>
      <c r="C643" s="361"/>
      <c r="D643" s="361"/>
      <c r="E643" s="361"/>
      <c r="F643" s="361"/>
      <c r="G643" s="360"/>
      <c r="H643" s="360"/>
      <c r="I643" s="360"/>
      <c r="J643" s="360"/>
    </row>
    <row r="644" spans="1:10" s="58" customFormat="1" x14ac:dyDescent="0.2">
      <c r="A644" s="66"/>
      <c r="B644" s="66"/>
      <c r="C644" s="361"/>
      <c r="D644" s="361"/>
      <c r="E644" s="361"/>
      <c r="F644" s="361"/>
      <c r="G644" s="360"/>
      <c r="H644" s="360"/>
      <c r="I644" s="360"/>
      <c r="J644" s="360"/>
    </row>
    <row r="645" spans="1:10" s="58" customFormat="1" x14ac:dyDescent="0.2">
      <c r="A645" s="66"/>
      <c r="B645" s="66"/>
      <c r="C645" s="361"/>
      <c r="D645" s="361"/>
      <c r="E645" s="361"/>
      <c r="F645" s="361"/>
      <c r="G645" s="360"/>
      <c r="H645" s="360"/>
      <c r="I645" s="360"/>
      <c r="J645" s="360"/>
    </row>
    <row r="646" spans="1:10" s="58" customFormat="1" x14ac:dyDescent="0.2">
      <c r="A646" s="66"/>
      <c r="B646" s="66"/>
      <c r="C646" s="361"/>
      <c r="D646" s="361"/>
      <c r="E646" s="361"/>
      <c r="F646" s="361"/>
      <c r="G646" s="360"/>
      <c r="H646" s="360"/>
      <c r="I646" s="360"/>
      <c r="J646" s="360"/>
    </row>
    <row r="647" spans="1:10" s="58" customFormat="1" x14ac:dyDescent="0.2">
      <c r="A647" s="66"/>
      <c r="B647" s="66"/>
      <c r="C647" s="361"/>
      <c r="D647" s="361"/>
      <c r="E647" s="361"/>
      <c r="F647" s="361"/>
      <c r="G647" s="360"/>
      <c r="H647" s="360"/>
      <c r="I647" s="360"/>
      <c r="J647" s="360"/>
    </row>
    <row r="648" spans="1:10" s="58" customFormat="1" x14ac:dyDescent="0.2">
      <c r="A648" s="66"/>
      <c r="B648" s="66"/>
      <c r="C648" s="361"/>
      <c r="D648" s="361"/>
      <c r="E648" s="361"/>
      <c r="F648" s="361"/>
      <c r="G648" s="360"/>
      <c r="H648" s="360"/>
      <c r="I648" s="360"/>
      <c r="J648" s="360"/>
    </row>
    <row r="649" spans="1:10" s="58" customFormat="1" x14ac:dyDescent="0.2">
      <c r="A649" s="66"/>
      <c r="B649" s="66"/>
      <c r="C649" s="361"/>
      <c r="D649" s="361"/>
      <c r="E649" s="361"/>
      <c r="F649" s="361"/>
      <c r="G649" s="360"/>
      <c r="H649" s="360"/>
      <c r="I649" s="360"/>
      <c r="J649" s="360"/>
    </row>
    <row r="650" spans="1:10" s="58" customFormat="1" x14ac:dyDescent="0.2">
      <c r="A650" s="66"/>
      <c r="B650" s="66"/>
      <c r="C650" s="361"/>
      <c r="D650" s="361"/>
      <c r="E650" s="361"/>
      <c r="F650" s="361"/>
      <c r="G650" s="360"/>
      <c r="H650" s="360"/>
      <c r="I650" s="360"/>
      <c r="J650" s="360"/>
    </row>
    <row r="651" spans="1:10" s="58" customFormat="1" x14ac:dyDescent="0.2">
      <c r="A651" s="66"/>
      <c r="B651" s="66"/>
      <c r="C651" s="361"/>
      <c r="D651" s="361"/>
      <c r="E651" s="361"/>
      <c r="F651" s="361"/>
      <c r="G651" s="360"/>
      <c r="H651" s="360"/>
      <c r="I651" s="360"/>
      <c r="J651" s="360"/>
    </row>
    <row r="652" spans="1:10" s="58" customFormat="1" x14ac:dyDescent="0.2">
      <c r="A652" s="66"/>
      <c r="B652" s="66"/>
      <c r="C652" s="361"/>
      <c r="D652" s="361"/>
      <c r="E652" s="361"/>
      <c r="F652" s="361"/>
      <c r="G652" s="360"/>
      <c r="H652" s="360"/>
      <c r="I652" s="360"/>
      <c r="J652" s="360"/>
    </row>
    <row r="653" spans="1:10" s="58" customFormat="1" x14ac:dyDescent="0.2">
      <c r="A653" s="66"/>
      <c r="B653" s="66"/>
      <c r="C653" s="361"/>
      <c r="D653" s="361"/>
      <c r="E653" s="361"/>
      <c r="F653" s="361"/>
      <c r="G653" s="360"/>
      <c r="H653" s="360"/>
      <c r="I653" s="360"/>
      <c r="J653" s="360"/>
    </row>
    <row r="654" spans="1:10" s="58" customFormat="1" x14ac:dyDescent="0.2">
      <c r="A654" s="66"/>
      <c r="B654" s="66"/>
      <c r="C654" s="361"/>
      <c r="D654" s="361"/>
      <c r="E654" s="361"/>
      <c r="F654" s="361"/>
      <c r="G654" s="360"/>
      <c r="H654" s="360"/>
      <c r="I654" s="360"/>
      <c r="J654" s="360"/>
    </row>
    <row r="655" spans="1:10" s="58" customFormat="1" x14ac:dyDescent="0.2">
      <c r="A655" s="66"/>
      <c r="B655" s="66"/>
      <c r="C655" s="361"/>
      <c r="D655" s="361"/>
      <c r="E655" s="361"/>
      <c r="F655" s="361"/>
      <c r="G655" s="360"/>
      <c r="H655" s="360"/>
      <c r="I655" s="360"/>
      <c r="J655" s="360"/>
    </row>
    <row r="656" spans="1:10" s="58" customFormat="1" x14ac:dyDescent="0.2">
      <c r="A656" s="66"/>
      <c r="B656" s="66"/>
      <c r="C656" s="361"/>
      <c r="D656" s="361"/>
      <c r="E656" s="361"/>
      <c r="F656" s="361"/>
      <c r="G656" s="360"/>
      <c r="H656" s="360"/>
      <c r="I656" s="360"/>
      <c r="J656" s="360"/>
    </row>
    <row r="657" spans="1:10" s="58" customFormat="1" x14ac:dyDescent="0.2">
      <c r="A657" s="66"/>
      <c r="B657" s="66"/>
      <c r="C657" s="361"/>
      <c r="D657" s="361"/>
      <c r="E657" s="361"/>
      <c r="F657" s="361"/>
      <c r="G657" s="360"/>
      <c r="H657" s="360"/>
      <c r="I657" s="360"/>
      <c r="J657" s="360"/>
    </row>
    <row r="658" spans="1:10" s="58" customFormat="1" x14ac:dyDescent="0.2">
      <c r="A658" s="66"/>
      <c r="B658" s="66"/>
      <c r="C658" s="361"/>
      <c r="D658" s="361"/>
      <c r="E658" s="361"/>
      <c r="F658" s="361"/>
      <c r="G658" s="360"/>
      <c r="H658" s="360"/>
      <c r="I658" s="360"/>
      <c r="J658" s="360"/>
    </row>
    <row r="659" spans="1:10" s="58" customFormat="1" x14ac:dyDescent="0.2">
      <c r="A659" s="66"/>
      <c r="B659" s="66"/>
      <c r="C659" s="361"/>
      <c r="D659" s="361"/>
      <c r="E659" s="361"/>
      <c r="F659" s="361"/>
      <c r="G659" s="360"/>
      <c r="H659" s="360"/>
      <c r="I659" s="360"/>
      <c r="J659" s="360"/>
    </row>
    <row r="660" spans="1:10" s="58" customFormat="1" x14ac:dyDescent="0.2">
      <c r="A660" s="66"/>
      <c r="B660" s="66"/>
      <c r="C660" s="361"/>
      <c r="D660" s="361"/>
      <c r="E660" s="361"/>
      <c r="F660" s="361"/>
      <c r="G660" s="360"/>
      <c r="H660" s="360"/>
      <c r="I660" s="360"/>
      <c r="J660" s="360"/>
    </row>
    <row r="661" spans="1:10" s="58" customFormat="1" x14ac:dyDescent="0.2">
      <c r="A661" s="66"/>
      <c r="B661" s="66"/>
      <c r="C661" s="361"/>
      <c r="D661" s="361"/>
      <c r="E661" s="361"/>
      <c r="F661" s="361"/>
      <c r="G661" s="360"/>
      <c r="H661" s="360"/>
      <c r="I661" s="360"/>
      <c r="J661" s="360"/>
    </row>
    <row r="662" spans="1:10" s="58" customFormat="1" x14ac:dyDescent="0.2">
      <c r="A662" s="66"/>
      <c r="B662" s="66"/>
      <c r="C662" s="361"/>
      <c r="D662" s="361"/>
      <c r="E662" s="361"/>
      <c r="F662" s="361"/>
      <c r="G662" s="360"/>
      <c r="H662" s="360"/>
      <c r="I662" s="360"/>
      <c r="J662" s="360"/>
    </row>
    <row r="663" spans="1:10" s="58" customFormat="1" x14ac:dyDescent="0.2">
      <c r="A663" s="66"/>
      <c r="B663" s="66"/>
      <c r="C663" s="361"/>
      <c r="D663" s="361"/>
      <c r="E663" s="361"/>
      <c r="F663" s="361"/>
      <c r="G663" s="360"/>
      <c r="H663" s="360"/>
      <c r="I663" s="360"/>
      <c r="J663" s="360"/>
    </row>
    <row r="664" spans="1:10" s="58" customFormat="1" x14ac:dyDescent="0.2">
      <c r="A664" s="66"/>
      <c r="B664" s="66"/>
      <c r="C664" s="361"/>
      <c r="D664" s="361"/>
      <c r="E664" s="361"/>
      <c r="F664" s="361"/>
      <c r="G664" s="360"/>
      <c r="H664" s="360"/>
      <c r="I664" s="360"/>
      <c r="J664" s="360"/>
    </row>
    <row r="665" spans="1:10" s="58" customFormat="1" x14ac:dyDescent="0.2">
      <c r="A665" s="66"/>
      <c r="B665" s="66"/>
      <c r="C665" s="361"/>
      <c r="D665" s="361"/>
      <c r="E665" s="361"/>
      <c r="F665" s="361"/>
      <c r="G665" s="360"/>
      <c r="H665" s="360"/>
      <c r="I665" s="360"/>
      <c r="J665" s="360"/>
    </row>
    <row r="666" spans="1:10" s="58" customFormat="1" x14ac:dyDescent="0.2">
      <c r="A666" s="66"/>
      <c r="B666" s="66"/>
      <c r="C666" s="361"/>
      <c r="D666" s="361"/>
      <c r="E666" s="361"/>
      <c r="F666" s="361"/>
      <c r="G666" s="360"/>
      <c r="H666" s="360"/>
      <c r="I666" s="360"/>
      <c r="J666" s="360"/>
    </row>
    <row r="667" spans="1:10" s="58" customFormat="1" x14ac:dyDescent="0.2">
      <c r="A667" s="66"/>
      <c r="B667" s="66"/>
      <c r="C667" s="361"/>
      <c r="D667" s="361"/>
      <c r="E667" s="361"/>
      <c r="F667" s="361"/>
      <c r="G667" s="360"/>
      <c r="H667" s="360"/>
      <c r="I667" s="360"/>
      <c r="J667" s="360"/>
    </row>
    <row r="668" spans="1:10" s="58" customFormat="1" x14ac:dyDescent="0.2">
      <c r="A668" s="66"/>
      <c r="B668" s="66"/>
      <c r="C668" s="361"/>
      <c r="D668" s="361"/>
      <c r="E668" s="361"/>
      <c r="F668" s="361"/>
      <c r="G668" s="360"/>
      <c r="H668" s="360"/>
      <c r="I668" s="360"/>
      <c r="J668" s="360"/>
    </row>
    <row r="669" spans="1:10" s="58" customFormat="1" x14ac:dyDescent="0.2">
      <c r="A669" s="66"/>
      <c r="B669" s="66"/>
      <c r="C669" s="361"/>
      <c r="D669" s="361"/>
      <c r="E669" s="361"/>
      <c r="F669" s="361"/>
      <c r="G669" s="360"/>
      <c r="H669" s="360"/>
      <c r="I669" s="360"/>
      <c r="J669" s="360"/>
    </row>
    <row r="670" spans="1:10" s="58" customFormat="1" x14ac:dyDescent="0.2">
      <c r="A670" s="66"/>
      <c r="B670" s="66"/>
      <c r="C670" s="361"/>
      <c r="D670" s="361"/>
      <c r="E670" s="361"/>
      <c r="F670" s="361"/>
      <c r="G670" s="360"/>
      <c r="H670" s="360"/>
      <c r="I670" s="360"/>
      <c r="J670" s="360"/>
    </row>
    <row r="671" spans="1:10" s="58" customFormat="1" x14ac:dyDescent="0.2">
      <c r="A671" s="66"/>
      <c r="B671" s="66"/>
      <c r="C671" s="361"/>
      <c r="D671" s="361"/>
      <c r="E671" s="361"/>
      <c r="F671" s="361"/>
      <c r="G671" s="360"/>
      <c r="H671" s="360"/>
      <c r="I671" s="360"/>
      <c r="J671" s="360"/>
    </row>
    <row r="672" spans="1:10" s="58" customFormat="1" x14ac:dyDescent="0.2">
      <c r="A672" s="66"/>
      <c r="B672" s="66"/>
      <c r="C672" s="361"/>
      <c r="D672" s="361"/>
      <c r="E672" s="361"/>
      <c r="F672" s="361"/>
      <c r="G672" s="360"/>
      <c r="H672" s="360"/>
      <c r="I672" s="360"/>
      <c r="J672" s="360"/>
    </row>
    <row r="673" spans="1:10" s="58" customFormat="1" x14ac:dyDescent="0.2">
      <c r="A673" s="66"/>
      <c r="B673" s="66"/>
      <c r="C673" s="361"/>
      <c r="D673" s="361"/>
      <c r="E673" s="361"/>
      <c r="F673" s="361"/>
      <c r="G673" s="360"/>
      <c r="H673" s="360"/>
      <c r="I673" s="360"/>
      <c r="J673" s="360"/>
    </row>
    <row r="674" spans="1:10" s="58" customFormat="1" x14ac:dyDescent="0.2">
      <c r="A674" s="66"/>
      <c r="B674" s="66"/>
      <c r="C674" s="361"/>
      <c r="D674" s="361"/>
      <c r="E674" s="361"/>
      <c r="F674" s="361"/>
      <c r="G674" s="360"/>
      <c r="H674" s="360"/>
      <c r="I674" s="360"/>
      <c r="J674" s="360"/>
    </row>
    <row r="675" spans="1:10" s="58" customFormat="1" x14ac:dyDescent="0.2">
      <c r="A675" s="66"/>
      <c r="B675" s="66"/>
      <c r="C675" s="361"/>
      <c r="D675" s="361"/>
      <c r="E675" s="361"/>
      <c r="F675" s="361"/>
      <c r="G675" s="360"/>
      <c r="H675" s="360"/>
      <c r="I675" s="360"/>
      <c r="J675" s="360"/>
    </row>
    <row r="676" spans="1:10" s="58" customFormat="1" x14ac:dyDescent="0.2">
      <c r="A676" s="66"/>
      <c r="B676" s="66"/>
      <c r="C676" s="361"/>
      <c r="D676" s="361"/>
      <c r="E676" s="361"/>
      <c r="F676" s="361"/>
      <c r="G676" s="360"/>
      <c r="H676" s="360"/>
      <c r="I676" s="360"/>
      <c r="J676" s="360"/>
    </row>
    <row r="677" spans="1:10" s="58" customFormat="1" x14ac:dyDescent="0.2">
      <c r="A677" s="66"/>
      <c r="B677" s="66"/>
      <c r="C677" s="361"/>
      <c r="D677" s="361"/>
      <c r="E677" s="361"/>
      <c r="F677" s="361"/>
      <c r="G677" s="360"/>
      <c r="H677" s="360"/>
      <c r="I677" s="360"/>
      <c r="J677" s="360"/>
    </row>
    <row r="678" spans="1:10" s="58" customFormat="1" x14ac:dyDescent="0.2">
      <c r="A678" s="66"/>
      <c r="B678" s="66"/>
      <c r="C678" s="361"/>
      <c r="D678" s="361"/>
      <c r="E678" s="361"/>
      <c r="F678" s="361"/>
      <c r="G678" s="360"/>
      <c r="H678" s="360"/>
      <c r="I678" s="360"/>
      <c r="J678" s="360"/>
    </row>
    <row r="679" spans="1:10" s="58" customFormat="1" x14ac:dyDescent="0.2">
      <c r="A679" s="66"/>
      <c r="B679" s="66"/>
      <c r="C679" s="361"/>
      <c r="D679" s="361"/>
      <c r="E679" s="361"/>
      <c r="F679" s="361"/>
      <c r="G679" s="360"/>
      <c r="H679" s="360"/>
      <c r="I679" s="360"/>
      <c r="J679" s="360"/>
    </row>
    <row r="680" spans="1:10" s="58" customFormat="1" x14ac:dyDescent="0.2">
      <c r="A680" s="66"/>
      <c r="B680" s="66"/>
      <c r="C680" s="361"/>
      <c r="D680" s="361"/>
      <c r="E680" s="361"/>
      <c r="F680" s="361"/>
      <c r="G680" s="360"/>
      <c r="H680" s="360"/>
      <c r="I680" s="360"/>
      <c r="J680" s="360"/>
    </row>
    <row r="681" spans="1:10" s="58" customFormat="1" x14ac:dyDescent="0.2">
      <c r="A681" s="66"/>
      <c r="B681" s="66"/>
      <c r="C681" s="361"/>
      <c r="D681" s="361"/>
      <c r="E681" s="361"/>
      <c r="F681" s="361"/>
      <c r="G681" s="360"/>
      <c r="H681" s="360"/>
      <c r="I681" s="360"/>
      <c r="J681" s="360"/>
    </row>
    <row r="682" spans="1:10" s="58" customFormat="1" x14ac:dyDescent="0.2">
      <c r="A682" s="66"/>
      <c r="B682" s="66"/>
      <c r="C682" s="361"/>
      <c r="D682" s="361"/>
      <c r="E682" s="361"/>
      <c r="F682" s="361"/>
      <c r="G682" s="360"/>
      <c r="H682" s="360"/>
      <c r="I682" s="360"/>
      <c r="J682" s="360"/>
    </row>
    <row r="683" spans="1:10" s="58" customFormat="1" x14ac:dyDescent="0.2">
      <c r="A683" s="66"/>
      <c r="B683" s="66"/>
      <c r="C683" s="361"/>
      <c r="D683" s="361"/>
      <c r="E683" s="361"/>
      <c r="F683" s="361"/>
      <c r="G683" s="360"/>
      <c r="H683" s="360"/>
      <c r="I683" s="360"/>
      <c r="J683" s="360"/>
    </row>
    <row r="684" spans="1:10" s="58" customFormat="1" x14ac:dyDescent="0.2">
      <c r="A684" s="66"/>
      <c r="B684" s="66"/>
      <c r="C684" s="361"/>
      <c r="D684" s="361"/>
      <c r="E684" s="361"/>
      <c r="F684" s="361"/>
      <c r="G684" s="360"/>
      <c r="H684" s="360"/>
      <c r="I684" s="360"/>
      <c r="J684" s="360"/>
    </row>
    <row r="685" spans="1:10" s="58" customFormat="1" x14ac:dyDescent="0.2">
      <c r="A685" s="66"/>
      <c r="B685" s="66"/>
      <c r="C685" s="361"/>
      <c r="D685" s="361"/>
      <c r="E685" s="361"/>
      <c r="F685" s="361"/>
      <c r="G685" s="360"/>
      <c r="H685" s="360"/>
      <c r="I685" s="360"/>
      <c r="J685" s="360"/>
    </row>
    <row r="686" spans="1:10" s="58" customFormat="1" x14ac:dyDescent="0.2">
      <c r="A686" s="66"/>
      <c r="B686" s="66"/>
      <c r="C686" s="361"/>
      <c r="D686" s="361"/>
      <c r="E686" s="361"/>
      <c r="F686" s="361"/>
      <c r="G686" s="360"/>
      <c r="H686" s="360"/>
      <c r="I686" s="360"/>
      <c r="J686" s="360"/>
    </row>
    <row r="687" spans="1:10" s="58" customFormat="1" x14ac:dyDescent="0.2">
      <c r="A687" s="66"/>
      <c r="B687" s="66"/>
      <c r="C687" s="361"/>
      <c r="D687" s="361"/>
      <c r="E687" s="361"/>
      <c r="F687" s="361"/>
      <c r="G687" s="360"/>
      <c r="H687" s="360"/>
      <c r="I687" s="360"/>
      <c r="J687" s="360"/>
    </row>
    <row r="688" spans="1:10" s="58" customFormat="1" x14ac:dyDescent="0.2">
      <c r="A688" s="66"/>
      <c r="B688" s="66"/>
      <c r="C688" s="361"/>
      <c r="D688" s="361"/>
      <c r="E688" s="361"/>
      <c r="F688" s="361"/>
      <c r="G688" s="360"/>
      <c r="H688" s="360"/>
      <c r="I688" s="360"/>
      <c r="J688" s="360"/>
    </row>
    <row r="689" spans="1:10" s="58" customFormat="1" x14ac:dyDescent="0.2">
      <c r="A689" s="66"/>
      <c r="B689" s="66"/>
      <c r="C689" s="361"/>
      <c r="D689" s="361"/>
      <c r="E689" s="361"/>
      <c r="F689" s="361"/>
      <c r="G689" s="360"/>
      <c r="H689" s="360"/>
      <c r="I689" s="360"/>
      <c r="J689" s="360"/>
    </row>
    <row r="690" spans="1:10" s="58" customFormat="1" x14ac:dyDescent="0.2">
      <c r="A690" s="66"/>
      <c r="B690" s="66"/>
      <c r="C690" s="361"/>
      <c r="D690" s="361"/>
      <c r="E690" s="361"/>
      <c r="F690" s="361"/>
      <c r="G690" s="360"/>
      <c r="H690" s="360"/>
      <c r="I690" s="360"/>
      <c r="J690" s="360"/>
    </row>
    <row r="691" spans="1:10" s="58" customFormat="1" x14ac:dyDescent="0.2">
      <c r="A691" s="66"/>
      <c r="B691" s="66"/>
      <c r="C691" s="361"/>
      <c r="D691" s="361"/>
      <c r="E691" s="361"/>
      <c r="F691" s="361"/>
      <c r="G691" s="360"/>
      <c r="H691" s="360"/>
      <c r="I691" s="360"/>
      <c r="J691" s="360"/>
    </row>
    <row r="692" spans="1:10" s="58" customFormat="1" x14ac:dyDescent="0.2">
      <c r="A692" s="66"/>
      <c r="B692" s="66"/>
      <c r="C692" s="361"/>
      <c r="D692" s="361"/>
      <c r="E692" s="361"/>
      <c r="F692" s="361"/>
      <c r="G692" s="360"/>
      <c r="H692" s="360"/>
      <c r="I692" s="360"/>
      <c r="J692" s="360"/>
    </row>
    <row r="693" spans="1:10" s="58" customFormat="1" x14ac:dyDescent="0.2">
      <c r="A693" s="66"/>
      <c r="B693" s="66"/>
      <c r="C693" s="361"/>
      <c r="D693" s="361"/>
      <c r="E693" s="361"/>
      <c r="F693" s="361"/>
      <c r="G693" s="360"/>
      <c r="H693" s="360"/>
      <c r="I693" s="360"/>
      <c r="J693" s="360"/>
    </row>
    <row r="694" spans="1:10" s="58" customFormat="1" x14ac:dyDescent="0.2">
      <c r="A694" s="66"/>
      <c r="B694" s="66"/>
      <c r="C694" s="361"/>
      <c r="D694" s="361"/>
      <c r="E694" s="361"/>
      <c r="F694" s="361"/>
      <c r="G694" s="360"/>
      <c r="H694" s="360"/>
      <c r="I694" s="360"/>
      <c r="J694" s="360"/>
    </row>
    <row r="695" spans="1:10" s="58" customFormat="1" x14ac:dyDescent="0.2">
      <c r="A695" s="66"/>
      <c r="B695" s="66"/>
      <c r="C695" s="361"/>
      <c r="D695" s="361"/>
      <c r="E695" s="361"/>
      <c r="F695" s="361"/>
      <c r="G695" s="360"/>
      <c r="H695" s="360"/>
      <c r="I695" s="360"/>
      <c r="J695" s="360"/>
    </row>
    <row r="696" spans="1:10" s="58" customFormat="1" x14ac:dyDescent="0.2">
      <c r="A696" s="66"/>
      <c r="B696" s="66"/>
      <c r="C696" s="361"/>
      <c r="D696" s="361"/>
      <c r="E696" s="361"/>
      <c r="F696" s="361"/>
      <c r="G696" s="360"/>
      <c r="H696" s="360"/>
      <c r="I696" s="360"/>
      <c r="J696" s="360"/>
    </row>
    <row r="697" spans="1:10" s="58" customFormat="1" x14ac:dyDescent="0.2">
      <c r="A697" s="66"/>
      <c r="B697" s="66"/>
      <c r="C697" s="361"/>
      <c r="D697" s="361"/>
      <c r="E697" s="361"/>
      <c r="F697" s="361"/>
      <c r="G697" s="360"/>
      <c r="H697" s="360"/>
      <c r="I697" s="360"/>
      <c r="J697" s="360"/>
    </row>
    <row r="698" spans="1:10" s="58" customFormat="1" x14ac:dyDescent="0.2">
      <c r="A698" s="66"/>
      <c r="B698" s="66"/>
      <c r="C698" s="361"/>
      <c r="D698" s="361"/>
      <c r="E698" s="361"/>
      <c r="F698" s="361"/>
      <c r="G698" s="360"/>
      <c r="H698" s="360"/>
      <c r="I698" s="360"/>
      <c r="J698" s="360"/>
    </row>
    <row r="699" spans="1:10" s="58" customFormat="1" x14ac:dyDescent="0.2">
      <c r="A699" s="66"/>
      <c r="B699" s="66"/>
      <c r="C699" s="361"/>
      <c r="D699" s="361"/>
      <c r="E699" s="361"/>
      <c r="F699" s="361"/>
      <c r="G699" s="360"/>
      <c r="H699" s="360"/>
      <c r="I699" s="360"/>
      <c r="J699" s="360"/>
    </row>
    <row r="700" spans="1:10" s="58" customFormat="1" x14ac:dyDescent="0.2">
      <c r="A700" s="66"/>
      <c r="B700" s="66"/>
      <c r="C700" s="361"/>
      <c r="D700" s="361"/>
      <c r="E700" s="361"/>
      <c r="F700" s="361"/>
      <c r="G700" s="360"/>
      <c r="H700" s="360"/>
      <c r="I700" s="360"/>
      <c r="J700" s="360"/>
    </row>
    <row r="701" spans="1:10" s="58" customFormat="1" x14ac:dyDescent="0.2">
      <c r="A701" s="66"/>
      <c r="B701" s="66"/>
      <c r="C701" s="361"/>
      <c r="D701" s="361"/>
      <c r="E701" s="361"/>
      <c r="F701" s="361"/>
      <c r="G701" s="360"/>
      <c r="H701" s="360"/>
      <c r="I701" s="360"/>
      <c r="J701" s="360"/>
    </row>
    <row r="702" spans="1:10" s="58" customFormat="1" x14ac:dyDescent="0.2">
      <c r="A702" s="66"/>
      <c r="B702" s="66"/>
      <c r="C702" s="361"/>
      <c r="D702" s="361"/>
      <c r="E702" s="361"/>
      <c r="F702" s="361"/>
      <c r="G702" s="360"/>
      <c r="H702" s="360"/>
      <c r="I702" s="360"/>
      <c r="J702" s="360"/>
    </row>
    <row r="703" spans="1:10" s="58" customFormat="1" x14ac:dyDescent="0.2">
      <c r="A703" s="66"/>
      <c r="B703" s="66"/>
      <c r="C703" s="361"/>
      <c r="D703" s="361"/>
      <c r="E703" s="361"/>
      <c r="F703" s="361"/>
      <c r="G703" s="360"/>
      <c r="H703" s="360"/>
      <c r="I703" s="360"/>
      <c r="J703" s="360"/>
    </row>
    <row r="704" spans="1:10" s="58" customFormat="1" x14ac:dyDescent="0.2">
      <c r="A704" s="66"/>
      <c r="B704" s="66"/>
      <c r="C704" s="361"/>
      <c r="D704" s="361"/>
      <c r="E704" s="361"/>
      <c r="F704" s="361"/>
      <c r="G704" s="360"/>
      <c r="H704" s="360"/>
      <c r="I704" s="360"/>
      <c r="J704" s="360"/>
    </row>
    <row r="705" spans="1:10" s="58" customFormat="1" x14ac:dyDescent="0.2">
      <c r="A705" s="66"/>
      <c r="B705" s="66"/>
      <c r="C705" s="361"/>
      <c r="D705" s="361"/>
      <c r="E705" s="361"/>
      <c r="F705" s="361"/>
      <c r="G705" s="360"/>
      <c r="H705" s="360"/>
      <c r="I705" s="360"/>
      <c r="J705" s="360"/>
    </row>
    <row r="706" spans="1:10" s="58" customFormat="1" x14ac:dyDescent="0.2">
      <c r="A706" s="66"/>
      <c r="B706" s="66"/>
      <c r="C706" s="361"/>
      <c r="D706" s="361"/>
      <c r="E706" s="361"/>
      <c r="F706" s="361"/>
      <c r="G706" s="360"/>
      <c r="H706" s="360"/>
      <c r="I706" s="360"/>
      <c r="J706" s="360"/>
    </row>
    <row r="707" spans="1:10" s="58" customFormat="1" x14ac:dyDescent="0.2">
      <c r="A707" s="66"/>
      <c r="B707" s="66"/>
      <c r="C707" s="361"/>
      <c r="D707" s="361"/>
      <c r="E707" s="361"/>
      <c r="F707" s="361"/>
      <c r="G707" s="360"/>
      <c r="H707" s="360"/>
      <c r="I707" s="360"/>
      <c r="J707" s="360"/>
    </row>
    <row r="708" spans="1:10" s="58" customFormat="1" x14ac:dyDescent="0.2">
      <c r="A708" s="66"/>
      <c r="B708" s="66"/>
      <c r="C708" s="361"/>
      <c r="D708" s="361"/>
      <c r="E708" s="361"/>
      <c r="F708" s="361"/>
      <c r="G708" s="360"/>
      <c r="H708" s="360"/>
      <c r="I708" s="360"/>
      <c r="J708" s="360"/>
    </row>
    <row r="709" spans="1:10" s="58" customFormat="1" x14ac:dyDescent="0.2">
      <c r="A709" s="66"/>
      <c r="B709" s="66"/>
      <c r="C709" s="361"/>
      <c r="D709" s="361"/>
      <c r="E709" s="361"/>
      <c r="F709" s="361"/>
      <c r="G709" s="360"/>
      <c r="H709" s="360"/>
      <c r="I709" s="360"/>
      <c r="J709" s="360"/>
    </row>
    <row r="710" spans="1:10" s="58" customFormat="1" x14ac:dyDescent="0.2">
      <c r="A710" s="66"/>
      <c r="B710" s="66"/>
      <c r="C710" s="361"/>
      <c r="D710" s="361"/>
      <c r="E710" s="361"/>
      <c r="F710" s="361"/>
      <c r="G710" s="360"/>
      <c r="H710" s="360"/>
      <c r="I710" s="360"/>
      <c r="J710" s="360"/>
    </row>
    <row r="711" spans="1:10" s="58" customFormat="1" x14ac:dyDescent="0.2">
      <c r="A711" s="66"/>
      <c r="B711" s="66"/>
      <c r="C711" s="361"/>
      <c r="D711" s="361"/>
      <c r="E711" s="361"/>
      <c r="F711" s="361"/>
      <c r="G711" s="360"/>
      <c r="H711" s="360"/>
      <c r="I711" s="360"/>
      <c r="J711" s="360"/>
    </row>
    <row r="712" spans="1:10" s="58" customFormat="1" x14ac:dyDescent="0.2">
      <c r="A712" s="66"/>
      <c r="B712" s="66"/>
      <c r="C712" s="361"/>
      <c r="D712" s="361"/>
      <c r="E712" s="361"/>
      <c r="F712" s="361"/>
      <c r="G712" s="360"/>
      <c r="H712" s="360"/>
      <c r="I712" s="360"/>
      <c r="J712" s="360"/>
    </row>
    <row r="713" spans="1:10" s="58" customFormat="1" x14ac:dyDescent="0.2">
      <c r="A713" s="66"/>
      <c r="B713" s="66"/>
      <c r="C713" s="361"/>
      <c r="D713" s="361"/>
      <c r="E713" s="361"/>
      <c r="F713" s="361"/>
      <c r="G713" s="360"/>
      <c r="H713" s="360"/>
      <c r="I713" s="360"/>
      <c r="J713" s="360"/>
    </row>
    <row r="714" spans="1:10" s="58" customFormat="1" x14ac:dyDescent="0.2">
      <c r="A714" s="66"/>
      <c r="B714" s="66"/>
      <c r="C714" s="361"/>
      <c r="D714" s="361"/>
      <c r="E714" s="361"/>
      <c r="F714" s="361"/>
      <c r="G714" s="360"/>
      <c r="H714" s="360"/>
      <c r="I714" s="360"/>
      <c r="J714" s="360"/>
    </row>
    <row r="715" spans="1:10" s="58" customFormat="1" x14ac:dyDescent="0.2">
      <c r="A715" s="66"/>
      <c r="B715" s="66"/>
      <c r="C715" s="361"/>
      <c r="D715" s="361"/>
      <c r="E715" s="361"/>
      <c r="F715" s="361"/>
      <c r="G715" s="360"/>
      <c r="H715" s="360"/>
      <c r="I715" s="360"/>
      <c r="J715" s="360"/>
    </row>
    <row r="716" spans="1:10" s="58" customFormat="1" x14ac:dyDescent="0.2">
      <c r="A716" s="66"/>
      <c r="B716" s="66"/>
      <c r="C716" s="361"/>
      <c r="D716" s="361"/>
      <c r="E716" s="361"/>
      <c r="F716" s="361"/>
      <c r="G716" s="360"/>
      <c r="H716" s="360"/>
      <c r="I716" s="360"/>
      <c r="J716" s="360"/>
    </row>
    <row r="717" spans="1:10" s="58" customFormat="1" x14ac:dyDescent="0.2">
      <c r="A717" s="66"/>
      <c r="B717" s="66"/>
      <c r="C717" s="361"/>
      <c r="D717" s="361"/>
      <c r="E717" s="361"/>
      <c r="F717" s="361"/>
      <c r="G717" s="360"/>
      <c r="H717" s="360"/>
      <c r="I717" s="360"/>
      <c r="J717" s="360"/>
    </row>
    <row r="718" spans="1:10" s="58" customFormat="1" x14ac:dyDescent="0.2">
      <c r="A718" s="66"/>
      <c r="B718" s="66"/>
      <c r="C718" s="361"/>
      <c r="D718" s="361"/>
      <c r="E718" s="361"/>
      <c r="F718" s="361"/>
      <c r="G718" s="360"/>
      <c r="H718" s="360"/>
      <c r="I718" s="360"/>
      <c r="J718" s="360"/>
    </row>
    <row r="719" spans="1:10" s="58" customFormat="1" x14ac:dyDescent="0.2">
      <c r="A719" s="66"/>
      <c r="B719" s="66"/>
      <c r="C719" s="361"/>
      <c r="D719" s="361"/>
      <c r="E719" s="361"/>
      <c r="F719" s="361"/>
      <c r="G719" s="360"/>
      <c r="H719" s="360"/>
      <c r="I719" s="360"/>
      <c r="J719" s="360"/>
    </row>
    <row r="720" spans="1:10" s="58" customFormat="1" x14ac:dyDescent="0.2">
      <c r="A720" s="66"/>
      <c r="B720" s="66"/>
      <c r="C720" s="361"/>
      <c r="D720" s="361"/>
      <c r="E720" s="361"/>
      <c r="F720" s="361"/>
      <c r="G720" s="360"/>
      <c r="H720" s="360"/>
      <c r="I720" s="360"/>
      <c r="J720" s="360"/>
    </row>
    <row r="721" spans="1:10" s="58" customFormat="1" x14ac:dyDescent="0.2">
      <c r="A721" s="66"/>
      <c r="B721" s="66"/>
      <c r="C721" s="361"/>
      <c r="D721" s="361"/>
      <c r="E721" s="361"/>
      <c r="F721" s="361"/>
      <c r="G721" s="360"/>
      <c r="H721" s="360"/>
      <c r="I721" s="360"/>
      <c r="J721" s="360"/>
    </row>
    <row r="722" spans="1:10" s="58" customFormat="1" x14ac:dyDescent="0.2">
      <c r="A722" s="66"/>
      <c r="B722" s="66"/>
      <c r="C722" s="361"/>
      <c r="D722" s="361"/>
      <c r="E722" s="361"/>
      <c r="F722" s="361"/>
      <c r="G722" s="360"/>
      <c r="H722" s="360"/>
      <c r="I722" s="360"/>
      <c r="J722" s="360"/>
    </row>
    <row r="723" spans="1:10" s="58" customFormat="1" x14ac:dyDescent="0.2">
      <c r="A723" s="66"/>
      <c r="B723" s="66"/>
      <c r="C723" s="361"/>
      <c r="D723" s="361"/>
      <c r="E723" s="361"/>
      <c r="F723" s="361"/>
      <c r="G723" s="360"/>
      <c r="H723" s="360"/>
      <c r="I723" s="360"/>
      <c r="J723" s="360"/>
    </row>
    <row r="724" spans="1:10" s="58" customFormat="1" x14ac:dyDescent="0.2">
      <c r="A724" s="66"/>
      <c r="B724" s="66"/>
      <c r="C724" s="361"/>
      <c r="D724" s="361"/>
      <c r="E724" s="361"/>
      <c r="F724" s="361"/>
      <c r="G724" s="360"/>
      <c r="H724" s="360"/>
      <c r="I724" s="360"/>
      <c r="J724" s="360"/>
    </row>
    <row r="725" spans="1:10" s="58" customFormat="1" x14ac:dyDescent="0.2">
      <c r="A725" s="66"/>
      <c r="B725" s="66"/>
      <c r="C725" s="361"/>
      <c r="D725" s="361"/>
      <c r="E725" s="361"/>
      <c r="F725" s="361"/>
      <c r="G725" s="360"/>
      <c r="H725" s="360"/>
      <c r="I725" s="360"/>
      <c r="J725" s="360"/>
    </row>
    <row r="726" spans="1:10" s="58" customFormat="1" x14ac:dyDescent="0.2">
      <c r="A726" s="66"/>
      <c r="B726" s="66"/>
      <c r="C726" s="361"/>
      <c r="D726" s="361"/>
      <c r="E726" s="361"/>
      <c r="F726" s="361"/>
      <c r="G726" s="360"/>
      <c r="H726" s="360"/>
      <c r="I726" s="360"/>
      <c r="J726" s="360"/>
    </row>
    <row r="727" spans="1:10" s="58" customFormat="1" x14ac:dyDescent="0.2">
      <c r="A727" s="66"/>
      <c r="B727" s="66"/>
      <c r="C727" s="361"/>
      <c r="D727" s="361"/>
      <c r="E727" s="361"/>
      <c r="F727" s="361"/>
      <c r="G727" s="360"/>
      <c r="H727" s="360"/>
      <c r="I727" s="360"/>
      <c r="J727" s="360"/>
    </row>
    <row r="728" spans="1:10" s="58" customFormat="1" x14ac:dyDescent="0.2">
      <c r="A728" s="66"/>
      <c r="B728" s="66"/>
      <c r="C728" s="361"/>
      <c r="D728" s="361"/>
      <c r="E728" s="361"/>
      <c r="F728" s="361"/>
      <c r="G728" s="360"/>
      <c r="H728" s="360"/>
      <c r="I728" s="360"/>
      <c r="J728" s="360"/>
    </row>
    <row r="729" spans="1:10" s="58" customFormat="1" x14ac:dyDescent="0.2">
      <c r="A729" s="66"/>
      <c r="B729" s="66"/>
      <c r="C729" s="361"/>
      <c r="D729" s="361"/>
      <c r="E729" s="361"/>
      <c r="F729" s="361"/>
      <c r="G729" s="360"/>
      <c r="H729" s="360"/>
      <c r="I729" s="360"/>
      <c r="J729" s="360"/>
    </row>
    <row r="730" spans="1:10" s="58" customFormat="1" x14ac:dyDescent="0.2">
      <c r="A730" s="66"/>
      <c r="B730" s="66"/>
      <c r="C730" s="361"/>
      <c r="D730" s="361"/>
      <c r="E730" s="361"/>
      <c r="F730" s="361"/>
      <c r="G730" s="360"/>
      <c r="H730" s="360"/>
      <c r="I730" s="360"/>
      <c r="J730" s="360"/>
    </row>
    <row r="731" spans="1:10" s="58" customFormat="1" x14ac:dyDescent="0.2">
      <c r="A731" s="66"/>
      <c r="B731" s="66"/>
      <c r="C731" s="361"/>
      <c r="D731" s="361"/>
      <c r="E731" s="361"/>
      <c r="F731" s="361"/>
      <c r="G731" s="360"/>
      <c r="H731" s="360"/>
      <c r="I731" s="360"/>
      <c r="J731" s="360"/>
    </row>
    <row r="732" spans="1:10" s="58" customFormat="1" x14ac:dyDescent="0.2">
      <c r="A732" s="66"/>
      <c r="B732" s="66"/>
      <c r="C732" s="361"/>
      <c r="D732" s="361"/>
      <c r="E732" s="361"/>
      <c r="F732" s="361"/>
      <c r="G732" s="360"/>
      <c r="H732" s="360"/>
      <c r="I732" s="360"/>
      <c r="J732" s="360"/>
    </row>
    <row r="733" spans="1:10" s="58" customFormat="1" x14ac:dyDescent="0.2">
      <c r="A733" s="66"/>
      <c r="B733" s="66"/>
      <c r="C733" s="361"/>
      <c r="D733" s="361"/>
      <c r="E733" s="361"/>
      <c r="F733" s="361"/>
      <c r="G733" s="360"/>
      <c r="H733" s="360"/>
      <c r="I733" s="360"/>
      <c r="J733" s="360"/>
    </row>
    <row r="734" spans="1:10" s="58" customFormat="1" x14ac:dyDescent="0.2">
      <c r="A734" s="66"/>
      <c r="B734" s="66"/>
      <c r="C734" s="361"/>
      <c r="D734" s="361"/>
      <c r="E734" s="361"/>
      <c r="F734" s="361"/>
      <c r="G734" s="360"/>
      <c r="H734" s="360"/>
      <c r="I734" s="360"/>
      <c r="J734" s="360"/>
    </row>
    <row r="735" spans="1:10" s="58" customFormat="1" x14ac:dyDescent="0.2">
      <c r="A735" s="66"/>
      <c r="B735" s="66"/>
      <c r="C735" s="361"/>
      <c r="D735" s="361"/>
      <c r="E735" s="361"/>
      <c r="F735" s="361"/>
      <c r="G735" s="360"/>
      <c r="H735" s="360"/>
      <c r="I735" s="360"/>
      <c r="J735" s="360"/>
    </row>
    <row r="736" spans="1:10" s="58" customFormat="1" x14ac:dyDescent="0.2">
      <c r="A736" s="66"/>
      <c r="B736" s="66"/>
      <c r="C736" s="361"/>
      <c r="D736" s="361"/>
      <c r="E736" s="361"/>
      <c r="F736" s="361"/>
      <c r="G736" s="360"/>
      <c r="H736" s="360"/>
      <c r="I736" s="360"/>
      <c r="J736" s="360"/>
    </row>
    <row r="737" spans="1:10" s="58" customFormat="1" x14ac:dyDescent="0.2">
      <c r="A737" s="66"/>
      <c r="B737" s="66"/>
      <c r="C737" s="361"/>
      <c r="D737" s="361"/>
      <c r="E737" s="361"/>
      <c r="F737" s="361"/>
      <c r="G737" s="360"/>
      <c r="H737" s="360"/>
      <c r="I737" s="360"/>
      <c r="J737" s="360"/>
    </row>
    <row r="738" spans="1:10" s="58" customFormat="1" x14ac:dyDescent="0.2">
      <c r="A738" s="66"/>
      <c r="B738" s="66"/>
      <c r="C738" s="361"/>
      <c r="D738" s="361"/>
      <c r="E738" s="361"/>
      <c r="F738" s="361"/>
      <c r="G738" s="360"/>
      <c r="H738" s="360"/>
      <c r="I738" s="360"/>
      <c r="J738" s="360"/>
    </row>
    <row r="739" spans="1:10" s="58" customFormat="1" x14ac:dyDescent="0.2">
      <c r="A739" s="66"/>
      <c r="B739" s="66"/>
      <c r="C739" s="361"/>
      <c r="D739" s="361"/>
      <c r="E739" s="361"/>
      <c r="F739" s="361"/>
      <c r="G739" s="360"/>
      <c r="H739" s="360"/>
      <c r="I739" s="360"/>
      <c r="J739" s="360"/>
    </row>
    <row r="740" spans="1:10" s="58" customFormat="1" x14ac:dyDescent="0.2">
      <c r="A740" s="66"/>
      <c r="B740" s="66"/>
      <c r="C740" s="361"/>
      <c r="D740" s="361"/>
      <c r="E740" s="361"/>
      <c r="F740" s="361"/>
      <c r="G740" s="360"/>
      <c r="H740" s="360"/>
      <c r="I740" s="360"/>
      <c r="J740" s="360"/>
    </row>
    <row r="741" spans="1:10" s="58" customFormat="1" x14ac:dyDescent="0.2">
      <c r="A741" s="66"/>
      <c r="B741" s="66"/>
      <c r="C741" s="361"/>
      <c r="D741" s="361"/>
      <c r="E741" s="361"/>
      <c r="F741" s="361"/>
      <c r="G741" s="360"/>
      <c r="H741" s="360"/>
      <c r="I741" s="360"/>
      <c r="J741" s="360"/>
    </row>
    <row r="742" spans="1:10" s="58" customFormat="1" x14ac:dyDescent="0.2">
      <c r="A742" s="66"/>
      <c r="B742" s="66"/>
      <c r="C742" s="361"/>
      <c r="D742" s="361"/>
      <c r="E742" s="361"/>
      <c r="F742" s="361"/>
      <c r="G742" s="360"/>
      <c r="H742" s="360"/>
      <c r="I742" s="360"/>
      <c r="J742" s="360"/>
    </row>
    <row r="743" spans="1:10" s="58" customFormat="1" x14ac:dyDescent="0.2">
      <c r="A743" s="66"/>
      <c r="B743" s="66"/>
      <c r="C743" s="361"/>
      <c r="D743" s="361"/>
      <c r="E743" s="361"/>
      <c r="F743" s="361"/>
      <c r="G743" s="360"/>
      <c r="H743" s="360"/>
      <c r="I743" s="360"/>
      <c r="J743" s="360"/>
    </row>
    <row r="744" spans="1:10" s="58" customFormat="1" x14ac:dyDescent="0.2">
      <c r="A744" s="66"/>
      <c r="B744" s="66"/>
      <c r="C744" s="361"/>
      <c r="D744" s="361"/>
      <c r="E744" s="361"/>
      <c r="F744" s="361"/>
      <c r="G744" s="360"/>
      <c r="H744" s="360"/>
      <c r="I744" s="360"/>
      <c r="J744" s="360"/>
    </row>
    <row r="745" spans="1:10" s="58" customFormat="1" x14ac:dyDescent="0.2">
      <c r="A745" s="66"/>
      <c r="B745" s="66"/>
      <c r="C745" s="361"/>
      <c r="D745" s="361"/>
      <c r="E745" s="361"/>
      <c r="F745" s="361"/>
      <c r="G745" s="360"/>
      <c r="H745" s="360"/>
      <c r="I745" s="360"/>
      <c r="J745" s="360"/>
    </row>
    <row r="746" spans="1:10" s="58" customFormat="1" x14ac:dyDescent="0.2">
      <c r="A746" s="66"/>
      <c r="B746" s="66"/>
      <c r="C746" s="361"/>
      <c r="D746" s="361"/>
      <c r="E746" s="361"/>
      <c r="F746" s="361"/>
      <c r="G746" s="360"/>
      <c r="H746" s="360"/>
      <c r="I746" s="360"/>
      <c r="J746" s="360"/>
    </row>
    <row r="747" spans="1:10" s="58" customFormat="1" x14ac:dyDescent="0.2">
      <c r="A747" s="66"/>
      <c r="B747" s="66"/>
      <c r="C747" s="361"/>
      <c r="D747" s="361"/>
      <c r="E747" s="361"/>
      <c r="F747" s="361"/>
      <c r="G747" s="360"/>
      <c r="H747" s="360"/>
      <c r="I747" s="360"/>
      <c r="J747" s="360"/>
    </row>
    <row r="748" spans="1:10" s="58" customFormat="1" x14ac:dyDescent="0.2">
      <c r="A748" s="66"/>
      <c r="B748" s="66"/>
      <c r="C748" s="361"/>
      <c r="D748" s="361"/>
      <c r="E748" s="361"/>
      <c r="F748" s="361"/>
      <c r="G748" s="360"/>
      <c r="H748" s="360"/>
      <c r="I748" s="360"/>
      <c r="J748" s="360"/>
    </row>
    <row r="749" spans="1:10" s="58" customFormat="1" x14ac:dyDescent="0.2">
      <c r="A749" s="66"/>
      <c r="B749" s="66"/>
      <c r="C749" s="361"/>
      <c r="D749" s="361"/>
      <c r="E749" s="361"/>
      <c r="F749" s="361"/>
      <c r="G749" s="360"/>
      <c r="H749" s="360"/>
      <c r="I749" s="360"/>
      <c r="J749" s="360"/>
    </row>
    <row r="750" spans="1:10" s="58" customFormat="1" x14ac:dyDescent="0.2">
      <c r="A750" s="66"/>
      <c r="B750" s="66"/>
      <c r="C750" s="361"/>
      <c r="D750" s="361"/>
      <c r="E750" s="361"/>
      <c r="F750" s="361"/>
      <c r="G750" s="360"/>
      <c r="H750" s="360"/>
      <c r="I750" s="360"/>
      <c r="J750" s="360"/>
    </row>
    <row r="751" spans="1:10" s="58" customFormat="1" x14ac:dyDescent="0.2">
      <c r="A751" s="66"/>
      <c r="B751" s="66"/>
      <c r="C751" s="361"/>
      <c r="D751" s="361"/>
      <c r="E751" s="361"/>
      <c r="F751" s="361"/>
      <c r="G751" s="360"/>
      <c r="H751" s="360"/>
      <c r="I751" s="360"/>
      <c r="J751" s="360"/>
    </row>
    <row r="752" spans="1:10" s="58" customFormat="1" x14ac:dyDescent="0.2">
      <c r="A752" s="66"/>
      <c r="B752" s="66"/>
      <c r="C752" s="361"/>
      <c r="D752" s="361"/>
      <c r="E752" s="361"/>
      <c r="F752" s="361"/>
      <c r="G752" s="360"/>
      <c r="H752" s="360"/>
      <c r="I752" s="360"/>
      <c r="J752" s="360"/>
    </row>
    <row r="753" spans="1:10" s="58" customFormat="1" x14ac:dyDescent="0.2">
      <c r="A753" s="66"/>
      <c r="B753" s="66"/>
      <c r="C753" s="361"/>
      <c r="D753" s="361"/>
      <c r="E753" s="361"/>
      <c r="F753" s="361"/>
      <c r="G753" s="360"/>
      <c r="H753" s="360"/>
      <c r="I753" s="360"/>
      <c r="J753" s="360"/>
    </row>
    <row r="754" spans="1:10" s="58" customFormat="1" x14ac:dyDescent="0.2">
      <c r="A754" s="66"/>
      <c r="B754" s="66"/>
      <c r="C754" s="361"/>
      <c r="D754" s="361"/>
      <c r="E754" s="361"/>
      <c r="F754" s="361"/>
      <c r="G754" s="360"/>
      <c r="H754" s="360"/>
      <c r="I754" s="360"/>
      <c r="J754" s="360"/>
    </row>
    <row r="755" spans="1:10" s="58" customFormat="1" x14ac:dyDescent="0.2">
      <c r="A755" s="66"/>
      <c r="B755" s="66"/>
      <c r="C755" s="361"/>
      <c r="D755" s="361"/>
      <c r="E755" s="361"/>
      <c r="F755" s="361"/>
      <c r="G755" s="360"/>
      <c r="H755" s="360"/>
      <c r="I755" s="360"/>
      <c r="J755" s="360"/>
    </row>
    <row r="756" spans="1:10" s="58" customFormat="1" x14ac:dyDescent="0.2">
      <c r="A756" s="66"/>
      <c r="B756" s="66"/>
      <c r="C756" s="361"/>
      <c r="D756" s="361"/>
      <c r="E756" s="361"/>
      <c r="F756" s="361"/>
      <c r="G756" s="360"/>
      <c r="H756" s="360"/>
      <c r="I756" s="360"/>
      <c r="J756" s="360"/>
    </row>
    <row r="757" spans="1:10" s="58" customFormat="1" x14ac:dyDescent="0.2">
      <c r="A757" s="66"/>
      <c r="B757" s="66"/>
      <c r="C757" s="361"/>
      <c r="D757" s="361"/>
      <c r="E757" s="361"/>
      <c r="F757" s="361"/>
      <c r="G757" s="360"/>
      <c r="H757" s="360"/>
      <c r="I757" s="360"/>
      <c r="J757" s="360"/>
    </row>
    <row r="758" spans="1:10" s="58" customFormat="1" x14ac:dyDescent="0.2">
      <c r="A758" s="66"/>
      <c r="B758" s="66"/>
      <c r="C758" s="361"/>
      <c r="D758" s="361"/>
      <c r="E758" s="361"/>
      <c r="F758" s="361"/>
      <c r="G758" s="360"/>
      <c r="H758" s="360"/>
      <c r="I758" s="360"/>
      <c r="J758" s="360"/>
    </row>
    <row r="759" spans="1:10" s="58" customFormat="1" x14ac:dyDescent="0.2">
      <c r="A759" s="66"/>
      <c r="B759" s="66"/>
      <c r="C759" s="361"/>
      <c r="D759" s="361"/>
      <c r="E759" s="361"/>
      <c r="F759" s="361"/>
      <c r="G759" s="360"/>
      <c r="H759" s="360"/>
      <c r="I759" s="360"/>
      <c r="J759" s="360"/>
    </row>
    <row r="760" spans="1:10" s="58" customFormat="1" x14ac:dyDescent="0.2">
      <c r="A760" s="66"/>
      <c r="B760" s="66"/>
      <c r="C760" s="361"/>
      <c r="D760" s="361"/>
      <c r="E760" s="361"/>
      <c r="F760" s="361"/>
      <c r="G760" s="360"/>
      <c r="H760" s="360"/>
      <c r="I760" s="360"/>
      <c r="J760" s="360"/>
    </row>
    <row r="761" spans="1:10" s="58" customFormat="1" x14ac:dyDescent="0.2">
      <c r="A761" s="66"/>
      <c r="B761" s="66"/>
      <c r="C761" s="361"/>
      <c r="D761" s="361"/>
      <c r="E761" s="361"/>
      <c r="F761" s="361"/>
      <c r="G761" s="360"/>
      <c r="H761" s="360"/>
      <c r="I761" s="360"/>
      <c r="J761" s="360"/>
    </row>
    <row r="762" spans="1:10" s="58" customFormat="1" x14ac:dyDescent="0.2">
      <c r="A762" s="66"/>
      <c r="B762" s="66"/>
      <c r="C762" s="361"/>
      <c r="D762" s="361"/>
      <c r="E762" s="361"/>
      <c r="F762" s="361"/>
      <c r="G762" s="360"/>
      <c r="H762" s="360"/>
      <c r="I762" s="360"/>
      <c r="J762" s="360"/>
    </row>
    <row r="763" spans="1:10" s="58" customFormat="1" x14ac:dyDescent="0.2">
      <c r="A763" s="66"/>
      <c r="B763" s="66"/>
      <c r="C763" s="361"/>
      <c r="D763" s="361"/>
      <c r="E763" s="361"/>
      <c r="F763" s="361"/>
      <c r="G763" s="360"/>
      <c r="H763" s="360"/>
      <c r="I763" s="360"/>
      <c r="J763" s="360"/>
    </row>
    <row r="764" spans="1:10" s="58" customFormat="1" x14ac:dyDescent="0.2">
      <c r="A764" s="66"/>
      <c r="B764" s="66"/>
      <c r="C764" s="361"/>
      <c r="D764" s="361"/>
      <c r="E764" s="361"/>
      <c r="F764" s="361"/>
      <c r="G764" s="360"/>
      <c r="H764" s="360"/>
      <c r="I764" s="360"/>
      <c r="J764" s="360"/>
    </row>
    <row r="765" spans="1:10" s="58" customFormat="1" x14ac:dyDescent="0.2">
      <c r="A765" s="66"/>
      <c r="B765" s="66"/>
      <c r="C765" s="361"/>
      <c r="D765" s="361"/>
      <c r="E765" s="361"/>
      <c r="F765" s="361"/>
      <c r="G765" s="360"/>
      <c r="H765" s="360"/>
      <c r="I765" s="360"/>
      <c r="J765" s="360"/>
    </row>
    <row r="766" spans="1:10" s="58" customFormat="1" x14ac:dyDescent="0.2">
      <c r="A766" s="66"/>
      <c r="B766" s="66"/>
      <c r="C766" s="361"/>
      <c r="D766" s="361"/>
      <c r="E766" s="361"/>
      <c r="F766" s="361"/>
      <c r="G766" s="360"/>
      <c r="H766" s="360"/>
      <c r="I766" s="360"/>
      <c r="J766" s="360"/>
    </row>
    <row r="767" spans="1:10" s="58" customFormat="1" x14ac:dyDescent="0.2">
      <c r="A767" s="66"/>
      <c r="B767" s="66"/>
      <c r="C767" s="361"/>
      <c r="D767" s="361"/>
      <c r="E767" s="361"/>
      <c r="F767" s="361"/>
      <c r="G767" s="360"/>
      <c r="H767" s="360"/>
      <c r="I767" s="360"/>
      <c r="J767" s="360"/>
    </row>
    <row r="768" spans="1:10" s="58" customFormat="1" x14ac:dyDescent="0.2">
      <c r="A768" s="66"/>
      <c r="B768" s="66"/>
      <c r="C768" s="361"/>
      <c r="D768" s="361"/>
      <c r="E768" s="361"/>
      <c r="F768" s="361"/>
      <c r="G768" s="360"/>
      <c r="H768" s="360"/>
      <c r="I768" s="360"/>
      <c r="J768" s="360"/>
    </row>
    <row r="769" spans="1:10" s="58" customFormat="1" x14ac:dyDescent="0.2">
      <c r="A769" s="66"/>
      <c r="B769" s="66"/>
      <c r="C769" s="361"/>
      <c r="D769" s="361"/>
      <c r="E769" s="361"/>
      <c r="F769" s="361"/>
      <c r="G769" s="360"/>
      <c r="H769" s="360"/>
      <c r="I769" s="360"/>
      <c r="J769" s="360"/>
    </row>
    <row r="770" spans="1:10" s="58" customFormat="1" x14ac:dyDescent="0.2">
      <c r="A770" s="66"/>
      <c r="B770" s="66"/>
      <c r="C770" s="361"/>
      <c r="D770" s="361"/>
      <c r="E770" s="361"/>
      <c r="F770" s="361"/>
      <c r="G770" s="360"/>
      <c r="H770" s="360"/>
      <c r="I770" s="360"/>
      <c r="J770" s="360"/>
    </row>
    <row r="771" spans="1:10" s="58" customFormat="1" x14ac:dyDescent="0.2">
      <c r="A771" s="66"/>
      <c r="B771" s="66"/>
      <c r="C771" s="361"/>
      <c r="D771" s="361"/>
      <c r="E771" s="361"/>
      <c r="F771" s="361"/>
      <c r="G771" s="360"/>
      <c r="H771" s="360"/>
      <c r="I771" s="360"/>
      <c r="J771" s="360"/>
    </row>
    <row r="772" spans="1:10" s="58" customFormat="1" x14ac:dyDescent="0.2">
      <c r="A772" s="66"/>
      <c r="B772" s="66"/>
      <c r="C772" s="361"/>
      <c r="D772" s="361"/>
      <c r="E772" s="361"/>
      <c r="F772" s="361"/>
      <c r="G772" s="360"/>
      <c r="H772" s="360"/>
      <c r="I772" s="360"/>
      <c r="J772" s="360"/>
    </row>
    <row r="773" spans="1:10" s="58" customFormat="1" x14ac:dyDescent="0.2">
      <c r="A773" s="66"/>
      <c r="B773" s="66"/>
      <c r="C773" s="361"/>
      <c r="D773" s="361"/>
      <c r="E773" s="361"/>
      <c r="F773" s="361"/>
      <c r="G773" s="360"/>
      <c r="H773" s="360"/>
      <c r="I773" s="360"/>
      <c r="J773" s="360"/>
    </row>
    <row r="774" spans="1:10" s="58" customFormat="1" x14ac:dyDescent="0.2">
      <c r="A774" s="66"/>
      <c r="B774" s="66"/>
      <c r="C774" s="361"/>
      <c r="D774" s="361"/>
      <c r="E774" s="361"/>
      <c r="F774" s="361"/>
      <c r="G774" s="360"/>
      <c r="H774" s="360"/>
      <c r="I774" s="360"/>
      <c r="J774" s="360"/>
    </row>
    <row r="775" spans="1:10" s="58" customFormat="1" x14ac:dyDescent="0.2">
      <c r="A775" s="66"/>
      <c r="B775" s="66"/>
      <c r="C775" s="361"/>
      <c r="D775" s="361"/>
      <c r="E775" s="361"/>
      <c r="F775" s="361"/>
      <c r="G775" s="360"/>
      <c r="H775" s="360"/>
      <c r="I775" s="360"/>
      <c r="J775" s="360"/>
    </row>
    <row r="776" spans="1:10" s="58" customFormat="1" x14ac:dyDescent="0.2">
      <c r="A776" s="66"/>
      <c r="B776" s="66"/>
      <c r="C776" s="361"/>
      <c r="D776" s="361"/>
      <c r="E776" s="361"/>
      <c r="F776" s="361"/>
      <c r="G776" s="360"/>
      <c r="H776" s="360"/>
      <c r="I776" s="360"/>
      <c r="J776" s="360"/>
    </row>
    <row r="777" spans="1:10" s="58" customFormat="1" x14ac:dyDescent="0.2">
      <c r="A777" s="66"/>
      <c r="B777" s="66"/>
      <c r="C777" s="361"/>
      <c r="D777" s="361"/>
      <c r="E777" s="361"/>
      <c r="F777" s="361"/>
      <c r="G777" s="360"/>
      <c r="H777" s="360"/>
      <c r="I777" s="360"/>
      <c r="J777" s="360"/>
    </row>
    <row r="778" spans="1:10" s="58" customFormat="1" x14ac:dyDescent="0.2">
      <c r="A778" s="66"/>
      <c r="B778" s="66"/>
      <c r="C778" s="361"/>
      <c r="D778" s="361"/>
      <c r="E778" s="361"/>
      <c r="F778" s="361"/>
      <c r="G778" s="360"/>
      <c r="H778" s="360"/>
      <c r="I778" s="360"/>
      <c r="J778" s="360"/>
    </row>
    <row r="779" spans="1:10" s="58" customFormat="1" x14ac:dyDescent="0.2">
      <c r="A779" s="66"/>
      <c r="B779" s="66"/>
      <c r="C779" s="361"/>
      <c r="D779" s="361"/>
      <c r="E779" s="361"/>
      <c r="F779" s="361"/>
      <c r="G779" s="360"/>
      <c r="H779" s="360"/>
      <c r="I779" s="360"/>
      <c r="J779" s="360"/>
    </row>
    <row r="780" spans="1:10" s="58" customFormat="1" x14ac:dyDescent="0.2">
      <c r="A780" s="66"/>
      <c r="B780" s="66"/>
      <c r="C780" s="361"/>
      <c r="D780" s="361"/>
      <c r="E780" s="361"/>
      <c r="F780" s="361"/>
      <c r="G780" s="360"/>
      <c r="H780" s="360"/>
      <c r="I780" s="360"/>
      <c r="J780" s="360"/>
    </row>
    <row r="781" spans="1:10" s="58" customFormat="1" x14ac:dyDescent="0.2">
      <c r="A781" s="66"/>
      <c r="B781" s="66"/>
      <c r="C781" s="361"/>
      <c r="D781" s="361"/>
      <c r="E781" s="361"/>
      <c r="F781" s="361"/>
      <c r="G781" s="360"/>
      <c r="H781" s="360"/>
      <c r="I781" s="360"/>
      <c r="J781" s="360"/>
    </row>
    <row r="782" spans="1:10" s="58" customFormat="1" x14ac:dyDescent="0.2">
      <c r="A782" s="66"/>
      <c r="B782" s="66"/>
      <c r="C782" s="361"/>
      <c r="D782" s="361"/>
      <c r="E782" s="361"/>
      <c r="F782" s="361"/>
      <c r="G782" s="360"/>
      <c r="H782" s="360"/>
      <c r="I782" s="360"/>
      <c r="J782" s="360"/>
    </row>
    <row r="783" spans="1:10" s="58" customFormat="1" x14ac:dyDescent="0.2">
      <c r="A783" s="66"/>
      <c r="B783" s="66"/>
      <c r="C783" s="361"/>
      <c r="D783" s="361"/>
      <c r="E783" s="361"/>
      <c r="F783" s="361"/>
      <c r="G783" s="360"/>
      <c r="H783" s="360"/>
      <c r="I783" s="360"/>
      <c r="J783" s="360"/>
    </row>
    <row r="784" spans="1:10" s="58" customFormat="1" x14ac:dyDescent="0.2">
      <c r="A784" s="66"/>
      <c r="B784" s="66"/>
      <c r="C784" s="361"/>
      <c r="D784" s="361"/>
      <c r="E784" s="361"/>
      <c r="F784" s="361"/>
      <c r="G784" s="360"/>
      <c r="H784" s="360"/>
      <c r="I784" s="360"/>
      <c r="J784" s="360"/>
    </row>
    <row r="785" spans="1:10" s="58" customFormat="1" x14ac:dyDescent="0.2">
      <c r="A785" s="66"/>
      <c r="B785" s="66"/>
      <c r="C785" s="361"/>
      <c r="D785" s="361"/>
      <c r="E785" s="361"/>
      <c r="F785" s="361"/>
      <c r="G785" s="360"/>
      <c r="H785" s="360"/>
      <c r="I785" s="360"/>
      <c r="J785" s="360"/>
    </row>
    <row r="786" spans="1:10" s="58" customFormat="1" x14ac:dyDescent="0.2">
      <c r="A786" s="66"/>
      <c r="B786" s="66"/>
      <c r="C786" s="361"/>
      <c r="D786" s="361"/>
      <c r="E786" s="361"/>
      <c r="F786" s="361"/>
      <c r="G786" s="360"/>
      <c r="H786" s="360"/>
      <c r="I786" s="360"/>
      <c r="J786" s="360"/>
    </row>
    <row r="787" spans="1:10" s="58" customFormat="1" x14ac:dyDescent="0.2">
      <c r="A787" s="66"/>
      <c r="B787" s="66"/>
      <c r="C787" s="361"/>
      <c r="D787" s="361"/>
      <c r="E787" s="361"/>
      <c r="F787" s="361"/>
      <c r="G787" s="360"/>
      <c r="H787" s="360"/>
      <c r="I787" s="360"/>
      <c r="J787" s="360"/>
    </row>
    <row r="788" spans="1:10" s="58" customFormat="1" x14ac:dyDescent="0.2">
      <c r="A788" s="66"/>
      <c r="B788" s="66"/>
      <c r="C788" s="361"/>
      <c r="D788" s="361"/>
      <c r="E788" s="361"/>
      <c r="F788" s="361"/>
      <c r="G788" s="360"/>
      <c r="H788" s="360"/>
      <c r="I788" s="360"/>
      <c r="J788" s="360"/>
    </row>
    <row r="789" spans="1:10" s="58" customFormat="1" x14ac:dyDescent="0.2">
      <c r="A789" s="66"/>
      <c r="B789" s="66"/>
      <c r="C789" s="361"/>
      <c r="D789" s="361"/>
      <c r="E789" s="361"/>
      <c r="F789" s="361"/>
      <c r="G789" s="360"/>
      <c r="H789" s="360"/>
      <c r="I789" s="360"/>
      <c r="J789" s="360"/>
    </row>
    <row r="790" spans="1:10" s="58" customFormat="1" x14ac:dyDescent="0.2">
      <c r="A790" s="66"/>
      <c r="B790" s="66"/>
      <c r="C790" s="361"/>
      <c r="D790" s="361"/>
      <c r="E790" s="361"/>
      <c r="F790" s="361"/>
      <c r="G790" s="360"/>
      <c r="H790" s="360"/>
      <c r="I790" s="360"/>
      <c r="J790" s="360"/>
    </row>
    <row r="791" spans="1:10" s="58" customFormat="1" x14ac:dyDescent="0.2">
      <c r="A791" s="66"/>
      <c r="B791" s="66"/>
      <c r="C791" s="361"/>
      <c r="D791" s="361"/>
      <c r="E791" s="361"/>
      <c r="F791" s="361"/>
      <c r="G791" s="360"/>
      <c r="H791" s="360"/>
      <c r="I791" s="360"/>
      <c r="J791" s="360"/>
    </row>
    <row r="792" spans="1:10" s="58" customFormat="1" x14ac:dyDescent="0.2">
      <c r="A792" s="66"/>
      <c r="B792" s="66"/>
      <c r="C792" s="361"/>
      <c r="D792" s="361"/>
      <c r="E792" s="361"/>
      <c r="F792" s="361"/>
      <c r="G792" s="360"/>
      <c r="H792" s="360"/>
      <c r="I792" s="360"/>
      <c r="J792" s="360"/>
    </row>
    <row r="793" spans="1:10" s="58" customFormat="1" x14ac:dyDescent="0.2">
      <c r="A793" s="66"/>
      <c r="B793" s="66"/>
      <c r="C793" s="361"/>
      <c r="D793" s="361"/>
      <c r="E793" s="361"/>
      <c r="F793" s="361"/>
      <c r="G793" s="360"/>
      <c r="H793" s="360"/>
      <c r="I793" s="360"/>
      <c r="J793" s="360"/>
    </row>
    <row r="794" spans="1:10" s="58" customFormat="1" x14ac:dyDescent="0.2">
      <c r="A794" s="66"/>
      <c r="B794" s="66"/>
      <c r="C794" s="361"/>
      <c r="D794" s="361"/>
      <c r="E794" s="361"/>
      <c r="F794" s="361"/>
      <c r="G794" s="360"/>
      <c r="H794" s="360"/>
      <c r="I794" s="360"/>
      <c r="J794" s="360"/>
    </row>
    <row r="795" spans="1:10" s="58" customFormat="1" x14ac:dyDescent="0.2">
      <c r="A795" s="66"/>
      <c r="B795" s="66"/>
      <c r="C795" s="361"/>
      <c r="D795" s="361"/>
      <c r="E795" s="361"/>
      <c r="F795" s="361"/>
      <c r="G795" s="360"/>
      <c r="H795" s="360"/>
      <c r="I795" s="360"/>
      <c r="J795" s="360"/>
    </row>
    <row r="796" spans="1:10" s="58" customFormat="1" x14ac:dyDescent="0.2">
      <c r="A796" s="66"/>
      <c r="B796" s="66"/>
      <c r="C796" s="361"/>
      <c r="D796" s="361"/>
      <c r="E796" s="361"/>
      <c r="F796" s="361"/>
      <c r="G796" s="360"/>
      <c r="H796" s="360"/>
      <c r="I796" s="360"/>
      <c r="J796" s="360"/>
    </row>
    <row r="797" spans="1:10" s="58" customFormat="1" x14ac:dyDescent="0.2">
      <c r="A797" s="66"/>
      <c r="B797" s="66"/>
      <c r="C797" s="361"/>
      <c r="D797" s="361"/>
      <c r="E797" s="361"/>
      <c r="F797" s="361"/>
      <c r="G797" s="360"/>
      <c r="H797" s="360"/>
      <c r="I797" s="360"/>
      <c r="J797" s="360"/>
    </row>
    <row r="798" spans="1:10" s="58" customFormat="1" x14ac:dyDescent="0.2">
      <c r="A798" s="66"/>
      <c r="B798" s="66"/>
      <c r="C798" s="361"/>
      <c r="D798" s="361"/>
      <c r="E798" s="361"/>
      <c r="F798" s="361"/>
      <c r="G798" s="360"/>
      <c r="H798" s="360"/>
      <c r="I798" s="360"/>
      <c r="J798" s="360"/>
    </row>
    <row r="799" spans="1:10" s="58" customFormat="1" x14ac:dyDescent="0.2">
      <c r="A799" s="66"/>
      <c r="B799" s="66"/>
      <c r="C799" s="361"/>
      <c r="D799" s="361"/>
      <c r="E799" s="361"/>
      <c r="F799" s="361"/>
      <c r="G799" s="360"/>
      <c r="H799" s="360"/>
      <c r="I799" s="360"/>
      <c r="J799" s="360"/>
    </row>
    <row r="800" spans="1:10" s="58" customFormat="1" x14ac:dyDescent="0.2">
      <c r="A800" s="66"/>
      <c r="B800" s="66"/>
      <c r="C800" s="361"/>
      <c r="D800" s="361"/>
      <c r="E800" s="361"/>
      <c r="F800" s="361"/>
      <c r="G800" s="360"/>
      <c r="H800" s="360"/>
      <c r="I800" s="360"/>
      <c r="J800" s="360"/>
    </row>
    <row r="801" spans="1:10" s="58" customFormat="1" x14ac:dyDescent="0.2">
      <c r="A801" s="66"/>
      <c r="B801" s="66"/>
      <c r="C801" s="361"/>
      <c r="D801" s="361"/>
      <c r="E801" s="361"/>
      <c r="F801" s="361"/>
      <c r="G801" s="360"/>
      <c r="H801" s="360"/>
      <c r="I801" s="360"/>
      <c r="J801" s="360"/>
    </row>
    <row r="802" spans="1:10" s="58" customFormat="1" x14ac:dyDescent="0.2">
      <c r="A802" s="66"/>
      <c r="B802" s="66"/>
      <c r="C802" s="361"/>
      <c r="D802" s="361"/>
      <c r="E802" s="361"/>
      <c r="F802" s="361"/>
      <c r="G802" s="360"/>
      <c r="H802" s="360"/>
      <c r="I802" s="360"/>
      <c r="J802" s="360"/>
    </row>
    <row r="803" spans="1:10" s="58" customFormat="1" x14ac:dyDescent="0.2">
      <c r="A803" s="66"/>
      <c r="B803" s="66"/>
      <c r="C803" s="361"/>
      <c r="D803" s="361"/>
      <c r="E803" s="361"/>
      <c r="F803" s="361"/>
      <c r="G803" s="360"/>
      <c r="H803" s="360"/>
      <c r="I803" s="360"/>
      <c r="J803" s="360"/>
    </row>
    <row r="804" spans="1:10" s="58" customFormat="1" x14ac:dyDescent="0.2">
      <c r="A804" s="66"/>
      <c r="B804" s="66"/>
      <c r="C804" s="361"/>
      <c r="D804" s="361"/>
      <c r="E804" s="361"/>
      <c r="F804" s="361"/>
      <c r="G804" s="360"/>
      <c r="H804" s="360"/>
      <c r="I804" s="360"/>
      <c r="J804" s="360"/>
    </row>
    <row r="805" spans="1:10" s="58" customFormat="1" x14ac:dyDescent="0.2">
      <c r="A805" s="66"/>
      <c r="B805" s="66"/>
      <c r="C805" s="361"/>
      <c r="D805" s="361"/>
      <c r="E805" s="361"/>
      <c r="F805" s="361"/>
      <c r="G805" s="360"/>
      <c r="H805" s="360"/>
      <c r="I805" s="360"/>
      <c r="J805" s="360"/>
    </row>
    <row r="806" spans="1:10" s="58" customFormat="1" x14ac:dyDescent="0.2">
      <c r="A806" s="66"/>
      <c r="B806" s="66"/>
      <c r="C806" s="361"/>
      <c r="D806" s="361"/>
      <c r="E806" s="361"/>
      <c r="F806" s="361"/>
      <c r="G806" s="360"/>
      <c r="H806" s="360"/>
      <c r="I806" s="360"/>
      <c r="J806" s="360"/>
    </row>
    <row r="807" spans="1:10" s="58" customFormat="1" x14ac:dyDescent="0.2">
      <c r="A807" s="66"/>
      <c r="B807" s="66"/>
      <c r="C807" s="361"/>
      <c r="D807" s="361"/>
      <c r="E807" s="361"/>
      <c r="F807" s="361"/>
      <c r="G807" s="360"/>
      <c r="H807" s="360"/>
      <c r="I807" s="360"/>
      <c r="J807" s="360"/>
    </row>
    <row r="808" spans="1:10" s="58" customFormat="1" x14ac:dyDescent="0.2">
      <c r="A808" s="66"/>
      <c r="B808" s="66"/>
      <c r="C808" s="361"/>
      <c r="D808" s="361"/>
      <c r="E808" s="361"/>
      <c r="F808" s="361"/>
      <c r="G808" s="360"/>
      <c r="H808" s="360"/>
      <c r="I808" s="360"/>
      <c r="J808" s="360"/>
    </row>
    <row r="809" spans="1:10" s="58" customFormat="1" x14ac:dyDescent="0.2">
      <c r="A809" s="66"/>
      <c r="B809" s="66"/>
      <c r="C809" s="361"/>
      <c r="D809" s="361"/>
      <c r="E809" s="361"/>
      <c r="F809" s="361"/>
      <c r="G809" s="360"/>
      <c r="H809" s="360"/>
      <c r="I809" s="360"/>
      <c r="J809" s="360"/>
    </row>
    <row r="810" spans="1:10" s="58" customFormat="1" x14ac:dyDescent="0.2">
      <c r="A810" s="66"/>
      <c r="B810" s="66"/>
      <c r="C810" s="361"/>
      <c r="D810" s="361"/>
      <c r="E810" s="361"/>
      <c r="F810" s="361"/>
      <c r="G810" s="360"/>
      <c r="H810" s="360"/>
      <c r="I810" s="360"/>
      <c r="J810" s="360"/>
    </row>
    <row r="811" spans="1:10" s="58" customFormat="1" x14ac:dyDescent="0.2">
      <c r="A811" s="66"/>
      <c r="B811" s="66"/>
      <c r="C811" s="361"/>
      <c r="D811" s="361"/>
      <c r="E811" s="361"/>
      <c r="F811" s="361"/>
      <c r="G811" s="360"/>
      <c r="H811" s="360"/>
      <c r="I811" s="360"/>
      <c r="J811" s="360"/>
    </row>
    <row r="812" spans="1:10" s="58" customFormat="1" x14ac:dyDescent="0.2">
      <c r="A812" s="66"/>
      <c r="B812" s="66"/>
      <c r="C812" s="361"/>
      <c r="D812" s="361"/>
      <c r="E812" s="361"/>
      <c r="F812" s="361"/>
      <c r="G812" s="360"/>
      <c r="H812" s="360"/>
      <c r="I812" s="360"/>
      <c r="J812" s="360"/>
    </row>
    <row r="813" spans="1:10" s="58" customFormat="1" x14ac:dyDescent="0.2">
      <c r="A813" s="66"/>
      <c r="B813" s="66"/>
      <c r="C813" s="361"/>
      <c r="D813" s="361"/>
      <c r="E813" s="361"/>
      <c r="F813" s="361"/>
      <c r="G813" s="360"/>
      <c r="H813" s="360"/>
      <c r="I813" s="360"/>
      <c r="J813" s="360"/>
    </row>
    <row r="814" spans="1:10" s="58" customFormat="1" x14ac:dyDescent="0.2">
      <c r="A814" s="66"/>
      <c r="B814" s="66"/>
      <c r="C814" s="361"/>
      <c r="D814" s="361"/>
      <c r="E814" s="361"/>
      <c r="F814" s="361"/>
      <c r="G814" s="360"/>
      <c r="H814" s="360"/>
      <c r="I814" s="360"/>
      <c r="J814" s="360"/>
    </row>
    <row r="815" spans="1:10" s="58" customFormat="1" x14ac:dyDescent="0.2">
      <c r="A815" s="66"/>
      <c r="B815" s="66"/>
      <c r="C815" s="361"/>
      <c r="D815" s="361"/>
      <c r="E815" s="361"/>
      <c r="F815" s="361"/>
      <c r="G815" s="360"/>
      <c r="H815" s="360"/>
      <c r="I815" s="360"/>
      <c r="J815" s="360"/>
    </row>
    <row r="816" spans="1:10" s="58" customFormat="1" x14ac:dyDescent="0.2">
      <c r="A816" s="66"/>
      <c r="B816" s="66"/>
      <c r="C816" s="361"/>
      <c r="D816" s="361"/>
      <c r="E816" s="361"/>
      <c r="F816" s="361"/>
      <c r="G816" s="360"/>
      <c r="H816" s="360"/>
      <c r="I816" s="360"/>
      <c r="J816" s="360"/>
    </row>
    <row r="817" spans="1:10" s="58" customFormat="1" x14ac:dyDescent="0.2">
      <c r="A817" s="66"/>
      <c r="B817" s="66"/>
      <c r="C817" s="361"/>
      <c r="D817" s="361"/>
      <c r="E817" s="361"/>
      <c r="F817" s="361"/>
      <c r="G817" s="360"/>
      <c r="H817" s="360"/>
      <c r="I817" s="360"/>
      <c r="J817" s="360"/>
    </row>
    <row r="818" spans="1:10" s="58" customFormat="1" x14ac:dyDescent="0.2">
      <c r="A818" s="66"/>
      <c r="B818" s="66"/>
      <c r="C818" s="361"/>
      <c r="D818" s="361"/>
      <c r="E818" s="361"/>
      <c r="F818" s="361"/>
      <c r="G818" s="360"/>
      <c r="H818" s="360"/>
      <c r="I818" s="360"/>
      <c r="J818" s="360"/>
    </row>
    <row r="819" spans="1:10" s="58" customFormat="1" x14ac:dyDescent="0.2">
      <c r="A819" s="66"/>
      <c r="B819" s="66"/>
      <c r="C819" s="361"/>
      <c r="D819" s="361"/>
      <c r="E819" s="361"/>
      <c r="F819" s="361"/>
      <c r="G819" s="360"/>
      <c r="H819" s="360"/>
      <c r="I819" s="360"/>
      <c r="J819" s="360"/>
    </row>
    <row r="820" spans="1:10" s="58" customFormat="1" x14ac:dyDescent="0.2">
      <c r="A820" s="66"/>
      <c r="B820" s="66"/>
      <c r="C820" s="361"/>
      <c r="D820" s="361"/>
      <c r="E820" s="361"/>
      <c r="F820" s="361"/>
      <c r="G820" s="360"/>
      <c r="H820" s="360"/>
      <c r="I820" s="360"/>
      <c r="J820" s="360"/>
    </row>
    <row r="821" spans="1:10" s="58" customFormat="1" x14ac:dyDescent="0.2">
      <c r="A821" s="66"/>
      <c r="B821" s="66"/>
      <c r="C821" s="361"/>
      <c r="D821" s="361"/>
      <c r="E821" s="361"/>
      <c r="F821" s="361"/>
      <c r="G821" s="360"/>
      <c r="H821" s="360"/>
      <c r="I821" s="360"/>
      <c r="J821" s="360"/>
    </row>
    <row r="822" spans="1:10" s="58" customFormat="1" x14ac:dyDescent="0.2">
      <c r="A822" s="66"/>
      <c r="B822" s="66"/>
      <c r="C822" s="361"/>
      <c r="D822" s="361"/>
      <c r="E822" s="361"/>
      <c r="F822" s="361"/>
      <c r="G822" s="360"/>
      <c r="H822" s="360"/>
      <c r="I822" s="360"/>
      <c r="J822" s="360"/>
    </row>
    <row r="823" spans="1:10" s="58" customFormat="1" x14ac:dyDescent="0.2">
      <c r="A823" s="66"/>
      <c r="B823" s="66"/>
      <c r="C823" s="361"/>
      <c r="D823" s="361"/>
      <c r="E823" s="361"/>
      <c r="F823" s="361"/>
      <c r="G823" s="360"/>
      <c r="H823" s="360"/>
      <c r="I823" s="360"/>
      <c r="J823" s="360"/>
    </row>
    <row r="824" spans="1:10" s="58" customFormat="1" x14ac:dyDescent="0.2">
      <c r="A824" s="66"/>
      <c r="B824" s="66"/>
      <c r="C824" s="361"/>
      <c r="D824" s="361"/>
      <c r="E824" s="361"/>
      <c r="F824" s="361"/>
      <c r="G824" s="360"/>
      <c r="H824" s="360"/>
      <c r="I824" s="360"/>
      <c r="J824" s="360"/>
    </row>
    <row r="825" spans="1:10" s="58" customFormat="1" x14ac:dyDescent="0.2">
      <c r="A825" s="66"/>
      <c r="B825" s="66"/>
      <c r="C825" s="361"/>
      <c r="D825" s="361"/>
      <c r="E825" s="361"/>
      <c r="F825" s="361"/>
      <c r="G825" s="360"/>
      <c r="H825" s="360"/>
      <c r="I825" s="360"/>
      <c r="J825" s="360"/>
    </row>
    <row r="826" spans="1:10" s="58" customFormat="1" x14ac:dyDescent="0.2">
      <c r="A826" s="66"/>
      <c r="B826" s="66"/>
      <c r="C826" s="361"/>
      <c r="D826" s="361"/>
      <c r="E826" s="361"/>
      <c r="F826" s="361"/>
      <c r="G826" s="360"/>
      <c r="H826" s="360"/>
      <c r="I826" s="360"/>
      <c r="J826" s="360"/>
    </row>
    <row r="827" spans="1:10" s="58" customFormat="1" x14ac:dyDescent="0.2">
      <c r="A827" s="66"/>
      <c r="B827" s="66"/>
      <c r="C827" s="361"/>
      <c r="D827" s="361"/>
      <c r="E827" s="361"/>
      <c r="F827" s="361"/>
      <c r="G827" s="360"/>
      <c r="H827" s="360"/>
      <c r="I827" s="360"/>
      <c r="J827" s="360"/>
    </row>
    <row r="828" spans="1:10" s="58" customFormat="1" x14ac:dyDescent="0.2">
      <c r="A828" s="66"/>
      <c r="B828" s="66"/>
      <c r="C828" s="361"/>
      <c r="D828" s="361"/>
      <c r="E828" s="361"/>
      <c r="F828" s="361"/>
      <c r="G828" s="360"/>
      <c r="H828" s="360"/>
      <c r="I828" s="360"/>
      <c r="J828" s="360"/>
    </row>
    <row r="829" spans="1:10" s="58" customFormat="1" x14ac:dyDescent="0.2">
      <c r="A829" s="66"/>
      <c r="B829" s="66"/>
      <c r="C829" s="361"/>
      <c r="D829" s="361"/>
      <c r="E829" s="361"/>
      <c r="F829" s="361"/>
      <c r="G829" s="360"/>
      <c r="H829" s="360"/>
      <c r="I829" s="360"/>
      <c r="J829" s="360"/>
    </row>
    <row r="830" spans="1:10" s="58" customFormat="1" x14ac:dyDescent="0.2">
      <c r="A830" s="66"/>
      <c r="B830" s="66"/>
      <c r="C830" s="361"/>
      <c r="D830" s="361"/>
      <c r="E830" s="361"/>
      <c r="F830" s="361"/>
      <c r="G830" s="360"/>
      <c r="H830" s="360"/>
      <c r="I830" s="360"/>
      <c r="J830" s="360"/>
    </row>
    <row r="831" spans="1:10" s="58" customFormat="1" x14ac:dyDescent="0.2">
      <c r="A831" s="66"/>
      <c r="B831" s="66"/>
      <c r="C831" s="361"/>
      <c r="D831" s="361"/>
      <c r="E831" s="361"/>
      <c r="F831" s="361"/>
      <c r="G831" s="360"/>
      <c r="H831" s="360"/>
      <c r="I831" s="360"/>
      <c r="J831" s="360"/>
    </row>
    <row r="832" spans="1:10" s="58" customFormat="1" x14ac:dyDescent="0.2">
      <c r="A832" s="66"/>
      <c r="B832" s="66"/>
      <c r="C832" s="361"/>
      <c r="D832" s="361"/>
      <c r="E832" s="361"/>
      <c r="F832" s="361"/>
      <c r="G832" s="360"/>
      <c r="H832" s="360"/>
      <c r="I832" s="360"/>
      <c r="J832" s="360"/>
    </row>
    <row r="833" spans="1:10" s="58" customFormat="1" x14ac:dyDescent="0.2">
      <c r="A833" s="66"/>
      <c r="B833" s="66"/>
      <c r="C833" s="361"/>
      <c r="D833" s="361"/>
      <c r="E833" s="361"/>
      <c r="F833" s="361"/>
      <c r="G833" s="360"/>
      <c r="H833" s="360"/>
      <c r="I833" s="360"/>
      <c r="J833" s="360"/>
    </row>
    <row r="834" spans="1:10" s="58" customFormat="1" x14ac:dyDescent="0.2">
      <c r="A834" s="66"/>
      <c r="B834" s="66"/>
      <c r="C834" s="361"/>
      <c r="D834" s="361"/>
      <c r="E834" s="361"/>
      <c r="F834" s="361"/>
      <c r="G834" s="360"/>
      <c r="H834" s="360"/>
      <c r="I834" s="360"/>
      <c r="J834" s="360"/>
    </row>
    <row r="835" spans="1:10" s="58" customFormat="1" x14ac:dyDescent="0.2">
      <c r="A835" s="66"/>
      <c r="B835" s="66"/>
      <c r="C835" s="361"/>
      <c r="D835" s="361"/>
      <c r="E835" s="361"/>
      <c r="F835" s="361"/>
      <c r="G835" s="360"/>
      <c r="H835" s="360"/>
      <c r="I835" s="360"/>
      <c r="J835" s="360"/>
    </row>
    <row r="836" spans="1:10" s="58" customFormat="1" x14ac:dyDescent="0.2">
      <c r="A836" s="66"/>
      <c r="B836" s="66"/>
      <c r="C836" s="361"/>
      <c r="D836" s="361"/>
      <c r="E836" s="361"/>
      <c r="F836" s="361"/>
      <c r="G836" s="360"/>
      <c r="H836" s="360"/>
      <c r="I836" s="360"/>
      <c r="J836" s="360"/>
    </row>
    <row r="837" spans="1:10" s="58" customFormat="1" x14ac:dyDescent="0.2">
      <c r="A837" s="66"/>
      <c r="B837" s="66"/>
      <c r="C837" s="361"/>
      <c r="D837" s="361"/>
      <c r="E837" s="361"/>
      <c r="F837" s="361"/>
      <c r="G837" s="360"/>
      <c r="H837" s="360"/>
      <c r="I837" s="360"/>
      <c r="J837" s="360"/>
    </row>
    <row r="838" spans="1:10" s="58" customFormat="1" x14ac:dyDescent="0.2">
      <c r="A838" s="66"/>
      <c r="B838" s="66"/>
      <c r="C838" s="361"/>
      <c r="D838" s="361"/>
      <c r="E838" s="361"/>
      <c r="F838" s="361"/>
      <c r="G838" s="360"/>
      <c r="H838" s="360"/>
      <c r="I838" s="360"/>
      <c r="J838" s="360"/>
    </row>
    <row r="839" spans="1:10" s="58" customFormat="1" x14ac:dyDescent="0.2">
      <c r="A839" s="66"/>
      <c r="B839" s="66"/>
      <c r="C839" s="361"/>
      <c r="D839" s="361"/>
      <c r="E839" s="361"/>
      <c r="F839" s="361"/>
      <c r="G839" s="360"/>
      <c r="H839" s="360"/>
      <c r="I839" s="360"/>
      <c r="J839" s="360"/>
    </row>
    <row r="840" spans="1:10" s="58" customFormat="1" x14ac:dyDescent="0.2">
      <c r="A840" s="66"/>
      <c r="B840" s="66"/>
      <c r="C840" s="361"/>
      <c r="D840" s="361"/>
      <c r="E840" s="361"/>
      <c r="F840" s="361"/>
      <c r="G840" s="360"/>
      <c r="H840" s="360"/>
      <c r="I840" s="360"/>
      <c r="J840" s="360"/>
    </row>
    <row r="841" spans="1:10" s="58" customFormat="1" x14ac:dyDescent="0.2">
      <c r="A841" s="66"/>
      <c r="B841" s="66"/>
      <c r="C841" s="361"/>
      <c r="D841" s="361"/>
      <c r="E841" s="361"/>
      <c r="F841" s="361"/>
      <c r="G841" s="360"/>
      <c r="H841" s="360"/>
      <c r="I841" s="360"/>
      <c r="J841" s="360"/>
    </row>
    <row r="842" spans="1:10" s="58" customFormat="1" x14ac:dyDescent="0.2">
      <c r="A842" s="66"/>
      <c r="B842" s="66"/>
      <c r="C842" s="361"/>
      <c r="D842" s="361"/>
      <c r="E842" s="361"/>
      <c r="F842" s="361"/>
      <c r="G842" s="360"/>
      <c r="H842" s="360"/>
      <c r="I842" s="360"/>
      <c r="J842" s="360"/>
    </row>
    <row r="843" spans="1:10" s="58" customFormat="1" x14ac:dyDescent="0.2">
      <c r="A843" s="66"/>
      <c r="B843" s="66"/>
      <c r="C843" s="361"/>
      <c r="D843" s="361"/>
      <c r="E843" s="361"/>
      <c r="F843" s="361"/>
      <c r="G843" s="360"/>
      <c r="H843" s="360"/>
      <c r="I843" s="360"/>
      <c r="J843" s="360"/>
    </row>
    <row r="844" spans="1:10" s="58" customFormat="1" x14ac:dyDescent="0.2">
      <c r="A844" s="66"/>
      <c r="B844" s="66"/>
      <c r="C844" s="361"/>
      <c r="D844" s="361"/>
      <c r="E844" s="361"/>
      <c r="F844" s="361"/>
      <c r="G844" s="360"/>
      <c r="H844" s="360"/>
      <c r="I844" s="360"/>
      <c r="J844" s="360"/>
    </row>
    <row r="845" spans="1:10" s="58" customFormat="1" x14ac:dyDescent="0.2">
      <c r="A845" s="66"/>
      <c r="B845" s="66"/>
      <c r="C845" s="361"/>
      <c r="D845" s="361"/>
      <c r="E845" s="361"/>
      <c r="F845" s="361"/>
      <c r="G845" s="360"/>
      <c r="H845" s="360"/>
      <c r="I845" s="360"/>
      <c r="J845" s="360"/>
    </row>
    <row r="846" spans="1:10" s="58" customFormat="1" x14ac:dyDescent="0.2">
      <c r="A846" s="66"/>
      <c r="B846" s="66"/>
      <c r="C846" s="361"/>
      <c r="D846" s="361"/>
      <c r="E846" s="361"/>
      <c r="F846" s="361"/>
      <c r="G846" s="360"/>
      <c r="H846" s="360"/>
      <c r="I846" s="360"/>
      <c r="J846" s="360"/>
    </row>
    <row r="847" spans="1:10" s="58" customFormat="1" x14ac:dyDescent="0.2">
      <c r="A847" s="66"/>
      <c r="B847" s="66"/>
      <c r="C847" s="361"/>
      <c r="D847" s="361"/>
      <c r="E847" s="361"/>
      <c r="F847" s="361"/>
      <c r="G847" s="360"/>
      <c r="H847" s="360"/>
      <c r="I847" s="360"/>
      <c r="J847" s="360"/>
    </row>
    <row r="848" spans="1:10" s="58" customFormat="1" x14ac:dyDescent="0.2">
      <c r="A848" s="66"/>
      <c r="B848" s="66"/>
      <c r="C848" s="361"/>
      <c r="D848" s="361"/>
      <c r="E848" s="361"/>
      <c r="F848" s="361"/>
      <c r="G848" s="360"/>
      <c r="H848" s="360"/>
      <c r="I848" s="360"/>
      <c r="J848" s="360"/>
    </row>
    <row r="849" spans="1:10" s="58" customFormat="1" x14ac:dyDescent="0.2">
      <c r="A849" s="66"/>
      <c r="B849" s="66"/>
      <c r="C849" s="361"/>
      <c r="D849" s="361"/>
      <c r="E849" s="361"/>
      <c r="F849" s="361"/>
      <c r="G849" s="360"/>
      <c r="H849" s="360"/>
      <c r="I849" s="360"/>
      <c r="J849" s="360"/>
    </row>
    <row r="850" spans="1:10" s="58" customFormat="1" x14ac:dyDescent="0.2">
      <c r="A850" s="66"/>
      <c r="B850" s="66"/>
      <c r="C850" s="361"/>
      <c r="D850" s="361"/>
      <c r="E850" s="361"/>
      <c r="F850" s="361"/>
      <c r="G850" s="360"/>
      <c r="H850" s="360"/>
      <c r="I850" s="360"/>
      <c r="J850" s="360"/>
    </row>
    <row r="851" spans="1:10" s="58" customFormat="1" x14ac:dyDescent="0.2">
      <c r="A851" s="66"/>
      <c r="B851" s="66"/>
      <c r="C851" s="361"/>
      <c r="D851" s="361"/>
      <c r="E851" s="361"/>
      <c r="F851" s="361"/>
      <c r="G851" s="360"/>
      <c r="H851" s="360"/>
      <c r="I851" s="360"/>
      <c r="J851" s="360"/>
    </row>
    <row r="852" spans="1:10" s="58" customFormat="1" x14ac:dyDescent="0.2">
      <c r="A852" s="66"/>
      <c r="B852" s="66"/>
      <c r="C852" s="361"/>
      <c r="D852" s="361"/>
      <c r="E852" s="361"/>
      <c r="F852" s="361"/>
      <c r="G852" s="360"/>
      <c r="H852" s="360"/>
      <c r="I852" s="360"/>
      <c r="J852" s="360"/>
    </row>
    <row r="853" spans="1:10" s="58" customFormat="1" x14ac:dyDescent="0.2">
      <c r="A853" s="66"/>
      <c r="B853" s="66"/>
      <c r="C853" s="361"/>
      <c r="D853" s="361"/>
      <c r="E853" s="361"/>
      <c r="F853" s="361"/>
      <c r="G853" s="360"/>
      <c r="H853" s="360"/>
      <c r="I853" s="360"/>
      <c r="J853" s="360"/>
    </row>
    <row r="854" spans="1:10" s="58" customFormat="1" x14ac:dyDescent="0.2">
      <c r="A854" s="66"/>
      <c r="B854" s="66"/>
      <c r="C854" s="361"/>
      <c r="D854" s="361"/>
      <c r="E854" s="361"/>
      <c r="F854" s="361"/>
      <c r="G854" s="360"/>
      <c r="H854" s="360"/>
      <c r="I854" s="360"/>
      <c r="J854" s="360"/>
    </row>
    <row r="855" spans="1:10" s="58" customFormat="1" x14ac:dyDescent="0.2">
      <c r="A855" s="66"/>
      <c r="B855" s="66"/>
      <c r="C855" s="361"/>
      <c r="D855" s="361"/>
      <c r="E855" s="361"/>
      <c r="F855" s="361"/>
      <c r="G855" s="360"/>
      <c r="H855" s="360"/>
      <c r="I855" s="360"/>
      <c r="J855" s="360"/>
    </row>
    <row r="856" spans="1:10" s="58" customFormat="1" x14ac:dyDescent="0.2">
      <c r="A856" s="66"/>
      <c r="B856" s="66"/>
      <c r="C856" s="361"/>
      <c r="D856" s="361"/>
      <c r="E856" s="66"/>
      <c r="F856" s="361"/>
      <c r="G856" s="360"/>
      <c r="H856" s="360"/>
      <c r="I856" s="360"/>
      <c r="J856" s="360"/>
    </row>
    <row r="857" spans="1:10" s="58" customFormat="1" x14ac:dyDescent="0.2">
      <c r="A857" s="66"/>
      <c r="B857" s="66"/>
      <c r="C857" s="361"/>
      <c r="D857" s="361"/>
      <c r="E857" s="66"/>
      <c r="F857" s="361"/>
      <c r="G857" s="360"/>
      <c r="H857" s="360"/>
      <c r="I857" s="360"/>
      <c r="J857" s="360"/>
    </row>
    <row r="858" spans="1:10" s="58" customFormat="1" x14ac:dyDescent="0.2">
      <c r="A858" s="66"/>
      <c r="B858" s="66"/>
      <c r="C858" s="361"/>
      <c r="D858" s="361"/>
      <c r="E858" s="66"/>
      <c r="F858" s="361"/>
      <c r="G858" s="360"/>
      <c r="H858" s="360"/>
      <c r="I858" s="360"/>
      <c r="J858" s="360"/>
    </row>
    <row r="859" spans="1:10" s="58" customFormat="1" x14ac:dyDescent="0.2">
      <c r="A859" s="66"/>
      <c r="B859" s="66"/>
      <c r="C859" s="361"/>
      <c r="D859" s="361"/>
      <c r="E859" s="66"/>
      <c r="F859" s="361"/>
      <c r="G859" s="360"/>
      <c r="H859" s="360"/>
      <c r="I859" s="360"/>
      <c r="J859" s="360"/>
    </row>
    <row r="860" spans="1:10" s="58" customFormat="1" x14ac:dyDescent="0.2">
      <c r="A860" s="66"/>
      <c r="B860" s="66"/>
      <c r="C860" s="361"/>
      <c r="D860" s="361"/>
      <c r="E860" s="66"/>
      <c r="F860" s="361"/>
      <c r="G860" s="360"/>
      <c r="H860" s="360"/>
      <c r="I860" s="360"/>
      <c r="J860" s="360"/>
    </row>
    <row r="861" spans="1:10" s="58" customFormat="1" x14ac:dyDescent="0.2">
      <c r="A861" s="66"/>
      <c r="B861" s="66"/>
      <c r="C861" s="361"/>
      <c r="D861" s="361"/>
      <c r="E861" s="66"/>
      <c r="F861" s="361"/>
      <c r="G861" s="360"/>
      <c r="H861" s="360"/>
      <c r="I861" s="360"/>
      <c r="J861" s="360"/>
    </row>
    <row r="862" spans="1:10" s="58" customFormat="1" x14ac:dyDescent="0.2">
      <c r="A862" s="66"/>
      <c r="B862" s="66"/>
      <c r="C862" s="361"/>
      <c r="D862" s="361"/>
      <c r="E862" s="66"/>
      <c r="F862" s="361"/>
      <c r="G862" s="360"/>
      <c r="H862" s="360"/>
      <c r="I862" s="360"/>
      <c r="J862" s="360"/>
    </row>
    <row r="863" spans="1:10" s="58" customFormat="1" x14ac:dyDescent="0.2">
      <c r="A863" s="66"/>
      <c r="B863" s="66"/>
      <c r="C863" s="361"/>
      <c r="D863" s="361"/>
      <c r="E863" s="66"/>
      <c r="F863" s="361"/>
      <c r="G863" s="360"/>
      <c r="H863" s="360"/>
      <c r="I863" s="360"/>
      <c r="J863" s="360"/>
    </row>
    <row r="864" spans="1:10" s="58" customFormat="1" x14ac:dyDescent="0.2">
      <c r="A864" s="66"/>
      <c r="B864" s="66"/>
      <c r="C864" s="361"/>
      <c r="D864" s="361"/>
      <c r="E864" s="66"/>
      <c r="F864" s="361"/>
      <c r="G864" s="360"/>
      <c r="H864" s="360"/>
      <c r="I864" s="360"/>
      <c r="J864" s="360"/>
    </row>
    <row r="865" spans="1:10" s="58" customFormat="1" x14ac:dyDescent="0.2">
      <c r="A865" s="66"/>
      <c r="B865" s="66"/>
      <c r="C865" s="361"/>
      <c r="D865" s="361"/>
      <c r="E865" s="66"/>
      <c r="F865" s="361"/>
      <c r="G865" s="360"/>
      <c r="H865" s="360"/>
      <c r="I865" s="360"/>
      <c r="J865" s="360"/>
    </row>
    <row r="866" spans="1:10" s="58" customFormat="1" x14ac:dyDescent="0.2">
      <c r="A866" s="66"/>
      <c r="B866" s="66"/>
      <c r="C866" s="361"/>
      <c r="D866" s="361"/>
      <c r="E866" s="66"/>
      <c r="F866" s="361"/>
      <c r="G866" s="360"/>
      <c r="H866" s="360"/>
      <c r="I866" s="360"/>
      <c r="J866" s="360"/>
    </row>
    <row r="867" spans="1:10" s="58" customFormat="1" x14ac:dyDescent="0.2">
      <c r="A867" s="66"/>
      <c r="B867" s="66"/>
      <c r="C867" s="361"/>
      <c r="D867" s="361"/>
      <c r="E867" s="66"/>
      <c r="F867" s="361"/>
      <c r="G867" s="360"/>
      <c r="H867" s="360"/>
      <c r="I867" s="360"/>
      <c r="J867" s="360"/>
    </row>
    <row r="868" spans="1:10" s="58" customFormat="1" x14ac:dyDescent="0.2">
      <c r="A868" s="66"/>
      <c r="B868" s="66"/>
      <c r="C868" s="361"/>
      <c r="D868" s="361"/>
      <c r="E868" s="66"/>
      <c r="F868" s="361"/>
      <c r="G868" s="360"/>
      <c r="H868" s="360"/>
      <c r="I868" s="360"/>
      <c r="J868" s="360"/>
    </row>
    <row r="869" spans="1:10" s="58" customFormat="1" x14ac:dyDescent="0.2">
      <c r="A869" s="66"/>
      <c r="B869" s="66"/>
      <c r="C869" s="361"/>
      <c r="D869" s="361"/>
      <c r="E869" s="66"/>
      <c r="F869" s="361"/>
      <c r="G869" s="360"/>
      <c r="H869" s="360"/>
      <c r="I869" s="360"/>
      <c r="J869" s="360"/>
    </row>
    <row r="870" spans="1:10" s="58" customFormat="1" x14ac:dyDescent="0.2">
      <c r="A870" s="66"/>
      <c r="B870" s="66"/>
      <c r="C870" s="361"/>
      <c r="D870" s="361"/>
      <c r="E870" s="66"/>
      <c r="F870" s="361"/>
      <c r="G870" s="360"/>
      <c r="H870" s="360"/>
      <c r="I870" s="360"/>
      <c r="J870" s="360"/>
    </row>
    <row r="871" spans="1:10" s="58" customFormat="1" x14ac:dyDescent="0.2">
      <c r="A871" s="66"/>
      <c r="B871" s="66"/>
      <c r="C871" s="361"/>
      <c r="D871" s="361"/>
      <c r="E871" s="66"/>
      <c r="F871" s="361"/>
      <c r="G871" s="360"/>
      <c r="H871" s="360"/>
      <c r="I871" s="360"/>
      <c r="J871" s="360"/>
    </row>
    <row r="872" spans="1:10" s="58" customFormat="1" x14ac:dyDescent="0.2">
      <c r="A872" s="66"/>
      <c r="B872" s="66"/>
      <c r="C872" s="361"/>
      <c r="D872" s="361"/>
      <c r="E872" s="66"/>
      <c r="F872" s="361"/>
      <c r="G872" s="360"/>
      <c r="H872" s="360"/>
      <c r="I872" s="360"/>
      <c r="J872" s="360"/>
    </row>
    <row r="873" spans="1:10" s="58" customFormat="1" x14ac:dyDescent="0.2">
      <c r="A873" s="66"/>
      <c r="B873" s="66"/>
      <c r="C873" s="361"/>
      <c r="D873" s="361"/>
      <c r="E873" s="66"/>
      <c r="F873" s="361"/>
      <c r="G873" s="360"/>
      <c r="H873" s="360"/>
      <c r="I873" s="360"/>
      <c r="J873" s="360"/>
    </row>
    <row r="874" spans="1:10" s="58" customFormat="1" x14ac:dyDescent="0.2">
      <c r="A874" s="66"/>
      <c r="B874" s="66"/>
      <c r="C874" s="361"/>
      <c r="D874" s="361"/>
      <c r="E874" s="66"/>
      <c r="F874" s="361"/>
      <c r="G874" s="360"/>
      <c r="H874" s="360"/>
      <c r="I874" s="360"/>
      <c r="J874" s="360"/>
    </row>
    <row r="875" spans="1:10" s="58" customFormat="1" x14ac:dyDescent="0.2">
      <c r="A875" s="66"/>
      <c r="B875" s="66"/>
      <c r="C875" s="361"/>
      <c r="D875" s="361"/>
      <c r="E875" s="66"/>
      <c r="F875" s="361"/>
      <c r="G875" s="360"/>
      <c r="H875" s="360"/>
      <c r="I875" s="360"/>
      <c r="J875" s="360"/>
    </row>
    <row r="876" spans="1:10" s="58" customFormat="1" x14ac:dyDescent="0.2">
      <c r="A876" s="66"/>
      <c r="B876" s="66"/>
      <c r="C876" s="361"/>
      <c r="D876" s="361"/>
      <c r="E876" s="66"/>
      <c r="F876" s="361"/>
      <c r="G876" s="360"/>
      <c r="H876" s="360"/>
      <c r="I876" s="360"/>
      <c r="J876" s="360"/>
    </row>
    <row r="877" spans="1:10" s="58" customFormat="1" x14ac:dyDescent="0.2">
      <c r="A877" s="66"/>
      <c r="B877" s="66"/>
      <c r="C877" s="361"/>
      <c r="D877" s="361"/>
      <c r="E877" s="66"/>
      <c r="F877" s="361"/>
      <c r="G877" s="360"/>
      <c r="H877" s="360"/>
      <c r="I877" s="360"/>
      <c r="J877" s="360"/>
    </row>
    <row r="878" spans="1:10" s="58" customFormat="1" x14ac:dyDescent="0.2">
      <c r="A878" s="66"/>
      <c r="B878" s="66"/>
      <c r="C878" s="361"/>
      <c r="D878" s="361"/>
      <c r="E878" s="66"/>
      <c r="F878" s="361"/>
      <c r="G878" s="360"/>
      <c r="H878" s="360"/>
      <c r="I878" s="360"/>
      <c r="J878" s="360"/>
    </row>
    <row r="879" spans="1:10" s="58" customFormat="1" x14ac:dyDescent="0.2">
      <c r="A879" s="66"/>
      <c r="B879" s="66"/>
      <c r="C879" s="361"/>
      <c r="D879" s="361"/>
      <c r="E879" s="66"/>
      <c r="F879" s="361"/>
      <c r="G879" s="360"/>
      <c r="H879" s="360"/>
      <c r="I879" s="360"/>
      <c r="J879" s="360"/>
    </row>
    <row r="880" spans="1:10" s="58" customFormat="1" x14ac:dyDescent="0.2">
      <c r="A880" s="66"/>
      <c r="B880" s="66"/>
      <c r="C880" s="361"/>
      <c r="D880" s="361"/>
      <c r="E880" s="66"/>
      <c r="F880" s="361"/>
      <c r="G880" s="360"/>
      <c r="H880" s="360"/>
      <c r="I880" s="360"/>
      <c r="J880" s="360"/>
    </row>
    <row r="881" spans="1:10" s="58" customFormat="1" x14ac:dyDescent="0.2">
      <c r="A881" s="66"/>
      <c r="B881" s="66"/>
      <c r="C881" s="361"/>
      <c r="D881" s="361"/>
      <c r="E881" s="66"/>
      <c r="F881" s="361"/>
      <c r="G881" s="360"/>
      <c r="H881" s="360"/>
      <c r="I881" s="360"/>
      <c r="J881" s="360"/>
    </row>
    <row r="882" spans="1:10" s="58" customFormat="1" x14ac:dyDescent="0.2">
      <c r="A882" s="66"/>
      <c r="B882" s="66"/>
      <c r="C882" s="361"/>
      <c r="D882" s="361"/>
      <c r="E882" s="66"/>
      <c r="F882" s="361"/>
      <c r="G882" s="360"/>
      <c r="H882" s="360"/>
      <c r="I882" s="360"/>
      <c r="J882" s="360"/>
    </row>
    <row r="883" spans="1:10" s="58" customFormat="1" x14ac:dyDescent="0.2">
      <c r="A883" s="66"/>
      <c r="B883" s="66"/>
      <c r="C883" s="361"/>
      <c r="D883" s="361"/>
      <c r="E883" s="66"/>
      <c r="F883" s="361"/>
      <c r="G883" s="360"/>
      <c r="H883" s="360"/>
      <c r="I883" s="360"/>
      <c r="J883" s="360"/>
    </row>
    <row r="884" spans="1:10" s="58" customFormat="1" x14ac:dyDescent="0.2">
      <c r="A884" s="66"/>
      <c r="B884" s="66"/>
      <c r="C884" s="361"/>
      <c r="D884" s="361"/>
      <c r="E884" s="66"/>
      <c r="F884" s="361"/>
      <c r="G884" s="360"/>
      <c r="H884" s="360"/>
      <c r="I884" s="360"/>
      <c r="J884" s="360"/>
    </row>
    <row r="885" spans="1:10" s="58" customFormat="1" x14ac:dyDescent="0.2">
      <c r="A885" s="66"/>
      <c r="B885" s="66"/>
      <c r="C885" s="361"/>
      <c r="D885" s="361"/>
      <c r="E885" s="66"/>
      <c r="F885" s="361"/>
      <c r="G885" s="360"/>
      <c r="H885" s="360"/>
      <c r="I885" s="360"/>
      <c r="J885" s="360"/>
    </row>
    <row r="886" spans="1:10" s="58" customFormat="1" x14ac:dyDescent="0.2">
      <c r="A886" s="66"/>
      <c r="B886" s="66"/>
      <c r="C886" s="361"/>
      <c r="D886" s="361"/>
      <c r="E886" s="66"/>
      <c r="F886" s="361"/>
      <c r="G886" s="360"/>
      <c r="H886" s="360"/>
      <c r="I886" s="360"/>
      <c r="J886" s="360"/>
    </row>
    <row r="887" spans="1:10" s="58" customFormat="1" x14ac:dyDescent="0.2">
      <c r="A887" s="66"/>
      <c r="B887" s="66"/>
      <c r="C887" s="361"/>
      <c r="D887" s="361"/>
      <c r="E887" s="66"/>
      <c r="F887" s="361"/>
      <c r="G887" s="360"/>
      <c r="H887" s="360"/>
      <c r="I887" s="360"/>
      <c r="J887" s="360"/>
    </row>
    <row r="888" spans="1:10" s="58" customFormat="1" x14ac:dyDescent="0.2">
      <c r="A888" s="66"/>
      <c r="B888" s="66"/>
      <c r="C888" s="361"/>
      <c r="D888" s="361"/>
      <c r="E888" s="66"/>
      <c r="F888" s="361"/>
      <c r="G888" s="360"/>
      <c r="H888" s="360"/>
      <c r="I888" s="360"/>
      <c r="J888" s="360"/>
    </row>
    <row r="889" spans="1:10" s="58" customFormat="1" x14ac:dyDescent="0.2">
      <c r="A889" s="66"/>
      <c r="B889" s="66"/>
      <c r="C889" s="361"/>
      <c r="D889" s="361"/>
      <c r="E889" s="66"/>
      <c r="F889" s="361"/>
      <c r="G889" s="360"/>
      <c r="H889" s="360"/>
      <c r="I889" s="360"/>
      <c r="J889" s="360"/>
    </row>
    <row r="890" spans="1:10" s="58" customFormat="1" x14ac:dyDescent="0.2">
      <c r="A890" s="66"/>
      <c r="B890" s="66"/>
      <c r="C890" s="361"/>
      <c r="D890" s="361"/>
      <c r="E890" s="66"/>
      <c r="F890" s="361"/>
      <c r="G890" s="360"/>
      <c r="H890" s="360"/>
      <c r="I890" s="360"/>
      <c r="J890" s="360"/>
    </row>
    <row r="891" spans="1:10" s="58" customFormat="1" x14ac:dyDescent="0.2">
      <c r="A891" s="66"/>
      <c r="B891" s="66"/>
      <c r="C891" s="361"/>
      <c r="D891" s="361"/>
      <c r="E891" s="66"/>
      <c r="F891" s="361"/>
      <c r="G891" s="360"/>
      <c r="H891" s="360"/>
      <c r="I891" s="360"/>
      <c r="J891" s="360"/>
    </row>
    <row r="892" spans="1:10" s="58" customFormat="1" x14ac:dyDescent="0.2">
      <c r="A892" s="66"/>
      <c r="B892" s="66"/>
      <c r="C892" s="361"/>
      <c r="D892" s="361"/>
      <c r="E892" s="66"/>
      <c r="F892" s="361"/>
      <c r="G892" s="360"/>
      <c r="H892" s="360"/>
      <c r="I892" s="360"/>
      <c r="J892" s="360"/>
    </row>
    <row r="893" spans="1:10" s="58" customFormat="1" x14ac:dyDescent="0.2">
      <c r="A893" s="66"/>
      <c r="B893" s="66"/>
      <c r="C893" s="361"/>
      <c r="D893" s="361"/>
      <c r="E893" s="66"/>
      <c r="F893" s="361"/>
      <c r="G893" s="360"/>
      <c r="H893" s="360"/>
      <c r="I893" s="360"/>
      <c r="J893" s="360"/>
    </row>
    <row r="894" spans="1:10" s="58" customFormat="1" x14ac:dyDescent="0.2">
      <c r="A894" s="66"/>
      <c r="B894" s="66"/>
      <c r="C894" s="361"/>
      <c r="D894" s="361"/>
      <c r="E894" s="66"/>
      <c r="F894" s="361"/>
      <c r="G894" s="360"/>
      <c r="H894" s="360"/>
      <c r="I894" s="360"/>
      <c r="J894" s="360"/>
    </row>
    <row r="895" spans="1:10" s="58" customFormat="1" x14ac:dyDescent="0.2">
      <c r="A895" s="66"/>
      <c r="B895" s="66"/>
      <c r="C895" s="361"/>
      <c r="D895" s="361"/>
      <c r="E895" s="66"/>
      <c r="F895" s="361"/>
      <c r="G895" s="360"/>
      <c r="H895" s="360"/>
      <c r="I895" s="360"/>
      <c r="J895" s="360"/>
    </row>
    <row r="896" spans="1:10" s="58" customFormat="1" x14ac:dyDescent="0.2">
      <c r="A896" s="66"/>
      <c r="B896" s="66"/>
      <c r="C896" s="361"/>
      <c r="D896" s="361"/>
      <c r="E896" s="66"/>
      <c r="F896" s="361"/>
      <c r="G896" s="360"/>
      <c r="H896" s="360"/>
      <c r="I896" s="360"/>
      <c r="J896" s="360"/>
    </row>
    <row r="897" spans="1:10" s="58" customFormat="1" x14ac:dyDescent="0.2">
      <c r="A897" s="66"/>
      <c r="B897" s="66"/>
      <c r="C897" s="361"/>
      <c r="D897" s="361"/>
      <c r="E897" s="66"/>
      <c r="F897" s="361"/>
      <c r="G897" s="360"/>
      <c r="H897" s="360"/>
      <c r="I897" s="360"/>
      <c r="J897" s="360"/>
    </row>
    <row r="898" spans="1:10" s="58" customFormat="1" x14ac:dyDescent="0.2">
      <c r="A898" s="66"/>
      <c r="B898" s="66"/>
      <c r="C898" s="361"/>
      <c r="D898" s="361"/>
      <c r="E898" s="66"/>
      <c r="F898" s="361"/>
      <c r="G898" s="360"/>
      <c r="H898" s="360"/>
      <c r="I898" s="360"/>
      <c r="J898" s="360"/>
    </row>
    <row r="899" spans="1:10" s="58" customFormat="1" x14ac:dyDescent="0.2">
      <c r="A899" s="66"/>
      <c r="B899" s="66"/>
      <c r="C899" s="361"/>
      <c r="D899" s="361"/>
      <c r="E899" s="66"/>
      <c r="F899" s="361"/>
      <c r="G899" s="360"/>
      <c r="H899" s="360"/>
      <c r="I899" s="360"/>
      <c r="J899" s="360"/>
    </row>
    <row r="900" spans="1:10" s="58" customFormat="1" x14ac:dyDescent="0.2">
      <c r="A900" s="66"/>
      <c r="B900" s="66"/>
      <c r="C900" s="361"/>
      <c r="D900" s="361"/>
      <c r="E900" s="66"/>
      <c r="F900" s="361"/>
      <c r="G900" s="360"/>
      <c r="H900" s="360"/>
      <c r="I900" s="360"/>
      <c r="J900" s="360"/>
    </row>
    <row r="901" spans="1:10" s="58" customFormat="1" x14ac:dyDescent="0.2">
      <c r="A901" s="66"/>
      <c r="B901" s="66"/>
      <c r="C901" s="361"/>
      <c r="D901" s="361"/>
      <c r="E901" s="66"/>
      <c r="F901" s="361"/>
      <c r="G901" s="360"/>
      <c r="H901" s="360"/>
      <c r="I901" s="360"/>
      <c r="J901" s="360"/>
    </row>
    <row r="902" spans="1:10" s="58" customFormat="1" x14ac:dyDescent="0.2">
      <c r="A902" s="66"/>
      <c r="B902" s="66"/>
      <c r="C902" s="361"/>
      <c r="D902" s="361"/>
      <c r="E902" s="66"/>
      <c r="F902" s="361"/>
      <c r="G902" s="360"/>
      <c r="H902" s="360"/>
      <c r="I902" s="360"/>
      <c r="J902" s="360"/>
    </row>
    <row r="903" spans="1:10" s="58" customFormat="1" x14ac:dyDescent="0.2">
      <c r="A903" s="66"/>
      <c r="B903" s="66"/>
      <c r="C903" s="361"/>
      <c r="D903" s="361"/>
      <c r="E903" s="66"/>
      <c r="F903" s="361"/>
      <c r="G903" s="360"/>
      <c r="H903" s="360"/>
      <c r="I903" s="360"/>
      <c r="J903" s="360"/>
    </row>
    <row r="904" spans="1:10" s="58" customFormat="1" x14ac:dyDescent="0.2">
      <c r="A904" s="66"/>
      <c r="B904" s="66"/>
      <c r="C904" s="361"/>
      <c r="D904" s="361"/>
      <c r="E904" s="66"/>
      <c r="F904" s="361"/>
      <c r="G904" s="360"/>
      <c r="H904" s="360"/>
      <c r="I904" s="360"/>
      <c r="J904" s="360"/>
    </row>
    <row r="905" spans="1:10" s="58" customFormat="1" x14ac:dyDescent="0.2">
      <c r="A905" s="66"/>
      <c r="B905" s="66"/>
      <c r="C905" s="361"/>
      <c r="D905" s="361"/>
      <c r="E905" s="66"/>
      <c r="F905" s="361"/>
      <c r="G905" s="360"/>
      <c r="H905" s="360"/>
      <c r="I905" s="360"/>
      <c r="J905" s="360"/>
    </row>
    <row r="906" spans="1:10" s="58" customFormat="1" x14ac:dyDescent="0.2">
      <c r="A906" s="66"/>
      <c r="B906" s="66"/>
      <c r="C906" s="361"/>
      <c r="D906" s="361"/>
      <c r="E906" s="66"/>
      <c r="F906" s="361"/>
      <c r="G906" s="360"/>
      <c r="H906" s="360"/>
      <c r="I906" s="360"/>
      <c r="J906" s="360"/>
    </row>
    <row r="907" spans="1:10" s="58" customFormat="1" x14ac:dyDescent="0.2">
      <c r="A907" s="66"/>
      <c r="B907" s="66"/>
      <c r="C907" s="361"/>
      <c r="D907" s="361"/>
      <c r="E907" s="66"/>
      <c r="F907" s="361"/>
      <c r="G907" s="360"/>
      <c r="H907" s="360"/>
      <c r="I907" s="360"/>
      <c r="J907" s="360"/>
    </row>
    <row r="908" spans="1:10" s="58" customFormat="1" x14ac:dyDescent="0.2">
      <c r="A908" s="66"/>
      <c r="B908" s="66"/>
      <c r="C908" s="361"/>
      <c r="D908" s="361"/>
      <c r="E908" s="66"/>
      <c r="F908" s="361"/>
      <c r="G908" s="360"/>
      <c r="H908" s="360"/>
      <c r="I908" s="360"/>
      <c r="J908" s="360"/>
    </row>
    <row r="909" spans="1:10" s="58" customFormat="1" x14ac:dyDescent="0.2">
      <c r="A909" s="66"/>
      <c r="B909" s="66"/>
      <c r="C909" s="361"/>
      <c r="D909" s="361"/>
      <c r="E909" s="66"/>
      <c r="F909" s="361"/>
      <c r="G909" s="360"/>
      <c r="H909" s="360"/>
      <c r="I909" s="360"/>
      <c r="J909" s="360"/>
    </row>
    <row r="910" spans="1:10" s="58" customFormat="1" x14ac:dyDescent="0.2">
      <c r="A910" s="66"/>
      <c r="B910" s="66"/>
      <c r="C910" s="361"/>
      <c r="D910" s="361"/>
      <c r="E910" s="66"/>
      <c r="F910" s="361"/>
      <c r="G910" s="360"/>
      <c r="H910" s="360"/>
      <c r="I910" s="360"/>
      <c r="J910" s="360"/>
    </row>
    <row r="911" spans="1:10" s="58" customFormat="1" x14ac:dyDescent="0.2">
      <c r="A911" s="66"/>
      <c r="B911" s="66"/>
      <c r="C911" s="361"/>
      <c r="D911" s="361"/>
      <c r="E911" s="66"/>
      <c r="F911" s="361"/>
      <c r="G911" s="360"/>
      <c r="H911" s="360"/>
      <c r="I911" s="360"/>
      <c r="J911" s="360"/>
    </row>
    <row r="912" spans="1:10" s="58" customFormat="1" x14ac:dyDescent="0.2">
      <c r="A912" s="66"/>
      <c r="B912" s="66"/>
      <c r="C912" s="361"/>
      <c r="D912" s="361"/>
      <c r="E912" s="66"/>
      <c r="F912" s="361"/>
      <c r="G912" s="360"/>
      <c r="H912" s="360"/>
      <c r="I912" s="360"/>
      <c r="J912" s="360"/>
    </row>
    <row r="913" spans="1:10" s="58" customFormat="1" x14ac:dyDescent="0.2">
      <c r="A913" s="66"/>
      <c r="B913" s="66"/>
      <c r="C913" s="361"/>
      <c r="D913" s="361"/>
      <c r="E913" s="66"/>
      <c r="F913" s="361"/>
      <c r="G913" s="360"/>
      <c r="H913" s="360"/>
      <c r="I913" s="360"/>
      <c r="J913" s="360"/>
    </row>
    <row r="914" spans="1:10" s="58" customFormat="1" x14ac:dyDescent="0.2">
      <c r="A914" s="66"/>
      <c r="B914" s="66"/>
      <c r="C914" s="361"/>
      <c r="D914" s="361"/>
      <c r="E914" s="66"/>
      <c r="F914" s="361"/>
      <c r="G914" s="360"/>
      <c r="H914" s="360"/>
      <c r="I914" s="360"/>
      <c r="J914" s="360"/>
    </row>
    <row r="915" spans="1:10" s="58" customFormat="1" x14ac:dyDescent="0.2">
      <c r="A915" s="66"/>
      <c r="B915" s="66"/>
      <c r="C915" s="361"/>
      <c r="D915" s="361"/>
      <c r="E915" s="66"/>
      <c r="F915" s="361"/>
      <c r="G915" s="360"/>
      <c r="H915" s="360"/>
      <c r="I915" s="360"/>
      <c r="J915" s="360"/>
    </row>
    <row r="916" spans="1:10" s="58" customFormat="1" x14ac:dyDescent="0.2">
      <c r="A916" s="66"/>
      <c r="B916" s="66"/>
      <c r="C916" s="361"/>
      <c r="D916" s="361"/>
      <c r="E916" s="66"/>
      <c r="F916" s="361"/>
      <c r="G916" s="360"/>
      <c r="H916" s="360"/>
      <c r="I916" s="360"/>
      <c r="J916" s="360"/>
    </row>
    <row r="917" spans="1:10" s="58" customFormat="1" x14ac:dyDescent="0.2">
      <c r="A917" s="66"/>
      <c r="B917" s="66"/>
      <c r="C917" s="361"/>
      <c r="D917" s="361"/>
      <c r="E917" s="66"/>
      <c r="F917" s="361"/>
      <c r="G917" s="360"/>
      <c r="H917" s="360"/>
      <c r="I917" s="360"/>
      <c r="J917" s="360"/>
    </row>
    <row r="918" spans="1:10" s="58" customFormat="1" x14ac:dyDescent="0.2">
      <c r="A918" s="66"/>
      <c r="B918" s="66"/>
      <c r="C918" s="361"/>
      <c r="D918" s="361"/>
      <c r="E918" s="66"/>
      <c r="F918" s="361"/>
      <c r="G918" s="360"/>
      <c r="H918" s="360"/>
      <c r="I918" s="360"/>
      <c r="J918" s="360"/>
    </row>
    <row r="919" spans="1:10" s="58" customFormat="1" x14ac:dyDescent="0.2">
      <c r="A919" s="66"/>
      <c r="B919" s="66"/>
      <c r="C919" s="361"/>
      <c r="D919" s="361"/>
      <c r="E919" s="66"/>
      <c r="F919" s="361"/>
      <c r="G919" s="360"/>
      <c r="H919" s="360"/>
      <c r="I919" s="360"/>
      <c r="J919" s="360"/>
    </row>
    <row r="920" spans="1:10" s="58" customFormat="1" x14ac:dyDescent="0.2">
      <c r="A920" s="66"/>
      <c r="B920" s="66"/>
      <c r="C920" s="361"/>
      <c r="D920" s="361"/>
      <c r="E920" s="66"/>
      <c r="F920" s="361"/>
      <c r="G920" s="360"/>
      <c r="H920" s="360"/>
      <c r="I920" s="360"/>
      <c r="J920" s="360"/>
    </row>
    <row r="921" spans="1:10" s="58" customFormat="1" x14ac:dyDescent="0.2">
      <c r="A921" s="66"/>
      <c r="B921" s="66"/>
      <c r="C921" s="361"/>
      <c r="D921" s="361"/>
      <c r="E921" s="66"/>
      <c r="F921" s="361"/>
      <c r="G921" s="360"/>
      <c r="H921" s="360"/>
      <c r="I921" s="360"/>
      <c r="J921" s="360"/>
    </row>
    <row r="922" spans="1:10" s="58" customFormat="1" x14ac:dyDescent="0.2">
      <c r="A922" s="66"/>
      <c r="B922" s="66"/>
      <c r="C922" s="361"/>
      <c r="D922" s="361"/>
      <c r="E922" s="66"/>
      <c r="F922" s="361"/>
      <c r="G922" s="360"/>
      <c r="H922" s="360"/>
      <c r="I922" s="360"/>
      <c r="J922" s="360"/>
    </row>
    <row r="923" spans="1:10" s="58" customFormat="1" x14ac:dyDescent="0.2">
      <c r="A923" s="66"/>
      <c r="B923" s="66"/>
      <c r="C923" s="361"/>
      <c r="D923" s="361"/>
      <c r="E923" s="66"/>
      <c r="F923" s="361"/>
      <c r="G923" s="360"/>
      <c r="H923" s="360"/>
      <c r="I923" s="360"/>
      <c r="J923" s="360"/>
    </row>
    <row r="924" spans="1:10" s="58" customFormat="1" x14ac:dyDescent="0.2">
      <c r="A924" s="66"/>
      <c r="B924" s="66"/>
      <c r="C924" s="361"/>
      <c r="D924" s="361"/>
      <c r="E924" s="66"/>
      <c r="F924" s="361"/>
      <c r="G924" s="360"/>
      <c r="H924" s="360"/>
      <c r="I924" s="360"/>
      <c r="J924" s="360"/>
    </row>
    <row r="925" spans="1:10" s="58" customFormat="1" x14ac:dyDescent="0.2">
      <c r="A925" s="66"/>
      <c r="B925" s="66"/>
      <c r="C925" s="361"/>
      <c r="D925" s="361"/>
      <c r="E925" s="66"/>
      <c r="F925" s="361"/>
      <c r="G925" s="360"/>
      <c r="H925" s="360"/>
      <c r="I925" s="360"/>
      <c r="J925" s="360"/>
    </row>
    <row r="926" spans="1:10" s="58" customFormat="1" x14ac:dyDescent="0.2">
      <c r="A926" s="66"/>
      <c r="B926" s="66"/>
      <c r="C926" s="361"/>
      <c r="D926" s="361"/>
      <c r="E926" s="66"/>
      <c r="F926" s="361"/>
      <c r="G926" s="360"/>
      <c r="H926" s="360"/>
      <c r="I926" s="360"/>
      <c r="J926" s="360"/>
    </row>
    <row r="927" spans="1:10" s="58" customFormat="1" x14ac:dyDescent="0.2">
      <c r="A927" s="66"/>
      <c r="B927" s="66"/>
      <c r="C927" s="361"/>
      <c r="D927" s="361"/>
      <c r="E927" s="66"/>
      <c r="F927" s="361"/>
      <c r="G927" s="360"/>
      <c r="H927" s="360"/>
      <c r="I927" s="360"/>
      <c r="J927" s="360"/>
    </row>
    <row r="928" spans="1:10" s="58" customFormat="1" x14ac:dyDescent="0.2">
      <c r="A928" s="66"/>
      <c r="B928" s="66"/>
      <c r="C928" s="361"/>
      <c r="D928" s="361"/>
      <c r="E928" s="66"/>
      <c r="F928" s="361"/>
      <c r="G928" s="360"/>
      <c r="H928" s="360"/>
      <c r="I928" s="360"/>
      <c r="J928" s="360"/>
    </row>
    <row r="929" spans="1:10" s="58" customFormat="1" x14ac:dyDescent="0.2">
      <c r="A929" s="66"/>
      <c r="B929" s="66"/>
      <c r="C929" s="361"/>
      <c r="D929" s="361"/>
      <c r="E929" s="66"/>
      <c r="F929" s="361"/>
      <c r="G929" s="360"/>
      <c r="H929" s="360"/>
      <c r="I929" s="360"/>
      <c r="J929" s="360"/>
    </row>
    <row r="930" spans="1:10" s="58" customFormat="1" x14ac:dyDescent="0.2">
      <c r="A930" s="66"/>
      <c r="B930" s="66"/>
      <c r="C930" s="361"/>
      <c r="D930" s="361"/>
      <c r="E930" s="66"/>
      <c r="F930" s="361"/>
      <c r="G930" s="360"/>
      <c r="H930" s="360"/>
      <c r="I930" s="360"/>
      <c r="J930" s="360"/>
    </row>
    <row r="931" spans="1:10" s="58" customFormat="1" x14ac:dyDescent="0.2">
      <c r="A931" s="66"/>
      <c r="B931" s="66"/>
      <c r="C931" s="361"/>
      <c r="D931" s="361"/>
      <c r="E931" s="66"/>
      <c r="F931" s="361"/>
      <c r="G931" s="360"/>
      <c r="H931" s="360"/>
      <c r="I931" s="360"/>
      <c r="J931" s="360"/>
    </row>
    <row r="932" spans="1:10" s="58" customFormat="1" x14ac:dyDescent="0.2">
      <c r="A932" s="66"/>
      <c r="B932" s="66"/>
      <c r="C932" s="361"/>
      <c r="D932" s="361"/>
      <c r="E932" s="66"/>
      <c r="F932" s="361"/>
      <c r="G932" s="360"/>
      <c r="H932" s="360"/>
      <c r="I932" s="360"/>
      <c r="J932" s="360"/>
    </row>
    <row r="933" spans="1:10" s="58" customFormat="1" x14ac:dyDescent="0.2">
      <c r="A933" s="66"/>
      <c r="B933" s="66"/>
      <c r="C933" s="361"/>
      <c r="D933" s="361"/>
      <c r="E933" s="66"/>
      <c r="F933" s="361"/>
      <c r="G933" s="360"/>
      <c r="H933" s="360"/>
      <c r="I933" s="360"/>
      <c r="J933" s="360"/>
    </row>
    <row r="934" spans="1:10" s="58" customFormat="1" x14ac:dyDescent="0.2">
      <c r="A934" s="66"/>
      <c r="B934" s="66"/>
      <c r="C934" s="361"/>
      <c r="D934" s="361"/>
      <c r="E934" s="66"/>
      <c r="F934" s="361"/>
      <c r="G934" s="360"/>
      <c r="H934" s="360"/>
      <c r="I934" s="360"/>
      <c r="J934" s="360"/>
    </row>
    <row r="935" spans="1:10" s="58" customFormat="1" x14ac:dyDescent="0.2">
      <c r="A935" s="66"/>
      <c r="B935" s="66"/>
      <c r="C935" s="361"/>
      <c r="D935" s="361"/>
      <c r="E935" s="66"/>
      <c r="F935" s="361"/>
      <c r="G935" s="360"/>
      <c r="H935" s="360"/>
      <c r="I935" s="360"/>
      <c r="J935" s="360"/>
    </row>
    <row r="936" spans="1:10" s="58" customFormat="1" x14ac:dyDescent="0.2">
      <c r="A936" s="66"/>
      <c r="B936" s="66"/>
      <c r="C936" s="361"/>
      <c r="D936" s="361"/>
      <c r="E936" s="66"/>
      <c r="F936" s="361"/>
      <c r="G936" s="360"/>
      <c r="H936" s="360"/>
      <c r="I936" s="360"/>
      <c r="J936" s="360"/>
    </row>
    <row r="937" spans="1:10" s="58" customFormat="1" x14ac:dyDescent="0.2">
      <c r="A937" s="66"/>
      <c r="B937" s="66"/>
      <c r="C937" s="361"/>
      <c r="D937" s="361"/>
      <c r="E937" s="66"/>
      <c r="F937" s="361"/>
      <c r="G937" s="360"/>
      <c r="H937" s="360"/>
      <c r="I937" s="360"/>
      <c r="J937" s="360"/>
    </row>
    <row r="938" spans="1:10" s="58" customFormat="1" x14ac:dyDescent="0.2">
      <c r="A938" s="66"/>
      <c r="B938" s="66"/>
      <c r="C938" s="361"/>
      <c r="D938" s="361"/>
      <c r="E938" s="66"/>
      <c r="F938" s="361"/>
      <c r="G938" s="360"/>
      <c r="H938" s="360"/>
      <c r="I938" s="360"/>
      <c r="J938" s="360"/>
    </row>
    <row r="939" spans="1:10" s="58" customFormat="1" x14ac:dyDescent="0.2">
      <c r="A939" s="66"/>
      <c r="B939" s="66"/>
      <c r="C939" s="361"/>
      <c r="D939" s="361"/>
      <c r="E939" s="66"/>
      <c r="F939" s="361"/>
      <c r="G939" s="360"/>
      <c r="H939" s="360"/>
      <c r="I939" s="360"/>
      <c r="J939" s="360"/>
    </row>
    <row r="940" spans="1:10" s="58" customFormat="1" x14ac:dyDescent="0.2">
      <c r="A940" s="66"/>
      <c r="B940" s="66"/>
      <c r="C940" s="361"/>
      <c r="D940" s="361"/>
      <c r="E940" s="66"/>
      <c r="F940" s="361"/>
      <c r="G940" s="360"/>
      <c r="H940" s="360"/>
      <c r="I940" s="360"/>
      <c r="J940" s="360"/>
    </row>
    <row r="941" spans="1:10" s="58" customFormat="1" x14ac:dyDescent="0.2">
      <c r="A941" s="66"/>
      <c r="B941" s="66"/>
      <c r="C941" s="361"/>
      <c r="D941" s="361"/>
      <c r="E941" s="66"/>
      <c r="F941" s="361"/>
      <c r="G941" s="360"/>
      <c r="H941" s="360"/>
      <c r="I941" s="360"/>
      <c r="J941" s="360"/>
    </row>
    <row r="942" spans="1:10" s="58" customFormat="1" x14ac:dyDescent="0.2">
      <c r="A942" s="66"/>
      <c r="B942" s="66"/>
      <c r="C942" s="361"/>
      <c r="D942" s="361"/>
      <c r="E942" s="66"/>
      <c r="F942" s="361"/>
      <c r="G942" s="360"/>
      <c r="H942" s="360"/>
      <c r="I942" s="360"/>
      <c r="J942" s="360"/>
    </row>
    <row r="943" spans="1:10" s="58" customFormat="1" x14ac:dyDescent="0.2">
      <c r="A943" s="66"/>
      <c r="B943" s="66"/>
      <c r="C943" s="361"/>
      <c r="D943" s="361"/>
      <c r="E943" s="66"/>
      <c r="F943" s="361"/>
      <c r="G943" s="360"/>
      <c r="H943" s="360"/>
      <c r="I943" s="360"/>
      <c r="J943" s="360"/>
    </row>
    <row r="944" spans="1:10" s="58" customFormat="1" x14ac:dyDescent="0.2">
      <c r="A944" s="66"/>
      <c r="B944" s="66"/>
      <c r="C944" s="361"/>
      <c r="D944" s="361"/>
      <c r="E944" s="66"/>
      <c r="F944" s="361"/>
      <c r="G944" s="360"/>
      <c r="H944" s="360"/>
      <c r="I944" s="360"/>
      <c r="J944" s="360"/>
    </row>
    <row r="945" spans="1:10" s="58" customFormat="1" x14ac:dyDescent="0.2">
      <c r="A945" s="66"/>
      <c r="B945" s="66"/>
      <c r="C945" s="361"/>
      <c r="D945" s="361"/>
      <c r="E945" s="66"/>
      <c r="F945" s="361"/>
      <c r="G945" s="360"/>
      <c r="H945" s="360"/>
      <c r="I945" s="360"/>
      <c r="J945" s="360"/>
    </row>
    <row r="946" spans="1:10" s="58" customFormat="1" x14ac:dyDescent="0.2">
      <c r="A946" s="66"/>
      <c r="B946" s="66"/>
      <c r="C946" s="361"/>
      <c r="D946" s="361"/>
      <c r="E946" s="66"/>
      <c r="F946" s="361"/>
      <c r="G946" s="360"/>
      <c r="H946" s="360"/>
      <c r="I946" s="360"/>
      <c r="J946" s="360"/>
    </row>
    <row r="947" spans="1:10" s="58" customFormat="1" x14ac:dyDescent="0.2">
      <c r="A947" s="66"/>
      <c r="B947" s="66"/>
      <c r="C947" s="361"/>
      <c r="D947" s="361"/>
      <c r="E947" s="66"/>
      <c r="F947" s="361"/>
      <c r="G947" s="360"/>
      <c r="H947" s="360"/>
      <c r="I947" s="360"/>
      <c r="J947" s="360"/>
    </row>
    <row r="948" spans="1:10" s="58" customFormat="1" x14ac:dyDescent="0.2">
      <c r="A948" s="66"/>
      <c r="B948" s="66"/>
      <c r="C948" s="361"/>
      <c r="D948" s="361"/>
      <c r="E948" s="66"/>
      <c r="F948" s="361"/>
      <c r="G948" s="360"/>
      <c r="H948" s="360"/>
      <c r="I948" s="360"/>
      <c r="J948" s="360"/>
    </row>
    <row r="949" spans="1:10" s="58" customFormat="1" x14ac:dyDescent="0.2">
      <c r="A949" s="66"/>
      <c r="B949" s="66"/>
      <c r="C949" s="361"/>
      <c r="D949" s="361"/>
      <c r="E949" s="66"/>
      <c r="F949" s="361"/>
      <c r="G949" s="360"/>
      <c r="H949" s="360"/>
      <c r="I949" s="360"/>
      <c r="J949" s="360"/>
    </row>
    <row r="950" spans="1:10" s="58" customFormat="1" x14ac:dyDescent="0.2">
      <c r="A950" s="66"/>
      <c r="B950" s="66"/>
      <c r="C950" s="361"/>
      <c r="D950" s="361"/>
      <c r="E950" s="66"/>
      <c r="F950" s="361"/>
      <c r="G950" s="360"/>
      <c r="H950" s="360"/>
      <c r="I950" s="360"/>
      <c r="J950" s="360"/>
    </row>
    <row r="951" spans="1:10" s="58" customFormat="1" x14ac:dyDescent="0.2">
      <c r="A951" s="66"/>
      <c r="B951" s="66"/>
      <c r="C951" s="361"/>
      <c r="D951" s="361"/>
      <c r="E951" s="66"/>
      <c r="F951" s="361"/>
      <c r="G951" s="360"/>
      <c r="H951" s="360"/>
      <c r="I951" s="360"/>
      <c r="J951" s="360"/>
    </row>
    <row r="952" spans="1:10" s="58" customFormat="1" x14ac:dyDescent="0.2">
      <c r="A952" s="66"/>
      <c r="B952" s="66"/>
      <c r="C952" s="361"/>
      <c r="D952" s="361"/>
      <c r="E952" s="66"/>
      <c r="F952" s="361"/>
      <c r="G952" s="360"/>
      <c r="H952" s="360"/>
      <c r="I952" s="360"/>
      <c r="J952" s="360"/>
    </row>
    <row r="953" spans="1:10" s="58" customFormat="1" x14ac:dyDescent="0.2">
      <c r="A953" s="66"/>
      <c r="B953" s="66"/>
      <c r="C953" s="361"/>
      <c r="D953" s="361"/>
      <c r="E953" s="66"/>
      <c r="F953" s="361"/>
      <c r="G953" s="360"/>
      <c r="H953" s="360"/>
      <c r="I953" s="360"/>
      <c r="J953" s="360"/>
    </row>
    <row r="954" spans="1:10" s="58" customFormat="1" x14ac:dyDescent="0.2">
      <c r="A954" s="66"/>
      <c r="B954" s="66"/>
      <c r="C954" s="361"/>
      <c r="D954" s="361"/>
      <c r="E954" s="66"/>
      <c r="F954" s="361"/>
      <c r="G954" s="360"/>
      <c r="H954" s="360"/>
      <c r="I954" s="360"/>
      <c r="J954" s="360"/>
    </row>
    <row r="955" spans="1:10" s="58" customFormat="1" x14ac:dyDescent="0.2">
      <c r="A955" s="66"/>
      <c r="B955" s="66"/>
      <c r="C955" s="361"/>
      <c r="D955" s="361"/>
      <c r="E955" s="66"/>
      <c r="F955" s="361"/>
      <c r="G955" s="360"/>
      <c r="H955" s="360"/>
      <c r="I955" s="360"/>
      <c r="J955" s="360"/>
    </row>
    <row r="956" spans="1:10" s="58" customFormat="1" x14ac:dyDescent="0.2">
      <c r="A956" s="66"/>
      <c r="B956" s="66"/>
      <c r="C956" s="361"/>
      <c r="D956" s="361"/>
      <c r="E956" s="66"/>
      <c r="F956" s="361"/>
      <c r="G956" s="360"/>
      <c r="H956" s="360"/>
      <c r="I956" s="360"/>
      <c r="J956" s="360"/>
    </row>
    <row r="957" spans="1:10" s="58" customFormat="1" x14ac:dyDescent="0.2">
      <c r="A957" s="66"/>
      <c r="B957" s="66"/>
      <c r="C957" s="361"/>
      <c r="D957" s="361"/>
      <c r="E957" s="66"/>
      <c r="F957" s="361"/>
      <c r="G957" s="360"/>
      <c r="H957" s="360"/>
      <c r="I957" s="360"/>
      <c r="J957" s="360"/>
    </row>
    <row r="958" spans="1:10" s="58" customFormat="1" x14ac:dyDescent="0.2">
      <c r="A958" s="66"/>
      <c r="B958" s="66"/>
      <c r="C958" s="361"/>
      <c r="D958" s="361"/>
      <c r="E958" s="66"/>
      <c r="F958" s="361"/>
      <c r="G958" s="360"/>
      <c r="H958" s="360"/>
      <c r="I958" s="360"/>
      <c r="J958" s="360"/>
    </row>
    <row r="959" spans="1:10" s="58" customFormat="1" x14ac:dyDescent="0.2">
      <c r="A959" s="66"/>
      <c r="B959" s="66"/>
      <c r="C959" s="361"/>
      <c r="D959" s="361"/>
      <c r="E959" s="66"/>
      <c r="F959" s="361"/>
      <c r="G959" s="360"/>
      <c r="H959" s="360"/>
      <c r="I959" s="360"/>
      <c r="J959" s="360"/>
    </row>
    <row r="960" spans="1:10" s="58" customFormat="1" x14ac:dyDescent="0.2">
      <c r="A960" s="66"/>
      <c r="B960" s="66"/>
      <c r="C960" s="361"/>
      <c r="D960" s="361"/>
      <c r="E960" s="66"/>
      <c r="F960" s="361"/>
      <c r="G960" s="360"/>
      <c r="H960" s="360"/>
      <c r="I960" s="360"/>
      <c r="J960" s="360"/>
    </row>
    <row r="961" spans="1:10" s="58" customFormat="1" x14ac:dyDescent="0.2">
      <c r="A961" s="66"/>
      <c r="B961" s="66"/>
      <c r="C961" s="361"/>
      <c r="D961" s="361"/>
      <c r="E961" s="66"/>
      <c r="F961" s="361"/>
      <c r="G961" s="360"/>
      <c r="H961" s="360"/>
      <c r="I961" s="360"/>
      <c r="J961" s="360"/>
    </row>
    <row r="962" spans="1:10" s="58" customFormat="1" x14ac:dyDescent="0.2">
      <c r="A962" s="66"/>
      <c r="B962" s="66"/>
      <c r="C962" s="361"/>
      <c r="D962" s="361"/>
      <c r="E962" s="66"/>
      <c r="F962" s="361"/>
      <c r="G962" s="360"/>
      <c r="H962" s="360"/>
      <c r="I962" s="360"/>
      <c r="J962" s="360"/>
    </row>
    <row r="963" spans="1:10" s="58" customFormat="1" x14ac:dyDescent="0.2">
      <c r="A963" s="66"/>
      <c r="B963" s="66"/>
      <c r="C963" s="361"/>
      <c r="D963" s="361"/>
      <c r="E963" s="66"/>
      <c r="F963" s="361"/>
      <c r="G963" s="360"/>
      <c r="H963" s="360"/>
      <c r="I963" s="360"/>
      <c r="J963" s="360"/>
    </row>
    <row r="964" spans="1:10" s="58" customFormat="1" x14ac:dyDescent="0.2">
      <c r="A964" s="66"/>
      <c r="B964" s="66"/>
      <c r="C964" s="361"/>
      <c r="D964" s="361"/>
      <c r="E964" s="66"/>
      <c r="F964" s="361"/>
      <c r="G964" s="360"/>
      <c r="H964" s="360"/>
      <c r="I964" s="360"/>
      <c r="J964" s="360"/>
    </row>
    <row r="965" spans="1:10" s="58" customFormat="1" x14ac:dyDescent="0.2">
      <c r="A965" s="66"/>
      <c r="B965" s="66"/>
      <c r="C965" s="361"/>
      <c r="D965" s="361"/>
      <c r="E965" s="66"/>
      <c r="F965" s="361"/>
      <c r="G965" s="360"/>
      <c r="H965" s="360"/>
      <c r="I965" s="360"/>
      <c r="J965" s="360"/>
    </row>
    <row r="966" spans="1:10" s="58" customFormat="1" x14ac:dyDescent="0.2">
      <c r="A966" s="66"/>
      <c r="B966" s="66"/>
      <c r="C966" s="361"/>
      <c r="D966" s="361"/>
      <c r="E966" s="66"/>
      <c r="F966" s="361"/>
      <c r="G966" s="360"/>
      <c r="H966" s="360"/>
      <c r="I966" s="360"/>
      <c r="J966" s="360"/>
    </row>
    <row r="967" spans="1:10" s="58" customFormat="1" x14ac:dyDescent="0.2">
      <c r="A967" s="66"/>
      <c r="B967" s="66"/>
      <c r="C967" s="361"/>
      <c r="D967" s="361"/>
      <c r="E967" s="66"/>
      <c r="F967" s="361"/>
      <c r="G967" s="360"/>
      <c r="H967" s="360"/>
      <c r="I967" s="360"/>
      <c r="J967" s="360"/>
    </row>
    <row r="968" spans="1:10" s="58" customFormat="1" x14ac:dyDescent="0.2">
      <c r="A968" s="66"/>
      <c r="B968" s="66"/>
      <c r="C968" s="361"/>
      <c r="D968" s="361"/>
      <c r="E968" s="66"/>
      <c r="F968" s="361"/>
      <c r="G968" s="360"/>
      <c r="H968" s="360"/>
      <c r="I968" s="360"/>
      <c r="J968" s="360"/>
    </row>
    <row r="969" spans="1:10" s="58" customFormat="1" x14ac:dyDescent="0.2">
      <c r="A969" s="66"/>
      <c r="B969" s="66"/>
      <c r="C969" s="361"/>
      <c r="D969" s="361"/>
      <c r="E969" s="66"/>
      <c r="F969" s="361"/>
      <c r="G969" s="360"/>
      <c r="H969" s="360"/>
      <c r="I969" s="360"/>
      <c r="J969" s="360"/>
    </row>
    <row r="970" spans="1:10" s="58" customFormat="1" x14ac:dyDescent="0.2">
      <c r="A970" s="66"/>
      <c r="B970" s="66"/>
      <c r="C970" s="361"/>
      <c r="D970" s="361"/>
      <c r="E970" s="66"/>
      <c r="F970" s="361"/>
      <c r="G970" s="360"/>
      <c r="H970" s="360"/>
      <c r="I970" s="360"/>
      <c r="J970" s="360"/>
    </row>
    <row r="971" spans="1:10" s="58" customFormat="1" x14ac:dyDescent="0.2">
      <c r="A971" s="66"/>
      <c r="B971" s="66"/>
      <c r="C971" s="361"/>
      <c r="D971" s="361"/>
      <c r="E971" s="66"/>
      <c r="F971" s="361"/>
      <c r="G971" s="360"/>
      <c r="H971" s="360"/>
      <c r="I971" s="360"/>
      <c r="J971" s="360"/>
    </row>
    <row r="972" spans="1:10" s="58" customFormat="1" x14ac:dyDescent="0.2">
      <c r="A972" s="66"/>
      <c r="B972" s="66"/>
      <c r="C972" s="361"/>
      <c r="D972" s="361"/>
      <c r="E972" s="66"/>
      <c r="F972" s="361"/>
      <c r="G972" s="360"/>
      <c r="H972" s="360"/>
      <c r="I972" s="360"/>
      <c r="J972" s="360"/>
    </row>
    <row r="973" spans="1:10" s="58" customFormat="1" x14ac:dyDescent="0.2">
      <c r="A973" s="66"/>
      <c r="B973" s="66"/>
      <c r="C973" s="361"/>
      <c r="D973" s="361"/>
      <c r="E973" s="66"/>
      <c r="F973" s="361"/>
      <c r="G973" s="360"/>
      <c r="H973" s="360"/>
      <c r="I973" s="360"/>
      <c r="J973" s="360"/>
    </row>
    <row r="974" spans="1:10" s="58" customFormat="1" x14ac:dyDescent="0.2">
      <c r="A974" s="66"/>
      <c r="B974" s="66"/>
      <c r="C974" s="361"/>
      <c r="D974" s="361"/>
      <c r="E974" s="66"/>
      <c r="F974" s="361"/>
      <c r="G974" s="360"/>
      <c r="H974" s="360"/>
      <c r="I974" s="360"/>
      <c r="J974" s="360"/>
    </row>
    <row r="975" spans="1:10" s="58" customFormat="1" x14ac:dyDescent="0.2">
      <c r="A975" s="66"/>
      <c r="B975" s="66"/>
      <c r="C975" s="361"/>
      <c r="D975" s="361"/>
      <c r="E975" s="66"/>
      <c r="F975" s="361"/>
      <c r="G975" s="360"/>
      <c r="H975" s="360"/>
      <c r="I975" s="360"/>
      <c r="J975" s="360"/>
    </row>
    <row r="976" spans="1:10" s="58" customFormat="1" x14ac:dyDescent="0.2">
      <c r="A976" s="66"/>
      <c r="B976" s="66"/>
      <c r="C976" s="361"/>
      <c r="D976" s="361"/>
      <c r="E976" s="66"/>
      <c r="F976" s="361"/>
      <c r="G976" s="360"/>
      <c r="H976" s="360"/>
      <c r="I976" s="360"/>
      <c r="J976" s="360"/>
    </row>
    <row r="977" spans="1:10" s="58" customFormat="1" x14ac:dyDescent="0.2">
      <c r="A977" s="66"/>
      <c r="B977" s="66"/>
      <c r="C977" s="361"/>
      <c r="D977" s="361"/>
      <c r="E977" s="66"/>
      <c r="F977" s="361"/>
      <c r="G977" s="360"/>
      <c r="H977" s="360"/>
      <c r="I977" s="360"/>
      <c r="J977" s="360"/>
    </row>
    <row r="978" spans="1:10" s="58" customFormat="1" x14ac:dyDescent="0.2">
      <c r="A978" s="66"/>
      <c r="B978" s="66"/>
      <c r="C978" s="361"/>
      <c r="D978" s="361"/>
      <c r="E978" s="66"/>
      <c r="F978" s="361"/>
      <c r="G978" s="360"/>
      <c r="H978" s="360"/>
      <c r="I978" s="360"/>
      <c r="J978" s="360"/>
    </row>
    <row r="979" spans="1:10" s="58" customFormat="1" x14ac:dyDescent="0.2">
      <c r="A979" s="66"/>
      <c r="B979" s="66"/>
      <c r="C979" s="361"/>
      <c r="D979" s="361"/>
      <c r="E979" s="66"/>
      <c r="F979" s="361"/>
      <c r="G979" s="360"/>
      <c r="H979" s="360"/>
      <c r="I979" s="360"/>
      <c r="J979" s="360"/>
    </row>
    <row r="980" spans="1:10" s="58" customFormat="1" x14ac:dyDescent="0.2">
      <c r="A980" s="66"/>
      <c r="B980" s="66"/>
      <c r="C980" s="361"/>
      <c r="D980" s="361"/>
      <c r="E980" s="66"/>
      <c r="F980" s="361"/>
      <c r="G980" s="360"/>
      <c r="H980" s="360"/>
      <c r="I980" s="360"/>
      <c r="J980" s="360"/>
    </row>
    <row r="981" spans="1:10" s="58" customFormat="1" x14ac:dyDescent="0.2">
      <c r="A981" s="66"/>
      <c r="B981" s="66"/>
      <c r="C981" s="361"/>
      <c r="D981" s="361"/>
      <c r="E981" s="66"/>
      <c r="F981" s="361"/>
      <c r="G981" s="360"/>
      <c r="H981" s="360"/>
      <c r="I981" s="360"/>
      <c r="J981" s="360"/>
    </row>
    <row r="982" spans="1:10" s="58" customFormat="1" x14ac:dyDescent="0.2">
      <c r="A982" s="66"/>
      <c r="B982" s="66"/>
      <c r="C982" s="361"/>
      <c r="D982" s="361"/>
      <c r="E982" s="66"/>
      <c r="F982" s="361"/>
      <c r="G982" s="360"/>
      <c r="H982" s="360"/>
      <c r="I982" s="360"/>
      <c r="J982" s="360"/>
    </row>
    <row r="983" spans="1:10" s="58" customFormat="1" x14ac:dyDescent="0.2">
      <c r="A983" s="66"/>
      <c r="B983" s="66"/>
      <c r="C983" s="361"/>
      <c r="D983" s="361"/>
      <c r="E983" s="66"/>
      <c r="F983" s="361"/>
      <c r="G983" s="360"/>
      <c r="H983" s="360"/>
      <c r="I983" s="360"/>
      <c r="J983" s="360"/>
    </row>
    <row r="984" spans="1:10" s="58" customFormat="1" x14ac:dyDescent="0.2">
      <c r="A984" s="66"/>
      <c r="B984" s="66"/>
      <c r="C984" s="361"/>
      <c r="D984" s="361"/>
      <c r="E984" s="66"/>
      <c r="F984" s="361"/>
      <c r="G984" s="360"/>
      <c r="H984" s="360"/>
      <c r="I984" s="360"/>
      <c r="J984" s="360"/>
    </row>
    <row r="985" spans="1:10" s="58" customFormat="1" x14ac:dyDescent="0.2">
      <c r="A985" s="66"/>
      <c r="B985" s="66"/>
      <c r="C985" s="361"/>
      <c r="D985" s="361"/>
      <c r="E985" s="66"/>
      <c r="F985" s="361"/>
      <c r="G985" s="360"/>
      <c r="H985" s="360"/>
      <c r="I985" s="360"/>
      <c r="J985" s="360"/>
    </row>
    <row r="986" spans="1:10" s="58" customFormat="1" x14ac:dyDescent="0.2">
      <c r="A986" s="66"/>
      <c r="B986" s="66"/>
      <c r="C986" s="361"/>
      <c r="D986" s="361"/>
      <c r="E986" s="66"/>
      <c r="F986" s="361"/>
      <c r="G986" s="360"/>
      <c r="H986" s="360"/>
      <c r="I986" s="360"/>
      <c r="J986" s="360"/>
    </row>
    <row r="987" spans="1:10" s="58" customFormat="1" x14ac:dyDescent="0.2">
      <c r="A987" s="66"/>
      <c r="B987" s="66"/>
      <c r="C987" s="361"/>
      <c r="D987" s="361"/>
      <c r="E987" s="66"/>
      <c r="F987" s="361"/>
      <c r="G987" s="360"/>
      <c r="H987" s="360"/>
      <c r="I987" s="360"/>
      <c r="J987" s="360"/>
    </row>
    <row r="988" spans="1:10" s="58" customFormat="1" x14ac:dyDescent="0.2">
      <c r="A988" s="66"/>
      <c r="B988" s="66"/>
      <c r="C988" s="361"/>
      <c r="D988" s="361"/>
      <c r="E988" s="66"/>
      <c r="F988" s="361"/>
      <c r="G988" s="360"/>
      <c r="H988" s="360"/>
      <c r="I988" s="360"/>
      <c r="J988" s="360"/>
    </row>
    <row r="989" spans="1:10" s="58" customFormat="1" x14ac:dyDescent="0.2">
      <c r="A989" s="66"/>
      <c r="B989" s="66"/>
      <c r="C989" s="361"/>
      <c r="D989" s="361"/>
      <c r="E989" s="66"/>
      <c r="F989" s="361"/>
      <c r="G989" s="360"/>
      <c r="H989" s="360"/>
      <c r="I989" s="360"/>
      <c r="J989" s="360"/>
    </row>
    <row r="990" spans="1:10" s="58" customFormat="1" x14ac:dyDescent="0.2">
      <c r="A990" s="66"/>
      <c r="B990" s="66"/>
      <c r="C990" s="361"/>
      <c r="D990" s="361"/>
      <c r="E990" s="66"/>
      <c r="F990" s="361"/>
      <c r="G990" s="360"/>
      <c r="H990" s="360"/>
      <c r="I990" s="360"/>
      <c r="J990" s="360"/>
    </row>
    <row r="991" spans="1:10" s="58" customFormat="1" x14ac:dyDescent="0.2">
      <c r="A991" s="66"/>
      <c r="B991" s="66"/>
      <c r="C991" s="361"/>
      <c r="D991" s="361"/>
      <c r="E991" s="66"/>
      <c r="F991" s="361"/>
      <c r="G991" s="360"/>
      <c r="H991" s="360"/>
      <c r="I991" s="360"/>
      <c r="J991" s="360"/>
    </row>
    <row r="992" spans="1:10" s="58" customFormat="1" x14ac:dyDescent="0.2">
      <c r="A992" s="66"/>
      <c r="B992" s="66"/>
      <c r="C992" s="361"/>
      <c r="D992" s="361"/>
      <c r="E992" s="66"/>
      <c r="F992" s="361"/>
      <c r="G992" s="360"/>
      <c r="H992" s="360"/>
      <c r="I992" s="360"/>
      <c r="J992" s="360"/>
    </row>
    <row r="993" spans="1:10" s="58" customFormat="1" x14ac:dyDescent="0.2">
      <c r="A993" s="66"/>
      <c r="B993" s="66"/>
      <c r="C993" s="361"/>
      <c r="D993" s="361"/>
      <c r="E993" s="66"/>
      <c r="F993" s="361"/>
      <c r="G993" s="360"/>
      <c r="H993" s="360"/>
      <c r="I993" s="360"/>
      <c r="J993" s="360"/>
    </row>
    <row r="994" spans="1:10" s="58" customFormat="1" x14ac:dyDescent="0.2">
      <c r="A994" s="66"/>
      <c r="B994" s="66"/>
      <c r="C994" s="361"/>
      <c r="D994" s="361"/>
      <c r="E994" s="66"/>
      <c r="F994" s="361"/>
      <c r="G994" s="360"/>
      <c r="H994" s="360"/>
      <c r="I994" s="360"/>
      <c r="J994" s="360"/>
    </row>
    <row r="995" spans="1:10" s="58" customFormat="1" x14ac:dyDescent="0.2">
      <c r="A995" s="66"/>
      <c r="B995" s="66"/>
      <c r="C995" s="361"/>
      <c r="D995" s="361"/>
      <c r="E995" s="66"/>
      <c r="F995" s="361"/>
      <c r="G995" s="360"/>
      <c r="H995" s="368"/>
      <c r="I995" s="368"/>
      <c r="J995" s="360"/>
    </row>
    <row r="996" spans="1:10" s="58" customFormat="1" x14ac:dyDescent="0.2">
      <c r="A996" s="66"/>
      <c r="B996" s="66"/>
      <c r="C996" s="361"/>
      <c r="D996" s="361"/>
      <c r="E996" s="66"/>
      <c r="F996" s="361"/>
      <c r="G996" s="360"/>
      <c r="H996" s="368"/>
      <c r="I996" s="368"/>
      <c r="J996" s="360"/>
    </row>
    <row r="997" spans="1:10" s="58" customFormat="1" x14ac:dyDescent="0.2">
      <c r="A997" s="66"/>
      <c r="B997" s="66"/>
      <c r="C997" s="361"/>
      <c r="D997" s="361"/>
      <c r="E997" s="66"/>
      <c r="F997" s="361"/>
      <c r="G997" s="360"/>
      <c r="H997" s="368"/>
      <c r="I997" s="368"/>
      <c r="J997" s="360"/>
    </row>
    <row r="998" spans="1:10" s="58" customFormat="1" x14ac:dyDescent="0.2">
      <c r="A998" s="66"/>
      <c r="B998" s="66"/>
      <c r="C998" s="361"/>
      <c r="D998" s="361"/>
      <c r="E998" s="66"/>
      <c r="F998" s="361"/>
      <c r="G998" s="360"/>
      <c r="H998" s="368"/>
      <c r="I998" s="368"/>
      <c r="J998" s="360"/>
    </row>
    <row r="999" spans="1:10" s="58" customFormat="1" x14ac:dyDescent="0.2">
      <c r="A999" s="66"/>
      <c r="B999" s="66"/>
      <c r="C999" s="361"/>
      <c r="D999" s="361"/>
      <c r="E999" s="66"/>
      <c r="F999" s="361"/>
      <c r="G999" s="360"/>
      <c r="H999" s="368"/>
      <c r="I999" s="368"/>
      <c r="J999" s="360"/>
    </row>
    <row r="1000" spans="1:10" s="58" customFormat="1" x14ac:dyDescent="0.2">
      <c r="A1000" s="367"/>
      <c r="B1000" s="367"/>
      <c r="C1000" s="361"/>
      <c r="D1000" s="361"/>
      <c r="E1000" s="66"/>
      <c r="F1000" s="361"/>
      <c r="G1000" s="360"/>
      <c r="H1000" s="368"/>
      <c r="I1000" s="368"/>
      <c r="J1000" s="360"/>
    </row>
    <row r="1001" spans="1:10" s="58" customFormat="1" x14ac:dyDescent="0.2">
      <c r="A1001" s="356"/>
      <c r="B1001" s="356"/>
      <c r="C1001" s="361"/>
      <c r="D1001" s="361"/>
      <c r="E1001" s="66"/>
      <c r="F1001" s="361"/>
      <c r="G1001" s="360"/>
      <c r="H1001" s="368"/>
      <c r="I1001" s="368"/>
      <c r="J1001" s="360"/>
    </row>
    <row r="1002" spans="1:10" s="58" customFormat="1" x14ac:dyDescent="0.2">
      <c r="A1002" s="356"/>
      <c r="B1002" s="356"/>
      <c r="C1002" s="361"/>
      <c r="D1002" s="361"/>
      <c r="E1002" s="66"/>
      <c r="F1002" s="361"/>
      <c r="G1002" s="360"/>
      <c r="H1002" s="368"/>
      <c r="I1002" s="368"/>
      <c r="J1002" s="360"/>
    </row>
    <row r="1003" spans="1:10" x14ac:dyDescent="0.2">
      <c r="C1003" s="361"/>
      <c r="D1003" s="361"/>
      <c r="E1003" s="66"/>
      <c r="F1003" s="361"/>
      <c r="G1003" s="368"/>
      <c r="H1003" s="368"/>
      <c r="I1003" s="368"/>
      <c r="J1003" s="368"/>
    </row>
    <row r="1004" spans="1:10" x14ac:dyDescent="0.2">
      <c r="C1004" s="368"/>
      <c r="D1004" s="368"/>
      <c r="F1004" s="368"/>
      <c r="G1004" s="368"/>
      <c r="H1004" s="368"/>
      <c r="I1004" s="368"/>
      <c r="J1004" s="368"/>
    </row>
    <row r="1005" spans="1:10" x14ac:dyDescent="0.2">
      <c r="C1005" s="368"/>
      <c r="D1005" s="368"/>
      <c r="F1005" s="368"/>
      <c r="G1005" s="368"/>
      <c r="H1005" s="368"/>
      <c r="I1005" s="368"/>
      <c r="J1005" s="368"/>
    </row>
    <row r="1006" spans="1:10" x14ac:dyDescent="0.2">
      <c r="C1006" s="368"/>
      <c r="D1006" s="368"/>
      <c r="F1006" s="368"/>
      <c r="G1006" s="368"/>
      <c r="H1006" s="368"/>
      <c r="I1006" s="368"/>
      <c r="J1006" s="368"/>
    </row>
    <row r="1007" spans="1:10" x14ac:dyDescent="0.2">
      <c r="C1007" s="368"/>
      <c r="D1007" s="368"/>
      <c r="F1007" s="368"/>
      <c r="G1007" s="368"/>
      <c r="H1007" s="368"/>
      <c r="I1007" s="368"/>
      <c r="J1007" s="368"/>
    </row>
    <row r="1008" spans="1:10" x14ac:dyDescent="0.2">
      <c r="C1008" s="368"/>
      <c r="D1008" s="368"/>
      <c r="F1008" s="368"/>
      <c r="G1008" s="368"/>
      <c r="H1008" s="368"/>
      <c r="I1008" s="368"/>
      <c r="J1008" s="368"/>
    </row>
    <row r="1009" spans="3:10" x14ac:dyDescent="0.2">
      <c r="C1009" s="368"/>
      <c r="D1009" s="368"/>
      <c r="F1009" s="368"/>
      <c r="G1009" s="368"/>
      <c r="H1009" s="368"/>
      <c r="I1009" s="368"/>
      <c r="J1009" s="368"/>
    </row>
    <row r="1010" spans="3:10" x14ac:dyDescent="0.2">
      <c r="C1010" s="368"/>
      <c r="D1010" s="368"/>
      <c r="F1010" s="368"/>
      <c r="G1010" s="368"/>
      <c r="H1010" s="368"/>
      <c r="I1010" s="368"/>
      <c r="J1010" s="368"/>
    </row>
    <row r="1011" spans="3:10" x14ac:dyDescent="0.2">
      <c r="C1011" s="368"/>
      <c r="D1011" s="368"/>
      <c r="F1011" s="368"/>
      <c r="G1011" s="368"/>
      <c r="H1011" s="368"/>
      <c r="I1011" s="368"/>
      <c r="J1011" s="368"/>
    </row>
    <row r="1012" spans="3:10" x14ac:dyDescent="0.2">
      <c r="C1012" s="368"/>
      <c r="D1012" s="368"/>
      <c r="F1012" s="368"/>
      <c r="G1012" s="368"/>
      <c r="H1012" s="368"/>
      <c r="I1012" s="368"/>
      <c r="J1012" s="368"/>
    </row>
    <row r="1013" spans="3:10" x14ac:dyDescent="0.2">
      <c r="C1013" s="368"/>
      <c r="D1013" s="368"/>
      <c r="F1013" s="368"/>
      <c r="G1013" s="368"/>
      <c r="H1013" s="368"/>
      <c r="I1013" s="368"/>
      <c r="J1013" s="368"/>
    </row>
    <row r="1014" spans="3:10" x14ac:dyDescent="0.2">
      <c r="C1014" s="368"/>
      <c r="D1014" s="368"/>
      <c r="F1014" s="368"/>
      <c r="G1014" s="368"/>
      <c r="H1014" s="368"/>
      <c r="I1014" s="368"/>
      <c r="J1014" s="368"/>
    </row>
    <row r="1015" spans="3:10" x14ac:dyDescent="0.2">
      <c r="C1015" s="368"/>
      <c r="D1015" s="368"/>
      <c r="F1015" s="368"/>
      <c r="G1015" s="368"/>
      <c r="H1015" s="368"/>
      <c r="I1015" s="368"/>
      <c r="J1015" s="368"/>
    </row>
    <row r="1016" spans="3:10" x14ac:dyDescent="0.2">
      <c r="C1016" s="368"/>
      <c r="D1016" s="368"/>
      <c r="F1016" s="368"/>
      <c r="G1016" s="368"/>
      <c r="H1016" s="368"/>
      <c r="I1016" s="368"/>
      <c r="J1016" s="368"/>
    </row>
    <row r="1017" spans="3:10" x14ac:dyDescent="0.2">
      <c r="C1017" s="368"/>
      <c r="D1017" s="368"/>
      <c r="F1017" s="368"/>
      <c r="G1017" s="368"/>
      <c r="H1017" s="368"/>
      <c r="I1017" s="368"/>
      <c r="J1017" s="368"/>
    </row>
    <row r="1018" spans="3:10" x14ac:dyDescent="0.2">
      <c r="C1018" s="368"/>
      <c r="D1018" s="368"/>
      <c r="F1018" s="368"/>
      <c r="G1018" s="368"/>
      <c r="H1018" s="368"/>
      <c r="I1018" s="368"/>
      <c r="J1018" s="368"/>
    </row>
    <row r="1019" spans="3:10" x14ac:dyDescent="0.2">
      <c r="C1019" s="368"/>
      <c r="D1019" s="368"/>
      <c r="F1019" s="368"/>
      <c r="G1019" s="368"/>
      <c r="H1019" s="368"/>
      <c r="I1019" s="368"/>
      <c r="J1019" s="368"/>
    </row>
    <row r="1020" spans="3:10" x14ac:dyDescent="0.2">
      <c r="C1020" s="368"/>
      <c r="D1020" s="368"/>
      <c r="F1020" s="368"/>
      <c r="G1020" s="368"/>
      <c r="H1020" s="368"/>
      <c r="I1020" s="368"/>
      <c r="J1020" s="368"/>
    </row>
    <row r="1021" spans="3:10" x14ac:dyDescent="0.2">
      <c r="C1021" s="368"/>
      <c r="D1021" s="368"/>
      <c r="F1021" s="368"/>
      <c r="G1021" s="368"/>
      <c r="H1021" s="368"/>
      <c r="I1021" s="368"/>
      <c r="J1021" s="368"/>
    </row>
    <row r="1022" spans="3:10" x14ac:dyDescent="0.2">
      <c r="C1022" s="368"/>
      <c r="D1022" s="368"/>
      <c r="F1022" s="368"/>
      <c r="G1022" s="368"/>
      <c r="H1022" s="368"/>
      <c r="I1022" s="368"/>
      <c r="J1022" s="368"/>
    </row>
    <row r="1023" spans="3:10" x14ac:dyDescent="0.2">
      <c r="C1023" s="368"/>
      <c r="D1023" s="368"/>
      <c r="F1023" s="368"/>
      <c r="G1023" s="368"/>
      <c r="H1023" s="368"/>
      <c r="I1023" s="368"/>
      <c r="J1023" s="368"/>
    </row>
    <row r="1024" spans="3:10" x14ac:dyDescent="0.2">
      <c r="C1024" s="368"/>
      <c r="D1024" s="368"/>
      <c r="F1024" s="368"/>
      <c r="G1024" s="368"/>
      <c r="H1024" s="368"/>
      <c r="I1024" s="368"/>
      <c r="J1024" s="368"/>
    </row>
    <row r="1025" spans="3:10" x14ac:dyDescent="0.2">
      <c r="C1025" s="368"/>
      <c r="D1025" s="368"/>
      <c r="F1025" s="368"/>
      <c r="G1025" s="368"/>
      <c r="H1025" s="368"/>
      <c r="I1025" s="368"/>
      <c r="J1025" s="368"/>
    </row>
    <row r="1026" spans="3:10" x14ac:dyDescent="0.2">
      <c r="C1026" s="368"/>
      <c r="D1026" s="368"/>
      <c r="F1026" s="368"/>
      <c r="G1026" s="368"/>
      <c r="H1026" s="368"/>
      <c r="I1026" s="368"/>
      <c r="J1026" s="368"/>
    </row>
    <row r="1027" spans="3:10" x14ac:dyDescent="0.2">
      <c r="C1027" s="368"/>
      <c r="D1027" s="368"/>
      <c r="F1027" s="368"/>
      <c r="G1027" s="368"/>
      <c r="H1027" s="368"/>
      <c r="I1027" s="368"/>
      <c r="J1027" s="368"/>
    </row>
    <row r="1028" spans="3:10" x14ac:dyDescent="0.2">
      <c r="C1028" s="368"/>
      <c r="D1028" s="368"/>
      <c r="F1028" s="368"/>
      <c r="G1028" s="368"/>
      <c r="H1028" s="368"/>
      <c r="I1028" s="368"/>
      <c r="J1028" s="368"/>
    </row>
    <row r="1029" spans="3:10" x14ac:dyDescent="0.2">
      <c r="C1029" s="368"/>
      <c r="D1029" s="368"/>
      <c r="F1029" s="368"/>
      <c r="G1029" s="368"/>
      <c r="H1029" s="368"/>
      <c r="I1029" s="368"/>
      <c r="J1029" s="368"/>
    </row>
    <row r="1030" spans="3:10" x14ac:dyDescent="0.2">
      <c r="C1030" s="368"/>
      <c r="D1030" s="368"/>
      <c r="F1030" s="368"/>
      <c r="G1030" s="368"/>
      <c r="H1030" s="368"/>
      <c r="I1030" s="368"/>
      <c r="J1030" s="368"/>
    </row>
    <row r="1031" spans="3:10" x14ac:dyDescent="0.2">
      <c r="C1031" s="368"/>
      <c r="D1031" s="368"/>
      <c r="F1031" s="368"/>
      <c r="G1031" s="368"/>
      <c r="H1031" s="368"/>
      <c r="I1031" s="368"/>
      <c r="J1031" s="368"/>
    </row>
    <row r="1032" spans="3:10" x14ac:dyDescent="0.2">
      <c r="C1032" s="368"/>
      <c r="D1032" s="368"/>
      <c r="F1032" s="368"/>
      <c r="G1032" s="368"/>
      <c r="H1032" s="368"/>
      <c r="I1032" s="368"/>
      <c r="J1032" s="368"/>
    </row>
    <row r="1033" spans="3:10" x14ac:dyDescent="0.2">
      <c r="C1033" s="368"/>
      <c r="D1033" s="368"/>
      <c r="F1033" s="368"/>
      <c r="G1033" s="368"/>
      <c r="H1033" s="368"/>
      <c r="I1033" s="368"/>
      <c r="J1033" s="368"/>
    </row>
    <row r="1034" spans="3:10" x14ac:dyDescent="0.2">
      <c r="C1034" s="368"/>
      <c r="D1034" s="368"/>
      <c r="F1034" s="368"/>
      <c r="G1034" s="368"/>
      <c r="H1034" s="368"/>
      <c r="I1034" s="368"/>
      <c r="J1034" s="368"/>
    </row>
    <row r="1035" spans="3:10" x14ac:dyDescent="0.2">
      <c r="C1035" s="368"/>
      <c r="D1035" s="368"/>
      <c r="F1035" s="368"/>
      <c r="G1035" s="368"/>
      <c r="H1035" s="368"/>
      <c r="I1035" s="368"/>
      <c r="J1035" s="368"/>
    </row>
    <row r="1036" spans="3:10" x14ac:dyDescent="0.2">
      <c r="C1036" s="368"/>
      <c r="D1036" s="368"/>
      <c r="F1036" s="368"/>
      <c r="G1036" s="368"/>
      <c r="H1036" s="368"/>
      <c r="I1036" s="368"/>
      <c r="J1036" s="368"/>
    </row>
    <row r="1037" spans="3:10" x14ac:dyDescent="0.2">
      <c r="C1037" s="368"/>
      <c r="D1037" s="368"/>
      <c r="F1037" s="368"/>
      <c r="G1037" s="368"/>
      <c r="H1037" s="368"/>
      <c r="I1037" s="368"/>
      <c r="J1037" s="368"/>
    </row>
    <row r="1038" spans="3:10" x14ac:dyDescent="0.2">
      <c r="C1038" s="368"/>
      <c r="D1038" s="368"/>
      <c r="F1038" s="368"/>
      <c r="G1038" s="368"/>
      <c r="H1038" s="368"/>
      <c r="I1038" s="368"/>
      <c r="J1038" s="368"/>
    </row>
    <row r="1039" spans="3:10" x14ac:dyDescent="0.2">
      <c r="C1039" s="368"/>
      <c r="D1039" s="368"/>
      <c r="F1039" s="368"/>
      <c r="G1039" s="368"/>
      <c r="H1039" s="368"/>
      <c r="I1039" s="368"/>
      <c r="J1039" s="368"/>
    </row>
    <row r="1040" spans="3:10" x14ac:dyDescent="0.2">
      <c r="C1040" s="368"/>
      <c r="D1040" s="368"/>
      <c r="F1040" s="368"/>
      <c r="G1040" s="368"/>
      <c r="H1040" s="368"/>
      <c r="I1040" s="368"/>
      <c r="J1040" s="368"/>
    </row>
    <row r="1041" spans="3:10" x14ac:dyDescent="0.2">
      <c r="C1041" s="368"/>
      <c r="D1041" s="368"/>
      <c r="F1041" s="368"/>
      <c r="G1041" s="368"/>
      <c r="H1041" s="368"/>
      <c r="I1041" s="368"/>
      <c r="J1041" s="368"/>
    </row>
    <row r="1042" spans="3:10" x14ac:dyDescent="0.2">
      <c r="C1042" s="368"/>
      <c r="D1042" s="368"/>
      <c r="F1042" s="368"/>
      <c r="G1042" s="368"/>
      <c r="H1042" s="368"/>
      <c r="I1042" s="368"/>
      <c r="J1042" s="368"/>
    </row>
    <row r="1043" spans="3:10" x14ac:dyDescent="0.2">
      <c r="C1043" s="368"/>
      <c r="D1043" s="368"/>
      <c r="F1043" s="368"/>
      <c r="G1043" s="368"/>
      <c r="H1043" s="368"/>
      <c r="I1043" s="368"/>
      <c r="J1043" s="368"/>
    </row>
    <row r="1044" spans="3:10" x14ac:dyDescent="0.2">
      <c r="C1044" s="368"/>
      <c r="D1044" s="368"/>
      <c r="F1044" s="368"/>
      <c r="G1044" s="368"/>
      <c r="H1044" s="368"/>
      <c r="I1044" s="368"/>
      <c r="J1044" s="368"/>
    </row>
    <row r="1045" spans="3:10" x14ac:dyDescent="0.2">
      <c r="C1045" s="368"/>
      <c r="D1045" s="368"/>
      <c r="F1045" s="368"/>
      <c r="G1045" s="368"/>
      <c r="H1045" s="368"/>
      <c r="I1045" s="368"/>
      <c r="J1045" s="368"/>
    </row>
    <row r="1046" spans="3:10" x14ac:dyDescent="0.2">
      <c r="C1046" s="368"/>
      <c r="D1046" s="368"/>
      <c r="F1046" s="368"/>
      <c r="G1046" s="368"/>
      <c r="H1046" s="368"/>
      <c r="I1046" s="368"/>
      <c r="J1046" s="368"/>
    </row>
    <row r="1047" spans="3:10" x14ac:dyDescent="0.2">
      <c r="C1047" s="368"/>
      <c r="D1047" s="368"/>
      <c r="F1047" s="368"/>
      <c r="G1047" s="368"/>
      <c r="H1047" s="368"/>
      <c r="I1047" s="368"/>
      <c r="J1047" s="368"/>
    </row>
    <row r="1048" spans="3:10" x14ac:dyDescent="0.2">
      <c r="C1048" s="368"/>
      <c r="D1048" s="368"/>
      <c r="F1048" s="368"/>
      <c r="G1048" s="368"/>
      <c r="H1048" s="368"/>
      <c r="I1048" s="368"/>
      <c r="J1048" s="368"/>
    </row>
    <row r="1049" spans="3:10" x14ac:dyDescent="0.2">
      <c r="C1049" s="368"/>
      <c r="D1049" s="368"/>
      <c r="F1049" s="368"/>
      <c r="G1049" s="368"/>
      <c r="H1049" s="368"/>
      <c r="I1049" s="368"/>
      <c r="J1049" s="368"/>
    </row>
    <row r="1050" spans="3:10" x14ac:dyDescent="0.2">
      <c r="C1050" s="368"/>
      <c r="D1050" s="368"/>
      <c r="F1050" s="368"/>
      <c r="G1050" s="368"/>
      <c r="H1050" s="368"/>
      <c r="I1050" s="368"/>
      <c r="J1050" s="368"/>
    </row>
    <row r="1051" spans="3:10" x14ac:dyDescent="0.2">
      <c r="C1051" s="368"/>
      <c r="D1051" s="368"/>
      <c r="F1051" s="368"/>
      <c r="G1051" s="368"/>
      <c r="H1051" s="368"/>
      <c r="I1051" s="368"/>
      <c r="J1051" s="368"/>
    </row>
    <row r="1052" spans="3:10" x14ac:dyDescent="0.2">
      <c r="C1052" s="368"/>
      <c r="D1052" s="368"/>
      <c r="F1052" s="368"/>
      <c r="G1052" s="368"/>
      <c r="H1052" s="368"/>
      <c r="I1052" s="368"/>
      <c r="J1052" s="368"/>
    </row>
    <row r="1053" spans="3:10" x14ac:dyDescent="0.2">
      <c r="C1053" s="368"/>
      <c r="D1053" s="368"/>
      <c r="F1053" s="368"/>
      <c r="G1053" s="368"/>
      <c r="H1053" s="368"/>
      <c r="I1053" s="368"/>
      <c r="J1053" s="368"/>
    </row>
    <row r="1054" spans="3:10" x14ac:dyDescent="0.2">
      <c r="C1054" s="368"/>
      <c r="D1054" s="368"/>
      <c r="F1054" s="368"/>
      <c r="G1054" s="368"/>
      <c r="H1054" s="368"/>
      <c r="I1054" s="368"/>
      <c r="J1054" s="368"/>
    </row>
    <row r="1055" spans="3:10" x14ac:dyDescent="0.2">
      <c r="C1055" s="368"/>
      <c r="D1055" s="368"/>
      <c r="F1055" s="368"/>
      <c r="G1055" s="368"/>
      <c r="H1055" s="368"/>
      <c r="I1055" s="368"/>
      <c r="J1055" s="368"/>
    </row>
    <row r="1056" spans="3:10" x14ac:dyDescent="0.2">
      <c r="C1056" s="368"/>
      <c r="D1056" s="368"/>
      <c r="F1056" s="368"/>
      <c r="G1056" s="368"/>
      <c r="H1056" s="368"/>
      <c r="I1056" s="368"/>
      <c r="J1056" s="368"/>
    </row>
    <row r="1057" spans="3:10" x14ac:dyDescent="0.2">
      <c r="C1057" s="368"/>
      <c r="D1057" s="368"/>
      <c r="F1057" s="368"/>
      <c r="G1057" s="368"/>
      <c r="H1057" s="368"/>
      <c r="I1057" s="368"/>
      <c r="J1057" s="368"/>
    </row>
    <row r="1058" spans="3:10" x14ac:dyDescent="0.2">
      <c r="C1058" s="368"/>
      <c r="D1058" s="368"/>
      <c r="F1058" s="368"/>
      <c r="G1058" s="368"/>
      <c r="H1058" s="368"/>
      <c r="I1058" s="368"/>
      <c r="J1058" s="368"/>
    </row>
    <row r="1059" spans="3:10" x14ac:dyDescent="0.2">
      <c r="C1059" s="368"/>
      <c r="D1059" s="368"/>
      <c r="F1059" s="368"/>
      <c r="G1059" s="368"/>
      <c r="H1059" s="368"/>
      <c r="I1059" s="368"/>
      <c r="J1059" s="368"/>
    </row>
    <row r="1060" spans="3:10" x14ac:dyDescent="0.2">
      <c r="C1060" s="368"/>
      <c r="D1060" s="368"/>
      <c r="F1060" s="368"/>
      <c r="G1060" s="368"/>
      <c r="H1060" s="368"/>
      <c r="I1060" s="368"/>
      <c r="J1060" s="368"/>
    </row>
    <row r="1061" spans="3:10" x14ac:dyDescent="0.2">
      <c r="C1061" s="368"/>
      <c r="D1061" s="368"/>
      <c r="F1061" s="368"/>
      <c r="G1061" s="368"/>
      <c r="H1061" s="368"/>
      <c r="I1061" s="368"/>
      <c r="J1061" s="368"/>
    </row>
    <row r="1062" spans="3:10" x14ac:dyDescent="0.2">
      <c r="C1062" s="368"/>
      <c r="D1062" s="368"/>
      <c r="F1062" s="368"/>
      <c r="G1062" s="368"/>
      <c r="H1062" s="368"/>
      <c r="I1062" s="368"/>
      <c r="J1062" s="368"/>
    </row>
    <row r="1063" spans="3:10" x14ac:dyDescent="0.2">
      <c r="C1063" s="368"/>
      <c r="D1063" s="368"/>
      <c r="F1063" s="368"/>
      <c r="G1063" s="368"/>
      <c r="H1063" s="368"/>
      <c r="I1063" s="368"/>
      <c r="J1063" s="368"/>
    </row>
    <row r="1064" spans="3:10" x14ac:dyDescent="0.2">
      <c r="C1064" s="368"/>
      <c r="D1064" s="368"/>
      <c r="F1064" s="368"/>
      <c r="G1064" s="368"/>
      <c r="H1064" s="368"/>
      <c r="I1064" s="368"/>
      <c r="J1064" s="368"/>
    </row>
    <row r="1065" spans="3:10" x14ac:dyDescent="0.2">
      <c r="C1065" s="368"/>
      <c r="D1065" s="368"/>
      <c r="F1065" s="368"/>
      <c r="G1065" s="368"/>
      <c r="H1065" s="368"/>
      <c r="I1065" s="368"/>
      <c r="J1065" s="368"/>
    </row>
    <row r="1066" spans="3:10" x14ac:dyDescent="0.2">
      <c r="C1066" s="368"/>
      <c r="D1066" s="368"/>
      <c r="F1066" s="368"/>
      <c r="G1066" s="368"/>
      <c r="H1066" s="368"/>
      <c r="I1066" s="368"/>
      <c r="J1066" s="368"/>
    </row>
    <row r="1067" spans="3:10" x14ac:dyDescent="0.2">
      <c r="C1067" s="368"/>
      <c r="D1067" s="368"/>
      <c r="F1067" s="368"/>
      <c r="G1067" s="368"/>
      <c r="H1067" s="368"/>
      <c r="I1067" s="368"/>
      <c r="J1067" s="368"/>
    </row>
    <row r="1068" spans="3:10" x14ac:dyDescent="0.2">
      <c r="C1068" s="368"/>
      <c r="D1068" s="368"/>
      <c r="F1068" s="368"/>
      <c r="G1068" s="368"/>
      <c r="H1068" s="368"/>
      <c r="I1068" s="368"/>
      <c r="J1068" s="368"/>
    </row>
    <row r="1069" spans="3:10" x14ac:dyDescent="0.2">
      <c r="C1069" s="368"/>
      <c r="D1069" s="368"/>
      <c r="F1069" s="368"/>
      <c r="G1069" s="368"/>
      <c r="H1069" s="368"/>
      <c r="I1069" s="368"/>
      <c r="J1069" s="368"/>
    </row>
    <row r="1070" spans="3:10" x14ac:dyDescent="0.2">
      <c r="C1070" s="368"/>
      <c r="D1070" s="368"/>
      <c r="F1070" s="368"/>
      <c r="G1070" s="368"/>
      <c r="H1070" s="368"/>
      <c r="I1070" s="368"/>
      <c r="J1070" s="368"/>
    </row>
    <row r="1071" spans="3:10" x14ac:dyDescent="0.2">
      <c r="C1071" s="368"/>
      <c r="D1071" s="368"/>
      <c r="F1071" s="368"/>
      <c r="G1071" s="368"/>
      <c r="H1071" s="368"/>
      <c r="I1071" s="368"/>
      <c r="J1071" s="368"/>
    </row>
    <row r="1072" spans="3:10" x14ac:dyDescent="0.2">
      <c r="C1072" s="368"/>
      <c r="D1072" s="368"/>
      <c r="F1072" s="368"/>
      <c r="G1072" s="368"/>
      <c r="H1072" s="368"/>
      <c r="I1072" s="368"/>
      <c r="J1072" s="368"/>
    </row>
    <row r="1073" spans="3:10" x14ac:dyDescent="0.2">
      <c r="C1073" s="368"/>
      <c r="D1073" s="368"/>
      <c r="F1073" s="368"/>
      <c r="G1073" s="368"/>
      <c r="H1073" s="368"/>
      <c r="I1073" s="368"/>
      <c r="J1073" s="368"/>
    </row>
    <row r="1074" spans="3:10" x14ac:dyDescent="0.2">
      <c r="C1074" s="368"/>
      <c r="D1074" s="368"/>
      <c r="F1074" s="368"/>
      <c r="G1074" s="368"/>
      <c r="H1074" s="368"/>
      <c r="I1074" s="368"/>
      <c r="J1074" s="368"/>
    </row>
    <row r="1075" spans="3:10" x14ac:dyDescent="0.2">
      <c r="C1075" s="368"/>
      <c r="D1075" s="368"/>
      <c r="F1075" s="368"/>
      <c r="G1075" s="368"/>
      <c r="H1075" s="368"/>
      <c r="I1075" s="368"/>
      <c r="J1075" s="368"/>
    </row>
    <row r="1076" spans="3:10" x14ac:dyDescent="0.2">
      <c r="C1076" s="368"/>
      <c r="D1076" s="368"/>
      <c r="F1076" s="368"/>
      <c r="G1076" s="368"/>
      <c r="H1076" s="368"/>
      <c r="I1076" s="368"/>
      <c r="J1076" s="368"/>
    </row>
    <row r="1077" spans="3:10" x14ac:dyDescent="0.2">
      <c r="C1077" s="368"/>
      <c r="D1077" s="368"/>
      <c r="F1077" s="368"/>
      <c r="G1077" s="368"/>
      <c r="H1077" s="368"/>
      <c r="I1077" s="368"/>
      <c r="J1077" s="368"/>
    </row>
    <row r="1078" spans="3:10" x14ac:dyDescent="0.2">
      <c r="C1078" s="368"/>
      <c r="D1078" s="368"/>
      <c r="F1078" s="368"/>
      <c r="G1078" s="368"/>
      <c r="H1078" s="368"/>
      <c r="I1078" s="368"/>
      <c r="J1078" s="368"/>
    </row>
    <row r="1079" spans="3:10" x14ac:dyDescent="0.2">
      <c r="C1079" s="368"/>
      <c r="D1079" s="368"/>
      <c r="F1079" s="368"/>
      <c r="G1079" s="368"/>
      <c r="H1079" s="368"/>
      <c r="I1079" s="368"/>
      <c r="J1079" s="368"/>
    </row>
    <row r="1080" spans="3:10" x14ac:dyDescent="0.2">
      <c r="C1080" s="368"/>
      <c r="D1080" s="368"/>
      <c r="F1080" s="368"/>
      <c r="G1080" s="368"/>
      <c r="H1080" s="368"/>
      <c r="I1080" s="368"/>
      <c r="J1080" s="368"/>
    </row>
    <row r="1081" spans="3:10" x14ac:dyDescent="0.2">
      <c r="C1081" s="368"/>
      <c r="D1081" s="368"/>
      <c r="F1081" s="368"/>
      <c r="G1081" s="368"/>
      <c r="H1081" s="368"/>
      <c r="I1081" s="368"/>
      <c r="J1081" s="368"/>
    </row>
    <row r="1082" spans="3:10" x14ac:dyDescent="0.2">
      <c r="C1082" s="368"/>
      <c r="D1082" s="368"/>
      <c r="F1082" s="368"/>
      <c r="G1082" s="368"/>
      <c r="H1082" s="368"/>
      <c r="I1082" s="368"/>
      <c r="J1082" s="368"/>
    </row>
    <row r="1083" spans="3:10" x14ac:dyDescent="0.2">
      <c r="C1083" s="368"/>
      <c r="D1083" s="368"/>
      <c r="F1083" s="368"/>
      <c r="G1083" s="368"/>
      <c r="H1083" s="368"/>
      <c r="I1083" s="368"/>
      <c r="J1083" s="368"/>
    </row>
    <row r="1084" spans="3:10" x14ac:dyDescent="0.2">
      <c r="C1084" s="368"/>
      <c r="D1084" s="368"/>
      <c r="F1084" s="368"/>
      <c r="G1084" s="368"/>
      <c r="H1084" s="368"/>
      <c r="I1084" s="368"/>
      <c r="J1084" s="368"/>
    </row>
    <row r="1085" spans="3:10" x14ac:dyDescent="0.2">
      <c r="C1085" s="368"/>
      <c r="D1085" s="368"/>
      <c r="F1085" s="368"/>
      <c r="G1085" s="368"/>
      <c r="H1085" s="368"/>
      <c r="I1085" s="368"/>
      <c r="J1085" s="368"/>
    </row>
    <row r="1086" spans="3:10" x14ac:dyDescent="0.2">
      <c r="C1086" s="368"/>
      <c r="D1086" s="368"/>
      <c r="F1086" s="368"/>
      <c r="G1086" s="368"/>
      <c r="H1086" s="368"/>
      <c r="I1086" s="368"/>
      <c r="J1086" s="368"/>
    </row>
    <row r="1087" spans="3:10" x14ac:dyDescent="0.2">
      <c r="C1087" s="368"/>
      <c r="D1087" s="368"/>
      <c r="F1087" s="368"/>
      <c r="G1087" s="368"/>
      <c r="H1087" s="368"/>
      <c r="I1087" s="368"/>
      <c r="J1087" s="368"/>
    </row>
    <row r="1088" spans="3:10" x14ac:dyDescent="0.2">
      <c r="C1088" s="368"/>
      <c r="D1088" s="368"/>
      <c r="F1088" s="368"/>
      <c r="G1088" s="368"/>
      <c r="H1088" s="368"/>
      <c r="I1088" s="368"/>
      <c r="J1088" s="368"/>
    </row>
    <row r="1089" spans="3:10" x14ac:dyDescent="0.2">
      <c r="C1089" s="368"/>
      <c r="D1089" s="368"/>
      <c r="F1089" s="368"/>
      <c r="G1089" s="368"/>
      <c r="H1089" s="368"/>
      <c r="I1089" s="368"/>
      <c r="J1089" s="368"/>
    </row>
    <row r="1090" spans="3:10" x14ac:dyDescent="0.2">
      <c r="C1090" s="368"/>
      <c r="D1090" s="368"/>
      <c r="F1090" s="368"/>
      <c r="G1090" s="368"/>
      <c r="H1090" s="368"/>
      <c r="I1090" s="368"/>
      <c r="J1090" s="368"/>
    </row>
    <row r="1091" spans="3:10" x14ac:dyDescent="0.2">
      <c r="C1091" s="368"/>
      <c r="D1091" s="368"/>
      <c r="F1091" s="368"/>
      <c r="G1091" s="368"/>
      <c r="H1091" s="368"/>
      <c r="I1091" s="368"/>
      <c r="J1091" s="368"/>
    </row>
    <row r="1092" spans="3:10" x14ac:dyDescent="0.2">
      <c r="C1092" s="368"/>
      <c r="D1092" s="368"/>
      <c r="F1092" s="368"/>
      <c r="G1092" s="368"/>
      <c r="H1092" s="368"/>
      <c r="I1092" s="368"/>
      <c r="J1092" s="368"/>
    </row>
    <row r="1093" spans="3:10" x14ac:dyDescent="0.2">
      <c r="C1093" s="368"/>
      <c r="D1093" s="368"/>
      <c r="F1093" s="368"/>
      <c r="G1093" s="368"/>
      <c r="H1093" s="368"/>
      <c r="I1093" s="368"/>
      <c r="J1093" s="368"/>
    </row>
    <row r="1094" spans="3:10" x14ac:dyDescent="0.2">
      <c r="C1094" s="368"/>
      <c r="D1094" s="368"/>
      <c r="F1094" s="368"/>
      <c r="G1094" s="368"/>
      <c r="H1094" s="368"/>
      <c r="I1094" s="368"/>
      <c r="J1094" s="368"/>
    </row>
    <row r="1095" spans="3:10" x14ac:dyDescent="0.2">
      <c r="C1095" s="368"/>
      <c r="D1095" s="368"/>
      <c r="F1095" s="368"/>
      <c r="G1095" s="368"/>
      <c r="H1095" s="368"/>
      <c r="I1095" s="368"/>
      <c r="J1095" s="368"/>
    </row>
    <row r="1096" spans="3:10" x14ac:dyDescent="0.2">
      <c r="C1096" s="368"/>
      <c r="D1096" s="368"/>
      <c r="F1096" s="368"/>
      <c r="G1096" s="368"/>
      <c r="H1096" s="368"/>
      <c r="I1096" s="368"/>
      <c r="J1096" s="368"/>
    </row>
    <row r="1097" spans="3:10" x14ac:dyDescent="0.2">
      <c r="C1097" s="368"/>
      <c r="D1097" s="368"/>
      <c r="F1097" s="368"/>
      <c r="G1097" s="368"/>
      <c r="H1097" s="368"/>
      <c r="I1097" s="368"/>
      <c r="J1097" s="368"/>
    </row>
    <row r="1098" spans="3:10" x14ac:dyDescent="0.2">
      <c r="C1098" s="368"/>
      <c r="D1098" s="368"/>
      <c r="F1098" s="368"/>
      <c r="G1098" s="368"/>
      <c r="H1098" s="368"/>
      <c r="I1098" s="368"/>
      <c r="J1098" s="368"/>
    </row>
    <row r="1099" spans="3:10" x14ac:dyDescent="0.2">
      <c r="C1099" s="368"/>
      <c r="D1099" s="368"/>
      <c r="F1099" s="368"/>
      <c r="G1099" s="368"/>
      <c r="H1099" s="368"/>
      <c r="I1099" s="368"/>
      <c r="J1099" s="368"/>
    </row>
    <row r="1100" spans="3:10" x14ac:dyDescent="0.2">
      <c r="C1100" s="368"/>
      <c r="D1100" s="368"/>
      <c r="F1100" s="368"/>
      <c r="G1100" s="368"/>
      <c r="H1100" s="368"/>
      <c r="I1100" s="368"/>
      <c r="J1100" s="368"/>
    </row>
    <row r="1101" spans="3:10" x14ac:dyDescent="0.2">
      <c r="C1101" s="368"/>
      <c r="D1101" s="368"/>
      <c r="F1101" s="368"/>
      <c r="G1101" s="368"/>
      <c r="H1101" s="368"/>
      <c r="I1101" s="368"/>
      <c r="J1101" s="368"/>
    </row>
    <row r="1102" spans="3:10" x14ac:dyDescent="0.2">
      <c r="C1102" s="368"/>
      <c r="D1102" s="368"/>
      <c r="F1102" s="368"/>
      <c r="G1102" s="368"/>
      <c r="H1102" s="368"/>
      <c r="I1102" s="368"/>
      <c r="J1102" s="368"/>
    </row>
    <row r="1103" spans="3:10" x14ac:dyDescent="0.2">
      <c r="C1103" s="368"/>
      <c r="D1103" s="368"/>
      <c r="F1103" s="368"/>
      <c r="G1103" s="368"/>
      <c r="H1103" s="368"/>
      <c r="I1103" s="368"/>
      <c r="J1103" s="368"/>
    </row>
    <row r="1104" spans="3:10" x14ac:dyDescent="0.2">
      <c r="C1104" s="368"/>
      <c r="D1104" s="368"/>
      <c r="F1104" s="368"/>
      <c r="G1104" s="368"/>
      <c r="H1104" s="368"/>
      <c r="I1104" s="368"/>
      <c r="J1104" s="368"/>
    </row>
    <row r="1105" spans="3:10" x14ac:dyDescent="0.2">
      <c r="C1105" s="368"/>
      <c r="D1105" s="368"/>
      <c r="F1105" s="368"/>
      <c r="G1105" s="368"/>
      <c r="H1105" s="368"/>
      <c r="I1105" s="368"/>
      <c r="J1105" s="368"/>
    </row>
    <row r="1106" spans="3:10" x14ac:dyDescent="0.2">
      <c r="C1106" s="368"/>
      <c r="D1106" s="368"/>
      <c r="F1106" s="368"/>
      <c r="G1106" s="368"/>
      <c r="H1106" s="368"/>
      <c r="I1106" s="368"/>
      <c r="J1106" s="368"/>
    </row>
    <row r="1107" spans="3:10" x14ac:dyDescent="0.2">
      <c r="C1107" s="368"/>
      <c r="D1107" s="368"/>
      <c r="F1107" s="368"/>
      <c r="G1107" s="368"/>
      <c r="H1107" s="368"/>
      <c r="I1107" s="368"/>
      <c r="J1107" s="368"/>
    </row>
    <row r="1108" spans="3:10" x14ac:dyDescent="0.2">
      <c r="C1108" s="368"/>
      <c r="D1108" s="368"/>
      <c r="F1108" s="368"/>
      <c r="G1108" s="368"/>
      <c r="H1108" s="368"/>
      <c r="I1108" s="368"/>
      <c r="J1108" s="368"/>
    </row>
    <row r="1109" spans="3:10" x14ac:dyDescent="0.2">
      <c r="C1109" s="368"/>
      <c r="D1109" s="368"/>
      <c r="F1109" s="368"/>
      <c r="G1109" s="368"/>
      <c r="H1109" s="368"/>
      <c r="I1109" s="368"/>
      <c r="J1109" s="368"/>
    </row>
    <row r="1110" spans="3:10" x14ac:dyDescent="0.2">
      <c r="C1110" s="368"/>
      <c r="D1110" s="368"/>
      <c r="F1110" s="368"/>
      <c r="G1110" s="368"/>
      <c r="H1110" s="368"/>
      <c r="I1110" s="368"/>
      <c r="J1110" s="368"/>
    </row>
    <row r="1111" spans="3:10" x14ac:dyDescent="0.2">
      <c r="C1111" s="368"/>
      <c r="D1111" s="368"/>
      <c r="F1111" s="368"/>
      <c r="G1111" s="368"/>
      <c r="H1111" s="368"/>
      <c r="I1111" s="368"/>
      <c r="J1111" s="368"/>
    </row>
    <row r="1112" spans="3:10" x14ac:dyDescent="0.2">
      <c r="C1112" s="368"/>
      <c r="D1112" s="368"/>
      <c r="F1112" s="368"/>
      <c r="G1112" s="368"/>
      <c r="H1112" s="368"/>
      <c r="I1112" s="368"/>
      <c r="J1112" s="368"/>
    </row>
    <row r="1113" spans="3:10" x14ac:dyDescent="0.2">
      <c r="C1113" s="368"/>
      <c r="D1113" s="368"/>
      <c r="F1113" s="368"/>
      <c r="G1113" s="368"/>
      <c r="H1113" s="368"/>
      <c r="I1113" s="368"/>
      <c r="J1113" s="368"/>
    </row>
    <row r="1114" spans="3:10" x14ac:dyDescent="0.2">
      <c r="C1114" s="368"/>
      <c r="D1114" s="368"/>
      <c r="F1114" s="368"/>
      <c r="G1114" s="368"/>
      <c r="H1114" s="368"/>
      <c r="I1114" s="368"/>
      <c r="J1114" s="368"/>
    </row>
    <row r="1115" spans="3:10" x14ac:dyDescent="0.2">
      <c r="C1115" s="368"/>
      <c r="D1115" s="368"/>
      <c r="F1115" s="368"/>
      <c r="G1115" s="368"/>
      <c r="H1115" s="368"/>
      <c r="I1115" s="368"/>
      <c r="J1115" s="368"/>
    </row>
    <row r="1116" spans="3:10" x14ac:dyDescent="0.2">
      <c r="C1116" s="368"/>
      <c r="D1116" s="368"/>
      <c r="F1116" s="368"/>
      <c r="G1116" s="368"/>
      <c r="H1116" s="368"/>
      <c r="I1116" s="368"/>
      <c r="J1116" s="368"/>
    </row>
    <row r="1117" spans="3:10" x14ac:dyDescent="0.2">
      <c r="C1117" s="368"/>
      <c r="D1117" s="368"/>
      <c r="F1117" s="368"/>
      <c r="G1117" s="368"/>
      <c r="H1117" s="368"/>
      <c r="I1117" s="368"/>
      <c r="J1117" s="368"/>
    </row>
    <row r="1118" spans="3:10" x14ac:dyDescent="0.2">
      <c r="C1118" s="368"/>
      <c r="D1118" s="368"/>
      <c r="F1118" s="368"/>
      <c r="G1118" s="368"/>
      <c r="H1118" s="368"/>
      <c r="I1118" s="368"/>
      <c r="J1118" s="368"/>
    </row>
    <row r="1119" spans="3:10" x14ac:dyDescent="0.2">
      <c r="C1119" s="368"/>
      <c r="D1119" s="368"/>
      <c r="F1119" s="368"/>
      <c r="G1119" s="368"/>
      <c r="H1119" s="368"/>
      <c r="I1119" s="368"/>
      <c r="J1119" s="368"/>
    </row>
    <row r="1120" spans="3:10" x14ac:dyDescent="0.2">
      <c r="C1120" s="368"/>
      <c r="D1120" s="368"/>
      <c r="F1120" s="368"/>
      <c r="G1120" s="368"/>
      <c r="H1120" s="368"/>
      <c r="I1120" s="368"/>
      <c r="J1120" s="368"/>
    </row>
    <row r="1121" spans="3:10" x14ac:dyDescent="0.2">
      <c r="C1121" s="368"/>
      <c r="D1121" s="368"/>
      <c r="F1121" s="368"/>
      <c r="G1121" s="368"/>
      <c r="H1121" s="368"/>
      <c r="I1121" s="368"/>
      <c r="J1121" s="368"/>
    </row>
    <row r="1122" spans="3:10" x14ac:dyDescent="0.2">
      <c r="C1122" s="368"/>
      <c r="D1122" s="368"/>
      <c r="F1122" s="368"/>
      <c r="G1122" s="368"/>
      <c r="H1122" s="368"/>
      <c r="I1122" s="368"/>
      <c r="J1122" s="368"/>
    </row>
    <row r="1123" spans="3:10" x14ac:dyDescent="0.2">
      <c r="C1123" s="368"/>
      <c r="D1123" s="368"/>
      <c r="F1123" s="368"/>
      <c r="G1123" s="368"/>
      <c r="H1123" s="368"/>
      <c r="I1123" s="368"/>
      <c r="J1123" s="368"/>
    </row>
    <row r="1124" spans="3:10" x14ac:dyDescent="0.2">
      <c r="C1124" s="368"/>
      <c r="D1124" s="368"/>
      <c r="F1124" s="368"/>
      <c r="G1124" s="368"/>
      <c r="H1124" s="368"/>
      <c r="I1124" s="368"/>
      <c r="J1124" s="368"/>
    </row>
    <row r="1125" spans="3:10" x14ac:dyDescent="0.2">
      <c r="C1125" s="368"/>
      <c r="D1125" s="368"/>
      <c r="F1125" s="368"/>
      <c r="G1125" s="368"/>
      <c r="H1125" s="368"/>
      <c r="I1125" s="368"/>
      <c r="J1125" s="368"/>
    </row>
    <row r="1126" spans="3:10" x14ac:dyDescent="0.2">
      <c r="C1126" s="368"/>
      <c r="D1126" s="368"/>
      <c r="F1126" s="368"/>
      <c r="G1126" s="368"/>
      <c r="H1126" s="368"/>
      <c r="I1126" s="368"/>
      <c r="J1126" s="368"/>
    </row>
    <row r="1127" spans="3:10" x14ac:dyDescent="0.2">
      <c r="C1127" s="368"/>
      <c r="D1127" s="368"/>
      <c r="F1127" s="368"/>
      <c r="G1127" s="368"/>
      <c r="H1127" s="368"/>
      <c r="I1127" s="368"/>
      <c r="J1127" s="368"/>
    </row>
    <row r="1128" spans="3:10" x14ac:dyDescent="0.2">
      <c r="C1128" s="368"/>
      <c r="D1128" s="368"/>
      <c r="F1128" s="368"/>
      <c r="G1128" s="368"/>
      <c r="H1128" s="368"/>
      <c r="I1128" s="368"/>
      <c r="J1128" s="368"/>
    </row>
    <row r="1129" spans="3:10" x14ac:dyDescent="0.2">
      <c r="C1129" s="368"/>
      <c r="D1129" s="368"/>
      <c r="F1129" s="368"/>
      <c r="G1129" s="368"/>
      <c r="H1129" s="368"/>
      <c r="I1129" s="368"/>
      <c r="J1129" s="368"/>
    </row>
    <row r="1130" spans="3:10" x14ac:dyDescent="0.2">
      <c r="C1130" s="368"/>
      <c r="D1130" s="368"/>
      <c r="F1130" s="368"/>
      <c r="G1130" s="368"/>
      <c r="H1130" s="368"/>
      <c r="I1130" s="368"/>
      <c r="J1130" s="368"/>
    </row>
    <row r="1131" spans="3:10" x14ac:dyDescent="0.2">
      <c r="C1131" s="368"/>
      <c r="D1131" s="368"/>
      <c r="F1131" s="368"/>
      <c r="G1131" s="368"/>
      <c r="H1131" s="368"/>
      <c r="I1131" s="368"/>
      <c r="J1131" s="368"/>
    </row>
    <row r="1132" spans="3:10" x14ac:dyDescent="0.2">
      <c r="C1132" s="368"/>
      <c r="D1132" s="368"/>
      <c r="F1132" s="368"/>
      <c r="G1132" s="368"/>
      <c r="H1132" s="368"/>
      <c r="I1132" s="368"/>
      <c r="J1132" s="368"/>
    </row>
    <row r="1133" spans="3:10" x14ac:dyDescent="0.2">
      <c r="C1133" s="368"/>
      <c r="D1133" s="368"/>
      <c r="F1133" s="368"/>
      <c r="G1133" s="368"/>
      <c r="H1133" s="368"/>
      <c r="I1133" s="368"/>
      <c r="J1133" s="368"/>
    </row>
    <row r="1134" spans="3:10" x14ac:dyDescent="0.2">
      <c r="C1134" s="368"/>
      <c r="D1134" s="368"/>
      <c r="F1134" s="368"/>
      <c r="G1134" s="368"/>
      <c r="H1134" s="368"/>
      <c r="I1134" s="368"/>
      <c r="J1134" s="368"/>
    </row>
    <row r="1135" spans="3:10" x14ac:dyDescent="0.2">
      <c r="C1135" s="368"/>
      <c r="D1135" s="368"/>
      <c r="F1135" s="368"/>
      <c r="G1135" s="368"/>
      <c r="H1135" s="368"/>
      <c r="I1135" s="368"/>
      <c r="J1135" s="368"/>
    </row>
    <row r="1136" spans="3:10" x14ac:dyDescent="0.2">
      <c r="C1136" s="368"/>
      <c r="D1136" s="368"/>
      <c r="F1136" s="368"/>
      <c r="G1136" s="368"/>
      <c r="H1136" s="368"/>
      <c r="I1136" s="368"/>
      <c r="J1136" s="368"/>
    </row>
    <row r="1137" spans="3:10" x14ac:dyDescent="0.2">
      <c r="C1137" s="368"/>
      <c r="D1137" s="368"/>
      <c r="F1137" s="368"/>
      <c r="G1137" s="368"/>
      <c r="H1137" s="368"/>
      <c r="I1137" s="368"/>
      <c r="J1137" s="368"/>
    </row>
    <row r="1138" spans="3:10" x14ac:dyDescent="0.2">
      <c r="C1138" s="368"/>
      <c r="D1138" s="368"/>
      <c r="F1138" s="368"/>
      <c r="G1138" s="368"/>
      <c r="H1138" s="368"/>
      <c r="I1138" s="368"/>
      <c r="J1138" s="368"/>
    </row>
    <row r="1139" spans="3:10" x14ac:dyDescent="0.2">
      <c r="C1139" s="368"/>
      <c r="D1139" s="368"/>
      <c r="F1139" s="368"/>
      <c r="G1139" s="368"/>
      <c r="H1139" s="368"/>
      <c r="I1139" s="368"/>
      <c r="J1139" s="368"/>
    </row>
    <row r="1140" spans="3:10" x14ac:dyDescent="0.2">
      <c r="C1140" s="368"/>
      <c r="D1140" s="368"/>
      <c r="F1140" s="368"/>
      <c r="G1140" s="368"/>
      <c r="H1140" s="368"/>
      <c r="I1140" s="368"/>
      <c r="J1140" s="368"/>
    </row>
    <row r="1141" spans="3:10" x14ac:dyDescent="0.2">
      <c r="C1141" s="368"/>
      <c r="D1141" s="368"/>
      <c r="F1141" s="368"/>
      <c r="G1141" s="368"/>
      <c r="H1141" s="368"/>
      <c r="I1141" s="368"/>
      <c r="J1141" s="368"/>
    </row>
    <row r="1142" spans="3:10" x14ac:dyDescent="0.2">
      <c r="C1142" s="368"/>
      <c r="D1142" s="368"/>
      <c r="F1142" s="368"/>
      <c r="G1142" s="368"/>
      <c r="H1142" s="368"/>
      <c r="I1142" s="368"/>
      <c r="J1142" s="368"/>
    </row>
    <row r="1143" spans="3:10" x14ac:dyDescent="0.2">
      <c r="C1143" s="368"/>
      <c r="D1143" s="368"/>
      <c r="F1143" s="368"/>
      <c r="G1143" s="368"/>
      <c r="H1143" s="368"/>
      <c r="I1143" s="368"/>
      <c r="J1143" s="368"/>
    </row>
    <row r="1144" spans="3:10" x14ac:dyDescent="0.2">
      <c r="C1144" s="368"/>
      <c r="D1144" s="368"/>
      <c r="F1144" s="368"/>
      <c r="G1144" s="368"/>
      <c r="H1144" s="368"/>
      <c r="I1144" s="368"/>
      <c r="J1144" s="368"/>
    </row>
    <row r="1145" spans="3:10" x14ac:dyDescent="0.2">
      <c r="C1145" s="368"/>
      <c r="D1145" s="368"/>
      <c r="F1145" s="368"/>
      <c r="G1145" s="368"/>
      <c r="H1145" s="368"/>
      <c r="I1145" s="368"/>
      <c r="J1145" s="368"/>
    </row>
    <row r="1146" spans="3:10" x14ac:dyDescent="0.2">
      <c r="C1146" s="368"/>
      <c r="D1146" s="368"/>
      <c r="F1146" s="368"/>
      <c r="G1146" s="368"/>
      <c r="H1146" s="368"/>
      <c r="I1146" s="368"/>
      <c r="J1146" s="368"/>
    </row>
    <row r="1147" spans="3:10" x14ac:dyDescent="0.2">
      <c r="C1147" s="368"/>
      <c r="D1147" s="368"/>
      <c r="F1147" s="368"/>
      <c r="G1147" s="368"/>
      <c r="H1147" s="368"/>
      <c r="I1147" s="368"/>
      <c r="J1147" s="368"/>
    </row>
    <row r="1148" spans="3:10" x14ac:dyDescent="0.2">
      <c r="C1148" s="368"/>
      <c r="D1148" s="368"/>
      <c r="F1148" s="368"/>
      <c r="G1148" s="368"/>
      <c r="H1148" s="368"/>
      <c r="I1148" s="368"/>
      <c r="J1148" s="368"/>
    </row>
    <row r="1149" spans="3:10" x14ac:dyDescent="0.2">
      <c r="C1149" s="368"/>
      <c r="D1149" s="368"/>
      <c r="F1149" s="368"/>
      <c r="G1149" s="368"/>
      <c r="H1149" s="368"/>
      <c r="I1149" s="368"/>
      <c r="J1149" s="368"/>
    </row>
    <row r="1150" spans="3:10" x14ac:dyDescent="0.2">
      <c r="C1150" s="368"/>
      <c r="D1150" s="368"/>
      <c r="F1150" s="368"/>
      <c r="G1150" s="368"/>
      <c r="H1150" s="368"/>
      <c r="I1150" s="368"/>
      <c r="J1150" s="368"/>
    </row>
    <row r="1151" spans="3:10" x14ac:dyDescent="0.2">
      <c r="C1151" s="368"/>
      <c r="D1151" s="368"/>
      <c r="F1151" s="368"/>
      <c r="G1151" s="368"/>
      <c r="H1151" s="368"/>
      <c r="I1151" s="368"/>
      <c r="J1151" s="368"/>
    </row>
    <row r="1152" spans="3:10" x14ac:dyDescent="0.2">
      <c r="C1152" s="368"/>
      <c r="D1152" s="368"/>
      <c r="F1152" s="368"/>
      <c r="G1152" s="368"/>
      <c r="H1152" s="368"/>
      <c r="I1152" s="368"/>
      <c r="J1152" s="368"/>
    </row>
    <row r="1153" spans="3:10" x14ac:dyDescent="0.2">
      <c r="C1153" s="368"/>
      <c r="D1153" s="368"/>
      <c r="F1153" s="368"/>
      <c r="G1153" s="368"/>
      <c r="H1153" s="368"/>
      <c r="I1153" s="368"/>
      <c r="J1153" s="368"/>
    </row>
    <row r="1154" spans="3:10" x14ac:dyDescent="0.2">
      <c r="C1154" s="368"/>
      <c r="D1154" s="368"/>
      <c r="F1154" s="368"/>
      <c r="G1154" s="368"/>
      <c r="H1154" s="368"/>
      <c r="I1154" s="368"/>
      <c r="J1154" s="368"/>
    </row>
    <row r="1155" spans="3:10" x14ac:dyDescent="0.2">
      <c r="C1155" s="368"/>
      <c r="D1155" s="368"/>
      <c r="F1155" s="368"/>
      <c r="G1155" s="368"/>
      <c r="H1155" s="368"/>
      <c r="I1155" s="368"/>
      <c r="J1155" s="368"/>
    </row>
    <row r="1156" spans="3:10" x14ac:dyDescent="0.2">
      <c r="C1156" s="368"/>
      <c r="D1156" s="368"/>
      <c r="F1156" s="368"/>
      <c r="G1156" s="368"/>
      <c r="H1156" s="368"/>
      <c r="I1156" s="368"/>
      <c r="J1156" s="368"/>
    </row>
    <row r="1157" spans="3:10" x14ac:dyDescent="0.2">
      <c r="C1157" s="368"/>
      <c r="D1157" s="368"/>
      <c r="F1157" s="368"/>
      <c r="G1157" s="368"/>
      <c r="H1157" s="368"/>
      <c r="I1157" s="368"/>
      <c r="J1157" s="368"/>
    </row>
    <row r="1158" spans="3:10" x14ac:dyDescent="0.2">
      <c r="C1158" s="368"/>
      <c r="D1158" s="368"/>
      <c r="F1158" s="368"/>
      <c r="G1158" s="368"/>
      <c r="H1158" s="368"/>
      <c r="I1158" s="368"/>
      <c r="J1158" s="368"/>
    </row>
    <row r="1159" spans="3:10" x14ac:dyDescent="0.2">
      <c r="C1159" s="368"/>
      <c r="D1159" s="368"/>
      <c r="F1159" s="368"/>
      <c r="G1159" s="368"/>
      <c r="H1159" s="368"/>
      <c r="I1159" s="368"/>
      <c r="J1159" s="368"/>
    </row>
    <row r="1160" spans="3:10" x14ac:dyDescent="0.2">
      <c r="C1160" s="368"/>
      <c r="D1160" s="368"/>
      <c r="F1160" s="368"/>
      <c r="G1160" s="368"/>
      <c r="H1160" s="368"/>
      <c r="I1160" s="368"/>
      <c r="J1160" s="368"/>
    </row>
    <row r="1161" spans="3:10" x14ac:dyDescent="0.2">
      <c r="C1161" s="368"/>
      <c r="D1161" s="368"/>
      <c r="F1161" s="368"/>
      <c r="G1161" s="368"/>
      <c r="H1161" s="368"/>
      <c r="I1161" s="368"/>
      <c r="J1161" s="368"/>
    </row>
    <row r="1162" spans="3:10" x14ac:dyDescent="0.2">
      <c r="C1162" s="368"/>
      <c r="D1162" s="368"/>
      <c r="F1162" s="368"/>
      <c r="G1162" s="368"/>
      <c r="H1162" s="368"/>
      <c r="I1162" s="368"/>
      <c r="J1162" s="368"/>
    </row>
    <row r="1163" spans="3:10" x14ac:dyDescent="0.2">
      <c r="C1163" s="368"/>
      <c r="D1163" s="368"/>
      <c r="F1163" s="368"/>
      <c r="G1163" s="368"/>
      <c r="H1163" s="368"/>
      <c r="I1163" s="368"/>
      <c r="J1163" s="368"/>
    </row>
    <row r="1164" spans="3:10" x14ac:dyDescent="0.2">
      <c r="C1164" s="368"/>
      <c r="D1164" s="368"/>
      <c r="F1164" s="368"/>
      <c r="G1164" s="368"/>
      <c r="H1164" s="368"/>
      <c r="I1164" s="368"/>
      <c r="J1164" s="368"/>
    </row>
    <row r="1165" spans="3:10" x14ac:dyDescent="0.2">
      <c r="C1165" s="368"/>
      <c r="D1165" s="368"/>
      <c r="F1165" s="368"/>
      <c r="G1165" s="368"/>
      <c r="H1165" s="368"/>
      <c r="I1165" s="368"/>
      <c r="J1165" s="368"/>
    </row>
    <row r="1166" spans="3:10" x14ac:dyDescent="0.2">
      <c r="C1166" s="368"/>
      <c r="D1166" s="368"/>
      <c r="F1166" s="368"/>
      <c r="G1166" s="368"/>
      <c r="H1166" s="368"/>
      <c r="I1166" s="368"/>
      <c r="J1166" s="368"/>
    </row>
    <row r="1167" spans="3:10" x14ac:dyDescent="0.2">
      <c r="C1167" s="368"/>
      <c r="D1167" s="368"/>
      <c r="F1167" s="368"/>
      <c r="G1167" s="368"/>
      <c r="H1167" s="368"/>
      <c r="I1167" s="368"/>
      <c r="J1167" s="368"/>
    </row>
    <row r="1168" spans="3:10" x14ac:dyDescent="0.2">
      <c r="C1168" s="368"/>
      <c r="D1168" s="368"/>
      <c r="F1168" s="368"/>
      <c r="G1168" s="368"/>
      <c r="H1168" s="368"/>
      <c r="I1168" s="368"/>
      <c r="J1168" s="368"/>
    </row>
    <row r="1169" spans="3:10" x14ac:dyDescent="0.2">
      <c r="C1169" s="368"/>
      <c r="D1169" s="368"/>
      <c r="F1169" s="368"/>
      <c r="G1169" s="368"/>
      <c r="H1169" s="368"/>
      <c r="I1169" s="368"/>
      <c r="J1169" s="368"/>
    </row>
    <row r="1170" spans="3:10" x14ac:dyDescent="0.2">
      <c r="C1170" s="368"/>
      <c r="D1170" s="368"/>
      <c r="F1170" s="368"/>
      <c r="G1170" s="368"/>
      <c r="H1170" s="368"/>
      <c r="I1170" s="368"/>
      <c r="J1170" s="368"/>
    </row>
    <row r="1171" spans="3:10" x14ac:dyDescent="0.2">
      <c r="C1171" s="368"/>
      <c r="D1171" s="368"/>
      <c r="F1171" s="368"/>
      <c r="G1171" s="368"/>
      <c r="H1171" s="368"/>
      <c r="I1171" s="368"/>
      <c r="J1171" s="368"/>
    </row>
    <row r="1172" spans="3:10" x14ac:dyDescent="0.2">
      <c r="C1172" s="368"/>
      <c r="D1172" s="368"/>
      <c r="F1172" s="368"/>
      <c r="G1172" s="368"/>
      <c r="H1172" s="368"/>
      <c r="I1172" s="368"/>
      <c r="J1172" s="368"/>
    </row>
    <row r="1173" spans="3:10" x14ac:dyDescent="0.2">
      <c r="C1173" s="368"/>
      <c r="D1173" s="368"/>
      <c r="F1173" s="368"/>
      <c r="G1173" s="368"/>
      <c r="H1173" s="368"/>
      <c r="I1173" s="368"/>
      <c r="J1173" s="368"/>
    </row>
    <row r="1174" spans="3:10" x14ac:dyDescent="0.2">
      <c r="C1174" s="368"/>
      <c r="D1174" s="368"/>
      <c r="F1174" s="368"/>
      <c r="G1174" s="368"/>
      <c r="H1174" s="368"/>
      <c r="I1174" s="368"/>
      <c r="J1174" s="368"/>
    </row>
    <row r="1175" spans="3:10" x14ac:dyDescent="0.2">
      <c r="C1175" s="368"/>
      <c r="D1175" s="368"/>
      <c r="F1175" s="368"/>
      <c r="G1175" s="368"/>
      <c r="H1175" s="368"/>
      <c r="I1175" s="368"/>
      <c r="J1175" s="368"/>
    </row>
    <row r="1176" spans="3:10" x14ac:dyDescent="0.2">
      <c r="C1176" s="368"/>
      <c r="D1176" s="368"/>
      <c r="F1176" s="368"/>
      <c r="G1176" s="368"/>
      <c r="H1176" s="368"/>
      <c r="I1176" s="368"/>
      <c r="J1176" s="368"/>
    </row>
    <row r="1177" spans="3:10" x14ac:dyDescent="0.2">
      <c r="C1177" s="368"/>
      <c r="D1177" s="368"/>
      <c r="F1177" s="368"/>
      <c r="G1177" s="368"/>
      <c r="H1177" s="368"/>
      <c r="I1177" s="368"/>
      <c r="J1177" s="368"/>
    </row>
    <row r="1178" spans="3:10" x14ac:dyDescent="0.2">
      <c r="C1178" s="368"/>
      <c r="D1178" s="368"/>
      <c r="F1178" s="368"/>
      <c r="G1178" s="368"/>
      <c r="H1178" s="368"/>
      <c r="I1178" s="368"/>
      <c r="J1178" s="368"/>
    </row>
    <row r="1179" spans="3:10" x14ac:dyDescent="0.2">
      <c r="C1179" s="368"/>
      <c r="D1179" s="368"/>
      <c r="F1179" s="368"/>
      <c r="G1179" s="368"/>
      <c r="H1179" s="368"/>
      <c r="I1179" s="368"/>
      <c r="J1179" s="368"/>
    </row>
    <row r="1180" spans="3:10" x14ac:dyDescent="0.2">
      <c r="C1180" s="368"/>
      <c r="D1180" s="368"/>
      <c r="F1180" s="368"/>
      <c r="G1180" s="368"/>
      <c r="H1180" s="368"/>
      <c r="I1180" s="368"/>
      <c r="J1180" s="368"/>
    </row>
    <row r="1181" spans="3:10" x14ac:dyDescent="0.2">
      <c r="C1181" s="368"/>
      <c r="D1181" s="368"/>
      <c r="F1181" s="368"/>
      <c r="G1181" s="368"/>
      <c r="H1181" s="368"/>
      <c r="I1181" s="368"/>
      <c r="J1181" s="368"/>
    </row>
    <row r="1182" spans="3:10" x14ac:dyDescent="0.2">
      <c r="C1182" s="368"/>
      <c r="D1182" s="368"/>
      <c r="F1182" s="368"/>
      <c r="G1182" s="368"/>
      <c r="H1182" s="368"/>
      <c r="I1182" s="368"/>
      <c r="J1182" s="368"/>
    </row>
    <row r="1183" spans="3:10" x14ac:dyDescent="0.2">
      <c r="C1183" s="368"/>
      <c r="D1183" s="368"/>
      <c r="F1183" s="368"/>
      <c r="G1183" s="368"/>
      <c r="H1183" s="368"/>
      <c r="I1183" s="368"/>
      <c r="J1183" s="368"/>
    </row>
    <row r="1184" spans="3:10" x14ac:dyDescent="0.2">
      <c r="C1184" s="368"/>
      <c r="D1184" s="368"/>
      <c r="F1184" s="368"/>
      <c r="G1184" s="368"/>
      <c r="H1184" s="368"/>
      <c r="I1184" s="368"/>
      <c r="J1184" s="368"/>
    </row>
    <row r="1185" spans="3:10" x14ac:dyDescent="0.2">
      <c r="C1185" s="368"/>
      <c r="D1185" s="368"/>
      <c r="F1185" s="368"/>
      <c r="G1185" s="368"/>
      <c r="H1185" s="368"/>
      <c r="I1185" s="368"/>
      <c r="J1185" s="368"/>
    </row>
    <row r="1186" spans="3:10" x14ac:dyDescent="0.2">
      <c r="C1186" s="368"/>
      <c r="D1186" s="368"/>
      <c r="F1186" s="368"/>
      <c r="G1186" s="368"/>
      <c r="H1186" s="368"/>
      <c r="I1186" s="368"/>
      <c r="J1186" s="368"/>
    </row>
    <row r="1187" spans="3:10" x14ac:dyDescent="0.2">
      <c r="C1187" s="368"/>
      <c r="D1187" s="368"/>
      <c r="F1187" s="368"/>
      <c r="G1187" s="368"/>
      <c r="H1187" s="368"/>
      <c r="I1187" s="368"/>
      <c r="J1187" s="368"/>
    </row>
    <row r="1188" spans="3:10" x14ac:dyDescent="0.2">
      <c r="C1188" s="368"/>
      <c r="D1188" s="368"/>
      <c r="F1188" s="368"/>
      <c r="G1188" s="368"/>
      <c r="H1188" s="368"/>
      <c r="I1188" s="368"/>
      <c r="J1188" s="368"/>
    </row>
    <row r="1189" spans="3:10" x14ac:dyDescent="0.2">
      <c r="C1189" s="368"/>
      <c r="D1189" s="368"/>
      <c r="F1189" s="368"/>
      <c r="G1189" s="368"/>
      <c r="H1189" s="368"/>
      <c r="I1189" s="368"/>
      <c r="J1189" s="368"/>
    </row>
    <row r="1190" spans="3:10" x14ac:dyDescent="0.2">
      <c r="C1190" s="368"/>
      <c r="D1190" s="368"/>
      <c r="F1190" s="368"/>
      <c r="G1190" s="368"/>
      <c r="H1190" s="368"/>
      <c r="I1190" s="368"/>
      <c r="J1190" s="368"/>
    </row>
    <row r="1191" spans="3:10" x14ac:dyDescent="0.2">
      <c r="C1191" s="368"/>
      <c r="D1191" s="368"/>
      <c r="F1191" s="368"/>
      <c r="G1191" s="368"/>
      <c r="H1191" s="368"/>
      <c r="I1191" s="368"/>
      <c r="J1191" s="368"/>
    </row>
    <row r="1192" spans="3:10" x14ac:dyDescent="0.2">
      <c r="C1192" s="368"/>
      <c r="D1192" s="368"/>
      <c r="F1192" s="368"/>
      <c r="G1192" s="368"/>
      <c r="H1192" s="368"/>
      <c r="I1192" s="368"/>
      <c r="J1192" s="368"/>
    </row>
    <row r="1193" spans="3:10" x14ac:dyDescent="0.2">
      <c r="C1193" s="368"/>
      <c r="D1193" s="368"/>
      <c r="F1193" s="368"/>
      <c r="G1193" s="368"/>
      <c r="H1193" s="368"/>
      <c r="I1193" s="368"/>
      <c r="J1193" s="368"/>
    </row>
    <row r="1194" spans="3:10" x14ac:dyDescent="0.2">
      <c r="C1194" s="368"/>
      <c r="D1194" s="368"/>
      <c r="F1194" s="368"/>
      <c r="G1194" s="368"/>
      <c r="H1194" s="368"/>
      <c r="I1194" s="368"/>
      <c r="J1194" s="368"/>
    </row>
    <row r="1195" spans="3:10" x14ac:dyDescent="0.2">
      <c r="C1195" s="368"/>
      <c r="D1195" s="368"/>
      <c r="F1195" s="368"/>
      <c r="G1195" s="368"/>
      <c r="H1195" s="368"/>
      <c r="I1195" s="368"/>
      <c r="J1195" s="368"/>
    </row>
    <row r="1196" spans="3:10" x14ac:dyDescent="0.2">
      <c r="C1196" s="368"/>
      <c r="D1196" s="368"/>
      <c r="F1196" s="368"/>
      <c r="G1196" s="368"/>
      <c r="H1196" s="368"/>
      <c r="I1196" s="368"/>
      <c r="J1196" s="368"/>
    </row>
    <row r="1197" spans="3:10" x14ac:dyDescent="0.2">
      <c r="C1197" s="368"/>
      <c r="D1197" s="368"/>
      <c r="F1197" s="368"/>
      <c r="G1197" s="368"/>
      <c r="H1197" s="368"/>
      <c r="I1197" s="368"/>
      <c r="J1197" s="368"/>
    </row>
    <row r="1198" spans="3:10" x14ac:dyDescent="0.2">
      <c r="C1198" s="368"/>
      <c r="D1198" s="368"/>
      <c r="F1198" s="368"/>
      <c r="G1198" s="368"/>
      <c r="H1198" s="368"/>
      <c r="I1198" s="368"/>
      <c r="J1198" s="368"/>
    </row>
    <row r="1199" spans="3:10" x14ac:dyDescent="0.2">
      <c r="C1199" s="368"/>
      <c r="D1199" s="368"/>
      <c r="F1199" s="368"/>
      <c r="G1199" s="368"/>
      <c r="H1199" s="368"/>
      <c r="I1199" s="368"/>
      <c r="J1199" s="368"/>
    </row>
    <row r="1200" spans="3:10" x14ac:dyDescent="0.2">
      <c r="C1200" s="368"/>
      <c r="D1200" s="368"/>
      <c r="F1200" s="368"/>
      <c r="G1200" s="368"/>
      <c r="H1200" s="368"/>
      <c r="I1200" s="368"/>
      <c r="J1200" s="368"/>
    </row>
    <row r="1201" spans="3:10" x14ac:dyDescent="0.2">
      <c r="C1201" s="368"/>
      <c r="D1201" s="368"/>
      <c r="F1201" s="368"/>
      <c r="G1201" s="368"/>
      <c r="H1201" s="368"/>
      <c r="I1201" s="368"/>
      <c r="J1201" s="368"/>
    </row>
    <row r="1202" spans="3:10" x14ac:dyDescent="0.2">
      <c r="C1202" s="368"/>
      <c r="D1202" s="368"/>
      <c r="F1202" s="368"/>
      <c r="G1202" s="368"/>
      <c r="H1202" s="368"/>
      <c r="I1202" s="368"/>
      <c r="J1202" s="368"/>
    </row>
    <row r="1203" spans="3:10" x14ac:dyDescent="0.2">
      <c r="C1203" s="368"/>
      <c r="D1203" s="368"/>
      <c r="F1203" s="368"/>
      <c r="G1203" s="368"/>
      <c r="H1203" s="368"/>
      <c r="I1203" s="368"/>
      <c r="J1203" s="368"/>
    </row>
    <row r="1204" spans="3:10" x14ac:dyDescent="0.2">
      <c r="C1204" s="368"/>
      <c r="D1204" s="368"/>
      <c r="F1204" s="368"/>
      <c r="G1204" s="368"/>
      <c r="H1204" s="368"/>
      <c r="I1204" s="368"/>
      <c r="J1204" s="368"/>
    </row>
    <row r="1205" spans="3:10" x14ac:dyDescent="0.2">
      <c r="C1205" s="368"/>
      <c r="D1205" s="368"/>
      <c r="F1205" s="368"/>
      <c r="G1205" s="368"/>
      <c r="H1205" s="368"/>
      <c r="I1205" s="368"/>
      <c r="J1205" s="368"/>
    </row>
    <row r="1206" spans="3:10" x14ac:dyDescent="0.2">
      <c r="C1206" s="368"/>
      <c r="D1206" s="368"/>
      <c r="F1206" s="368"/>
      <c r="G1206" s="368"/>
      <c r="H1206" s="368"/>
      <c r="I1206" s="368"/>
      <c r="J1206" s="368"/>
    </row>
    <row r="1207" spans="3:10" x14ac:dyDescent="0.2">
      <c r="C1207" s="368"/>
      <c r="D1207" s="368"/>
      <c r="F1207" s="368"/>
      <c r="G1207" s="368"/>
      <c r="H1207" s="368"/>
      <c r="I1207" s="368"/>
      <c r="J1207" s="368"/>
    </row>
    <row r="1208" spans="3:10" x14ac:dyDescent="0.2">
      <c r="C1208" s="368"/>
      <c r="D1208" s="368"/>
      <c r="F1208" s="368"/>
      <c r="G1208" s="368"/>
      <c r="H1208" s="368"/>
      <c r="I1208" s="368"/>
      <c r="J1208" s="368"/>
    </row>
    <row r="1209" spans="3:10" x14ac:dyDescent="0.2">
      <c r="C1209" s="368"/>
      <c r="D1209" s="368"/>
      <c r="F1209" s="368"/>
      <c r="G1209" s="368"/>
      <c r="H1209" s="368"/>
      <c r="I1209" s="368"/>
      <c r="J1209" s="368"/>
    </row>
    <row r="1210" spans="3:10" x14ac:dyDescent="0.2">
      <c r="C1210" s="368"/>
      <c r="D1210" s="368"/>
      <c r="F1210" s="368"/>
      <c r="G1210" s="368"/>
      <c r="H1210" s="368"/>
      <c r="I1210" s="368"/>
      <c r="J1210" s="368"/>
    </row>
    <row r="1211" spans="3:10" x14ac:dyDescent="0.2">
      <c r="C1211" s="368"/>
      <c r="D1211" s="368"/>
      <c r="F1211" s="368"/>
      <c r="G1211" s="368"/>
      <c r="H1211" s="368"/>
      <c r="I1211" s="368"/>
      <c r="J1211" s="368"/>
    </row>
    <row r="1212" spans="3:10" x14ac:dyDescent="0.2">
      <c r="C1212" s="368"/>
      <c r="D1212" s="368"/>
      <c r="F1212" s="368"/>
      <c r="G1212" s="368"/>
      <c r="H1212" s="368"/>
      <c r="I1212" s="368"/>
      <c r="J1212" s="368"/>
    </row>
    <row r="1213" spans="3:10" x14ac:dyDescent="0.2">
      <c r="C1213" s="368"/>
      <c r="D1213" s="368"/>
      <c r="F1213" s="368"/>
      <c r="G1213" s="368"/>
      <c r="H1213" s="368"/>
      <c r="I1213" s="368"/>
      <c r="J1213" s="368"/>
    </row>
    <row r="1214" spans="3:10" x14ac:dyDescent="0.2">
      <c r="C1214" s="368"/>
      <c r="D1214" s="368"/>
      <c r="F1214" s="368"/>
      <c r="G1214" s="368"/>
      <c r="H1214" s="368"/>
      <c r="I1214" s="368"/>
      <c r="J1214" s="368"/>
    </row>
    <row r="1215" spans="3:10" x14ac:dyDescent="0.2">
      <c r="C1215" s="368"/>
      <c r="D1215" s="368"/>
      <c r="F1215" s="368"/>
      <c r="G1215" s="368"/>
      <c r="H1215" s="368"/>
      <c r="I1215" s="368"/>
      <c r="J1215" s="368"/>
    </row>
    <row r="1216" spans="3:10" x14ac:dyDescent="0.2">
      <c r="C1216" s="368"/>
      <c r="D1216" s="368"/>
      <c r="F1216" s="368"/>
      <c r="G1216" s="368"/>
      <c r="H1216" s="368"/>
      <c r="I1216" s="368"/>
      <c r="J1216" s="368"/>
    </row>
    <row r="1217" spans="3:10" x14ac:dyDescent="0.2">
      <c r="C1217" s="368"/>
      <c r="D1217" s="368"/>
      <c r="F1217" s="368"/>
      <c r="G1217" s="368"/>
      <c r="H1217" s="368"/>
      <c r="I1217" s="368"/>
      <c r="J1217" s="368"/>
    </row>
    <row r="1218" spans="3:10" x14ac:dyDescent="0.2">
      <c r="C1218" s="368"/>
      <c r="D1218" s="368"/>
      <c r="F1218" s="368"/>
      <c r="G1218" s="368"/>
      <c r="H1218" s="368"/>
      <c r="I1218" s="368"/>
      <c r="J1218" s="368"/>
    </row>
    <row r="1219" spans="3:10" x14ac:dyDescent="0.2">
      <c r="C1219" s="368"/>
      <c r="D1219" s="368"/>
      <c r="F1219" s="368"/>
      <c r="G1219" s="368"/>
      <c r="H1219" s="368"/>
      <c r="I1219" s="368"/>
      <c r="J1219" s="368"/>
    </row>
    <row r="1220" spans="3:10" x14ac:dyDescent="0.2">
      <c r="C1220" s="368"/>
      <c r="D1220" s="368"/>
      <c r="F1220" s="368"/>
      <c r="G1220" s="368"/>
      <c r="H1220" s="368"/>
      <c r="I1220" s="368"/>
      <c r="J1220" s="368"/>
    </row>
    <row r="1221" spans="3:10" x14ac:dyDescent="0.2">
      <c r="C1221" s="368"/>
      <c r="D1221" s="368"/>
      <c r="F1221" s="368"/>
      <c r="G1221" s="368"/>
      <c r="H1221" s="368"/>
      <c r="I1221" s="368"/>
      <c r="J1221" s="368"/>
    </row>
    <row r="1222" spans="3:10" x14ac:dyDescent="0.2">
      <c r="C1222" s="368"/>
      <c r="D1222" s="368"/>
      <c r="F1222" s="368"/>
      <c r="G1222" s="368"/>
      <c r="H1222" s="368"/>
      <c r="I1222" s="368"/>
      <c r="J1222" s="368"/>
    </row>
    <row r="1223" spans="3:10" x14ac:dyDescent="0.2">
      <c r="C1223" s="368"/>
      <c r="D1223" s="368"/>
      <c r="F1223" s="368"/>
      <c r="G1223" s="368"/>
      <c r="H1223" s="368"/>
      <c r="I1223" s="368"/>
      <c r="J1223" s="368"/>
    </row>
    <row r="1224" spans="3:10" x14ac:dyDescent="0.2">
      <c r="C1224" s="368"/>
      <c r="D1224" s="368"/>
      <c r="F1224" s="368"/>
      <c r="G1224" s="368"/>
      <c r="H1224" s="368"/>
      <c r="I1224" s="368"/>
      <c r="J1224" s="368"/>
    </row>
    <row r="1225" spans="3:10" x14ac:dyDescent="0.2">
      <c r="C1225" s="368"/>
      <c r="D1225" s="368"/>
      <c r="F1225" s="368"/>
      <c r="G1225" s="368"/>
      <c r="H1225" s="368"/>
      <c r="I1225" s="368"/>
      <c r="J1225" s="368"/>
    </row>
    <row r="1226" spans="3:10" x14ac:dyDescent="0.2">
      <c r="C1226" s="368"/>
      <c r="D1226" s="368"/>
      <c r="F1226" s="368"/>
      <c r="G1226" s="368"/>
      <c r="H1226" s="368"/>
      <c r="I1226" s="368"/>
      <c r="J1226" s="368"/>
    </row>
    <row r="1227" spans="3:10" x14ac:dyDescent="0.2">
      <c r="C1227" s="368"/>
      <c r="D1227" s="368"/>
      <c r="F1227" s="368"/>
      <c r="G1227" s="368"/>
      <c r="H1227" s="368"/>
      <c r="I1227" s="368"/>
      <c r="J1227" s="368"/>
    </row>
    <row r="1228" spans="3:10" x14ac:dyDescent="0.2">
      <c r="C1228" s="368"/>
      <c r="D1228" s="368"/>
      <c r="F1228" s="368"/>
      <c r="G1228" s="368"/>
      <c r="H1228" s="368"/>
      <c r="I1228" s="368"/>
      <c r="J1228" s="368"/>
    </row>
    <row r="1229" spans="3:10" x14ac:dyDescent="0.2">
      <c r="C1229" s="368"/>
      <c r="D1229" s="368"/>
      <c r="F1229" s="368"/>
      <c r="G1229" s="368"/>
      <c r="H1229" s="368"/>
      <c r="I1229" s="368"/>
      <c r="J1229" s="368"/>
    </row>
    <row r="1230" spans="3:10" x14ac:dyDescent="0.2">
      <c r="C1230" s="368"/>
      <c r="D1230" s="368"/>
      <c r="F1230" s="368"/>
      <c r="G1230" s="368"/>
      <c r="H1230" s="368"/>
      <c r="I1230" s="368"/>
      <c r="J1230" s="368"/>
    </row>
    <row r="1231" spans="3:10" x14ac:dyDescent="0.2">
      <c r="C1231" s="368"/>
      <c r="D1231" s="368"/>
      <c r="F1231" s="368"/>
      <c r="G1231" s="368"/>
      <c r="H1231" s="368"/>
      <c r="I1231" s="368"/>
      <c r="J1231" s="368"/>
    </row>
    <row r="1232" spans="3:10" x14ac:dyDescent="0.2">
      <c r="C1232" s="368"/>
      <c r="D1232" s="368"/>
      <c r="F1232" s="368"/>
      <c r="G1232" s="368"/>
      <c r="H1232" s="368"/>
      <c r="I1232" s="368"/>
      <c r="J1232" s="368"/>
    </row>
    <row r="1233" spans="3:10" x14ac:dyDescent="0.2">
      <c r="C1233" s="368"/>
      <c r="D1233" s="368"/>
      <c r="F1233" s="368"/>
      <c r="G1233" s="368"/>
      <c r="H1233" s="368"/>
      <c r="I1233" s="368"/>
      <c r="J1233" s="368"/>
    </row>
    <row r="1234" spans="3:10" x14ac:dyDescent="0.2">
      <c r="C1234" s="368"/>
      <c r="D1234" s="368"/>
      <c r="F1234" s="368"/>
      <c r="G1234" s="368"/>
      <c r="H1234" s="368"/>
      <c r="I1234" s="368"/>
      <c r="J1234" s="368"/>
    </row>
    <row r="1235" spans="3:10" x14ac:dyDescent="0.2">
      <c r="C1235" s="368"/>
      <c r="D1235" s="368"/>
      <c r="F1235" s="368"/>
      <c r="G1235" s="368"/>
      <c r="H1235" s="368"/>
      <c r="I1235" s="368"/>
      <c r="J1235" s="368"/>
    </row>
    <row r="1236" spans="3:10" x14ac:dyDescent="0.2">
      <c r="C1236" s="368"/>
      <c r="D1236" s="368"/>
      <c r="F1236" s="368"/>
      <c r="G1236" s="368"/>
      <c r="H1236" s="368"/>
      <c r="I1236" s="368"/>
      <c r="J1236" s="368"/>
    </row>
    <row r="1237" spans="3:10" x14ac:dyDescent="0.2">
      <c r="C1237" s="368"/>
      <c r="D1237" s="368"/>
      <c r="F1237" s="368"/>
      <c r="G1237" s="368"/>
      <c r="H1237" s="368"/>
      <c r="I1237" s="368"/>
      <c r="J1237" s="368"/>
    </row>
    <row r="1238" spans="3:10" x14ac:dyDescent="0.2">
      <c r="C1238" s="368"/>
      <c r="D1238" s="368"/>
      <c r="F1238" s="368"/>
      <c r="G1238" s="368"/>
      <c r="H1238" s="368"/>
      <c r="I1238" s="368"/>
      <c r="J1238" s="368"/>
    </row>
    <row r="1239" spans="3:10" x14ac:dyDescent="0.2">
      <c r="C1239" s="368"/>
      <c r="D1239" s="368"/>
      <c r="F1239" s="368"/>
      <c r="G1239" s="368"/>
      <c r="H1239" s="368"/>
      <c r="I1239" s="368"/>
      <c r="J1239" s="368"/>
    </row>
    <row r="1240" spans="3:10" x14ac:dyDescent="0.2">
      <c r="C1240" s="368"/>
      <c r="D1240" s="368"/>
      <c r="F1240" s="368"/>
      <c r="G1240" s="368"/>
      <c r="H1240" s="368"/>
      <c r="I1240" s="368"/>
      <c r="J1240" s="368"/>
    </row>
    <row r="1241" spans="3:10" x14ac:dyDescent="0.2">
      <c r="C1241" s="368"/>
      <c r="D1241" s="368"/>
      <c r="F1241" s="368"/>
      <c r="G1241" s="368"/>
      <c r="H1241" s="368"/>
      <c r="I1241" s="368"/>
      <c r="J1241" s="368"/>
    </row>
    <row r="1242" spans="3:10" x14ac:dyDescent="0.2">
      <c r="C1242" s="368"/>
      <c r="D1242" s="368"/>
      <c r="F1242" s="368"/>
      <c r="G1242" s="368"/>
      <c r="H1242" s="368"/>
      <c r="I1242" s="368"/>
      <c r="J1242" s="368"/>
    </row>
    <row r="1243" spans="3:10" x14ac:dyDescent="0.2">
      <c r="C1243" s="368"/>
      <c r="D1243" s="368"/>
      <c r="F1243" s="368"/>
      <c r="G1243" s="368"/>
      <c r="H1243" s="368"/>
      <c r="I1243" s="368"/>
      <c r="J1243" s="368"/>
    </row>
    <row r="1244" spans="3:10" x14ac:dyDescent="0.2">
      <c r="C1244" s="368"/>
      <c r="D1244" s="368"/>
      <c r="F1244" s="368"/>
      <c r="G1244" s="368"/>
      <c r="H1244" s="368"/>
      <c r="I1244" s="368"/>
      <c r="J1244" s="368"/>
    </row>
    <row r="1245" spans="3:10" x14ac:dyDescent="0.2">
      <c r="C1245" s="368"/>
      <c r="D1245" s="368"/>
      <c r="F1245" s="368"/>
      <c r="G1245" s="368"/>
      <c r="H1245" s="368"/>
      <c r="I1245" s="368"/>
      <c r="J1245" s="368"/>
    </row>
    <row r="1246" spans="3:10" x14ac:dyDescent="0.2">
      <c r="C1246" s="368"/>
      <c r="D1246" s="368"/>
      <c r="F1246" s="368"/>
      <c r="G1246" s="368"/>
      <c r="H1246" s="368"/>
      <c r="I1246" s="368"/>
      <c r="J1246" s="368"/>
    </row>
    <row r="1247" spans="3:10" x14ac:dyDescent="0.2">
      <c r="C1247" s="368"/>
      <c r="D1247" s="368"/>
      <c r="F1247" s="368"/>
      <c r="G1247" s="368"/>
      <c r="H1247" s="368"/>
      <c r="I1247" s="368"/>
      <c r="J1247" s="368"/>
    </row>
    <row r="1248" spans="3:10" x14ac:dyDescent="0.2">
      <c r="C1248" s="368"/>
      <c r="D1248" s="368"/>
      <c r="F1248" s="368"/>
      <c r="G1248" s="368"/>
      <c r="H1248" s="368"/>
      <c r="I1248" s="368"/>
      <c r="J1248" s="368"/>
    </row>
    <row r="1249" spans="3:10" x14ac:dyDescent="0.2">
      <c r="C1249" s="368"/>
      <c r="D1249" s="368"/>
      <c r="F1249" s="368"/>
      <c r="G1249" s="368"/>
      <c r="H1249" s="368"/>
      <c r="I1249" s="368"/>
      <c r="J1249" s="368"/>
    </row>
    <row r="1250" spans="3:10" x14ac:dyDescent="0.2">
      <c r="C1250" s="368"/>
      <c r="D1250" s="368"/>
      <c r="F1250" s="368"/>
      <c r="G1250" s="368"/>
      <c r="H1250" s="368"/>
      <c r="I1250" s="368"/>
      <c r="J1250" s="368"/>
    </row>
    <row r="1251" spans="3:10" x14ac:dyDescent="0.2">
      <c r="C1251" s="368"/>
      <c r="D1251" s="368"/>
      <c r="F1251" s="368"/>
      <c r="G1251" s="368"/>
      <c r="H1251" s="368"/>
      <c r="I1251" s="368"/>
      <c r="J1251" s="368"/>
    </row>
    <row r="1252" spans="3:10" x14ac:dyDescent="0.2">
      <c r="C1252" s="368"/>
      <c r="D1252" s="368"/>
      <c r="F1252" s="368"/>
      <c r="G1252" s="368"/>
      <c r="H1252" s="368"/>
      <c r="I1252" s="368"/>
      <c r="J1252" s="368"/>
    </row>
    <row r="1253" spans="3:10" x14ac:dyDescent="0.2">
      <c r="C1253" s="368"/>
      <c r="D1253" s="368"/>
      <c r="F1253" s="368"/>
      <c r="G1253" s="368"/>
      <c r="H1253" s="368"/>
      <c r="I1253" s="368"/>
      <c r="J1253" s="368"/>
    </row>
    <row r="1254" spans="3:10" x14ac:dyDescent="0.2">
      <c r="C1254" s="368"/>
      <c r="D1254" s="368"/>
      <c r="F1254" s="368"/>
      <c r="G1254" s="368"/>
      <c r="H1254" s="368"/>
      <c r="I1254" s="368"/>
      <c r="J1254" s="368"/>
    </row>
    <row r="1255" spans="3:10" x14ac:dyDescent="0.2">
      <c r="C1255" s="368"/>
      <c r="D1255" s="368"/>
      <c r="F1255" s="368"/>
      <c r="G1255" s="368"/>
      <c r="H1255" s="368"/>
      <c r="I1255" s="368"/>
      <c r="J1255" s="368"/>
    </row>
    <row r="1256" spans="3:10" x14ac:dyDescent="0.2">
      <c r="C1256" s="368"/>
      <c r="D1256" s="368"/>
      <c r="F1256" s="368"/>
      <c r="G1256" s="368"/>
      <c r="H1256" s="368"/>
      <c r="I1256" s="368"/>
      <c r="J1256" s="368"/>
    </row>
    <row r="1257" spans="3:10" x14ac:dyDescent="0.2">
      <c r="C1257" s="368"/>
      <c r="D1257" s="368"/>
      <c r="F1257" s="368"/>
      <c r="G1257" s="368"/>
      <c r="H1257" s="368"/>
      <c r="I1257" s="368"/>
      <c r="J1257" s="368"/>
    </row>
    <row r="1258" spans="3:10" x14ac:dyDescent="0.2">
      <c r="C1258" s="368"/>
      <c r="D1258" s="368"/>
      <c r="F1258" s="368"/>
      <c r="G1258" s="368"/>
      <c r="H1258" s="368"/>
      <c r="I1258" s="368"/>
      <c r="J1258" s="368"/>
    </row>
    <row r="1259" spans="3:10" x14ac:dyDescent="0.2">
      <c r="C1259" s="368"/>
      <c r="D1259" s="368"/>
      <c r="F1259" s="368"/>
      <c r="G1259" s="368"/>
      <c r="H1259" s="368"/>
      <c r="I1259" s="368"/>
      <c r="J1259" s="368"/>
    </row>
    <row r="1260" spans="3:10" x14ac:dyDescent="0.2">
      <c r="C1260" s="368"/>
      <c r="D1260" s="368"/>
      <c r="F1260" s="368"/>
      <c r="G1260" s="368"/>
      <c r="H1260" s="368"/>
      <c r="I1260" s="368"/>
      <c r="J1260" s="368"/>
    </row>
    <row r="1261" spans="3:10" x14ac:dyDescent="0.2">
      <c r="C1261" s="368"/>
      <c r="D1261" s="368"/>
      <c r="F1261" s="368"/>
      <c r="G1261" s="368"/>
      <c r="H1261" s="368"/>
      <c r="I1261" s="368"/>
      <c r="J1261" s="368"/>
    </row>
    <row r="1262" spans="3:10" x14ac:dyDescent="0.2">
      <c r="C1262" s="368"/>
      <c r="D1262" s="368"/>
      <c r="F1262" s="368"/>
      <c r="G1262" s="368"/>
      <c r="H1262" s="368"/>
      <c r="I1262" s="368"/>
      <c r="J1262" s="368"/>
    </row>
    <row r="1263" spans="3:10" x14ac:dyDescent="0.2">
      <c r="C1263" s="368"/>
      <c r="D1263" s="368"/>
      <c r="F1263" s="368"/>
      <c r="G1263" s="368"/>
      <c r="H1263" s="368"/>
      <c r="I1263" s="368"/>
      <c r="J1263" s="368"/>
    </row>
    <row r="1264" spans="3:10" x14ac:dyDescent="0.2">
      <c r="C1264" s="368"/>
      <c r="D1264" s="368"/>
      <c r="F1264" s="368"/>
      <c r="G1264" s="368"/>
      <c r="H1264" s="368"/>
      <c r="I1264" s="368"/>
      <c r="J1264" s="368"/>
    </row>
    <row r="1265" spans="3:10" x14ac:dyDescent="0.2">
      <c r="C1265" s="368"/>
      <c r="D1265" s="368"/>
      <c r="F1265" s="368"/>
      <c r="G1265" s="368"/>
      <c r="H1265" s="368"/>
      <c r="I1265" s="368"/>
      <c r="J1265" s="368"/>
    </row>
    <row r="1266" spans="3:10" x14ac:dyDescent="0.2">
      <c r="C1266" s="368"/>
      <c r="D1266" s="368"/>
      <c r="F1266" s="368"/>
      <c r="G1266" s="368"/>
      <c r="H1266" s="368"/>
      <c r="I1266" s="368"/>
      <c r="J1266" s="368"/>
    </row>
    <row r="1267" spans="3:10" x14ac:dyDescent="0.2">
      <c r="C1267" s="368"/>
      <c r="D1267" s="368"/>
      <c r="F1267" s="368"/>
      <c r="G1267" s="368"/>
      <c r="H1267" s="368"/>
      <c r="I1267" s="368"/>
      <c r="J1267" s="368"/>
    </row>
    <row r="1268" spans="3:10" x14ac:dyDescent="0.2">
      <c r="C1268" s="368"/>
      <c r="D1268" s="368"/>
      <c r="F1268" s="368"/>
      <c r="G1268" s="368"/>
      <c r="H1268" s="368"/>
      <c r="I1268" s="368"/>
      <c r="J1268" s="368"/>
    </row>
    <row r="1269" spans="3:10" x14ac:dyDescent="0.2">
      <c r="C1269" s="368"/>
      <c r="D1269" s="368"/>
      <c r="F1269" s="368"/>
      <c r="G1269" s="368"/>
      <c r="H1269" s="368"/>
      <c r="I1269" s="368"/>
      <c r="J1269" s="368"/>
    </row>
    <row r="1270" spans="3:10" x14ac:dyDescent="0.2">
      <c r="C1270" s="368"/>
      <c r="D1270" s="368"/>
      <c r="F1270" s="368"/>
      <c r="G1270" s="368"/>
      <c r="H1270" s="368"/>
      <c r="I1270" s="368"/>
      <c r="J1270" s="368"/>
    </row>
    <row r="1271" spans="3:10" x14ac:dyDescent="0.2">
      <c r="C1271" s="368"/>
      <c r="D1271" s="368"/>
      <c r="F1271" s="368"/>
      <c r="G1271" s="368"/>
      <c r="H1271" s="368"/>
      <c r="I1271" s="368"/>
      <c r="J1271" s="368"/>
    </row>
    <row r="1272" spans="3:10" x14ac:dyDescent="0.2">
      <c r="C1272" s="368"/>
      <c r="D1272" s="368"/>
      <c r="F1272" s="368"/>
      <c r="G1272" s="368"/>
      <c r="H1272" s="368"/>
      <c r="I1272" s="368"/>
      <c r="J1272" s="368"/>
    </row>
    <row r="1273" spans="3:10" x14ac:dyDescent="0.2">
      <c r="C1273" s="368"/>
      <c r="D1273" s="368"/>
      <c r="F1273" s="368"/>
      <c r="G1273" s="368"/>
      <c r="H1273" s="368"/>
      <c r="I1273" s="368"/>
      <c r="J1273" s="368"/>
    </row>
    <row r="1274" spans="3:10" x14ac:dyDescent="0.2">
      <c r="C1274" s="368"/>
      <c r="D1274" s="368"/>
      <c r="F1274" s="368"/>
      <c r="G1274" s="368"/>
      <c r="H1274" s="368"/>
      <c r="I1274" s="368"/>
      <c r="J1274" s="368"/>
    </row>
    <row r="1275" spans="3:10" x14ac:dyDescent="0.2">
      <c r="C1275" s="368"/>
      <c r="D1275" s="368"/>
      <c r="F1275" s="368"/>
      <c r="G1275" s="368"/>
      <c r="H1275" s="368"/>
      <c r="I1275" s="368"/>
      <c r="J1275" s="368"/>
    </row>
    <row r="1276" spans="3:10" x14ac:dyDescent="0.2">
      <c r="C1276" s="368"/>
      <c r="D1276" s="368"/>
      <c r="F1276" s="368"/>
      <c r="G1276" s="368"/>
      <c r="H1276" s="368"/>
      <c r="I1276" s="368"/>
      <c r="J1276" s="368"/>
    </row>
    <row r="1277" spans="3:10" x14ac:dyDescent="0.2">
      <c r="C1277" s="368"/>
      <c r="D1277" s="368"/>
      <c r="F1277" s="368"/>
      <c r="G1277" s="368"/>
      <c r="H1277" s="368"/>
      <c r="I1277" s="368"/>
      <c r="J1277" s="368"/>
    </row>
    <row r="1278" spans="3:10" x14ac:dyDescent="0.2">
      <c r="C1278" s="368"/>
      <c r="D1278" s="368"/>
      <c r="F1278" s="368"/>
      <c r="G1278" s="368"/>
      <c r="H1278" s="368"/>
      <c r="I1278" s="368"/>
      <c r="J1278" s="368"/>
    </row>
    <row r="1279" spans="3:10" x14ac:dyDescent="0.2">
      <c r="C1279" s="368"/>
      <c r="D1279" s="368"/>
      <c r="F1279" s="368"/>
      <c r="G1279" s="368"/>
      <c r="H1279" s="368"/>
      <c r="I1279" s="368"/>
      <c r="J1279" s="368"/>
    </row>
    <row r="1280" spans="3:10" x14ac:dyDescent="0.2">
      <c r="C1280" s="368"/>
      <c r="D1280" s="368"/>
      <c r="F1280" s="368"/>
      <c r="G1280" s="368"/>
      <c r="H1280" s="368"/>
      <c r="I1280" s="368"/>
      <c r="J1280" s="368"/>
    </row>
    <row r="1281" spans="3:10" x14ac:dyDescent="0.2">
      <c r="C1281" s="368"/>
      <c r="D1281" s="368"/>
      <c r="F1281" s="368"/>
      <c r="G1281" s="368"/>
      <c r="H1281" s="368"/>
      <c r="I1281" s="368"/>
      <c r="J1281" s="368"/>
    </row>
    <row r="1282" spans="3:10" x14ac:dyDescent="0.2">
      <c r="C1282" s="368"/>
      <c r="D1282" s="368"/>
      <c r="F1282" s="368"/>
      <c r="G1282" s="368"/>
      <c r="H1282" s="368"/>
      <c r="I1282" s="368"/>
      <c r="J1282" s="368"/>
    </row>
    <row r="1283" spans="3:10" x14ac:dyDescent="0.2">
      <c r="C1283" s="368"/>
      <c r="D1283" s="368"/>
      <c r="F1283" s="368"/>
      <c r="G1283" s="368"/>
      <c r="H1283" s="368"/>
      <c r="I1283" s="368"/>
      <c r="J1283" s="368"/>
    </row>
    <row r="1284" spans="3:10" x14ac:dyDescent="0.2">
      <c r="C1284" s="368"/>
      <c r="D1284" s="368"/>
      <c r="F1284" s="368"/>
      <c r="G1284" s="368"/>
      <c r="H1284" s="368"/>
      <c r="I1284" s="368"/>
      <c r="J1284" s="368"/>
    </row>
    <row r="1285" spans="3:10" x14ac:dyDescent="0.2">
      <c r="C1285" s="368"/>
      <c r="D1285" s="368"/>
      <c r="F1285" s="368"/>
      <c r="G1285" s="368"/>
      <c r="H1285" s="368"/>
      <c r="I1285" s="368"/>
      <c r="J1285" s="368"/>
    </row>
    <row r="1286" spans="3:10" x14ac:dyDescent="0.2">
      <c r="C1286" s="368"/>
      <c r="D1286" s="368"/>
      <c r="F1286" s="368"/>
      <c r="G1286" s="368"/>
      <c r="H1286" s="368"/>
      <c r="I1286" s="368"/>
      <c r="J1286" s="368"/>
    </row>
    <row r="1287" spans="3:10" x14ac:dyDescent="0.2">
      <c r="C1287" s="368"/>
      <c r="D1287" s="368"/>
      <c r="F1287" s="368"/>
      <c r="G1287" s="368"/>
      <c r="H1287" s="368"/>
      <c r="I1287" s="368"/>
      <c r="J1287" s="368"/>
    </row>
    <row r="1288" spans="3:10" x14ac:dyDescent="0.2">
      <c r="C1288" s="368"/>
      <c r="D1288" s="368"/>
      <c r="F1288" s="368"/>
      <c r="G1288" s="368"/>
      <c r="H1288" s="368"/>
      <c r="I1288" s="368"/>
      <c r="J1288" s="368"/>
    </row>
    <row r="1289" spans="3:10" x14ac:dyDescent="0.2">
      <c r="C1289" s="368"/>
      <c r="D1289" s="368"/>
      <c r="F1289" s="368"/>
      <c r="G1289" s="368"/>
      <c r="H1289" s="368"/>
      <c r="I1289" s="368"/>
      <c r="J1289" s="368"/>
    </row>
    <row r="1290" spans="3:10" x14ac:dyDescent="0.2">
      <c r="C1290" s="368"/>
      <c r="D1290" s="368"/>
      <c r="F1290" s="368"/>
      <c r="G1290" s="368"/>
      <c r="H1290" s="368"/>
      <c r="I1290" s="368"/>
      <c r="J1290" s="368"/>
    </row>
    <row r="1291" spans="3:10" x14ac:dyDescent="0.2">
      <c r="C1291" s="368"/>
      <c r="D1291" s="368"/>
      <c r="F1291" s="368"/>
      <c r="G1291" s="368"/>
      <c r="H1291" s="368"/>
      <c r="I1291" s="368"/>
      <c r="J1291" s="368"/>
    </row>
    <row r="1292" spans="3:10" x14ac:dyDescent="0.2">
      <c r="C1292" s="368"/>
      <c r="D1292" s="368"/>
      <c r="F1292" s="368"/>
      <c r="G1292" s="368"/>
      <c r="H1292" s="368"/>
      <c r="I1292" s="368"/>
      <c r="J1292" s="368"/>
    </row>
    <row r="1293" spans="3:10" x14ac:dyDescent="0.2">
      <c r="C1293" s="368"/>
      <c r="D1293" s="368"/>
      <c r="F1293" s="368"/>
      <c r="G1293" s="368"/>
      <c r="H1293" s="368"/>
      <c r="I1293" s="368"/>
      <c r="J1293" s="368"/>
    </row>
    <row r="1294" spans="3:10" x14ac:dyDescent="0.2">
      <c r="C1294" s="368"/>
      <c r="D1294" s="368"/>
      <c r="F1294" s="368"/>
      <c r="G1294" s="368"/>
      <c r="H1294" s="368"/>
      <c r="I1294" s="368"/>
      <c r="J1294" s="368"/>
    </row>
    <row r="1295" spans="3:10" x14ac:dyDescent="0.2">
      <c r="C1295" s="368"/>
      <c r="D1295" s="368"/>
      <c r="F1295" s="368"/>
      <c r="G1295" s="368"/>
      <c r="H1295" s="368"/>
      <c r="I1295" s="368"/>
      <c r="J1295" s="368"/>
    </row>
    <row r="1296" spans="3:10" x14ac:dyDescent="0.2">
      <c r="C1296" s="368"/>
      <c r="D1296" s="368"/>
      <c r="F1296" s="368"/>
      <c r="G1296" s="368"/>
      <c r="H1296" s="368"/>
      <c r="I1296" s="368"/>
      <c r="J1296" s="368"/>
    </row>
    <row r="1297" spans="3:10" x14ac:dyDescent="0.2">
      <c r="C1297" s="368"/>
      <c r="D1297" s="368"/>
      <c r="F1297" s="368"/>
      <c r="G1297" s="368"/>
      <c r="H1297" s="368"/>
      <c r="I1297" s="368"/>
      <c r="J1297" s="368"/>
    </row>
    <row r="1298" spans="3:10" x14ac:dyDescent="0.2">
      <c r="C1298" s="368"/>
      <c r="D1298" s="368"/>
      <c r="F1298" s="368"/>
      <c r="G1298" s="368"/>
      <c r="H1298" s="368"/>
      <c r="I1298" s="368"/>
      <c r="J1298" s="368"/>
    </row>
    <row r="1299" spans="3:10" x14ac:dyDescent="0.2">
      <c r="C1299" s="368"/>
      <c r="D1299" s="368"/>
      <c r="F1299" s="368"/>
      <c r="G1299" s="368"/>
      <c r="H1299" s="368"/>
      <c r="I1299" s="368"/>
      <c r="J1299" s="368"/>
    </row>
    <row r="1300" spans="3:10" x14ac:dyDescent="0.2">
      <c r="C1300" s="368"/>
      <c r="D1300" s="368"/>
      <c r="F1300" s="368"/>
      <c r="G1300" s="368"/>
      <c r="H1300" s="368"/>
      <c r="I1300" s="368"/>
      <c r="J1300" s="368"/>
    </row>
    <row r="1301" spans="3:10" x14ac:dyDescent="0.2">
      <c r="C1301" s="368"/>
      <c r="D1301" s="368"/>
      <c r="F1301" s="368"/>
      <c r="G1301" s="368"/>
      <c r="H1301" s="368"/>
      <c r="I1301" s="368"/>
      <c r="J1301" s="368"/>
    </row>
    <row r="1302" spans="3:10" x14ac:dyDescent="0.2">
      <c r="C1302" s="368"/>
      <c r="D1302" s="368"/>
      <c r="F1302" s="368"/>
      <c r="G1302" s="368"/>
      <c r="H1302" s="368"/>
      <c r="I1302" s="368"/>
      <c r="J1302" s="368"/>
    </row>
    <row r="1303" spans="3:10" x14ac:dyDescent="0.2">
      <c r="C1303" s="368"/>
      <c r="D1303" s="368"/>
      <c r="F1303" s="368"/>
      <c r="G1303" s="368"/>
      <c r="H1303" s="368"/>
      <c r="I1303" s="368"/>
      <c r="J1303" s="368"/>
    </row>
    <row r="1304" spans="3:10" x14ac:dyDescent="0.2">
      <c r="C1304" s="368"/>
      <c r="D1304" s="368"/>
      <c r="F1304" s="368"/>
      <c r="G1304" s="368"/>
      <c r="H1304" s="368"/>
      <c r="I1304" s="368"/>
      <c r="J1304" s="368"/>
    </row>
    <row r="1305" spans="3:10" x14ac:dyDescent="0.2">
      <c r="C1305" s="368"/>
      <c r="D1305" s="368"/>
      <c r="F1305" s="368"/>
      <c r="G1305" s="368"/>
      <c r="H1305" s="368"/>
      <c r="I1305" s="368"/>
      <c r="J1305" s="368"/>
    </row>
    <row r="1306" spans="3:10" x14ac:dyDescent="0.2">
      <c r="C1306" s="368"/>
      <c r="D1306" s="368"/>
      <c r="F1306" s="368"/>
      <c r="G1306" s="368"/>
      <c r="H1306" s="368"/>
      <c r="I1306" s="368"/>
      <c r="J1306" s="368"/>
    </row>
    <row r="1307" spans="3:10" x14ac:dyDescent="0.2">
      <c r="C1307" s="368"/>
      <c r="D1307" s="368"/>
      <c r="F1307" s="368"/>
      <c r="G1307" s="368"/>
      <c r="H1307" s="368"/>
      <c r="I1307" s="368"/>
      <c r="J1307" s="368"/>
    </row>
    <row r="1308" spans="3:10" x14ac:dyDescent="0.2">
      <c r="C1308" s="368"/>
      <c r="D1308" s="368"/>
      <c r="F1308" s="368"/>
      <c r="G1308" s="368"/>
      <c r="H1308" s="368"/>
      <c r="I1308" s="368"/>
      <c r="J1308" s="368"/>
    </row>
    <row r="1309" spans="3:10" x14ac:dyDescent="0.2">
      <c r="C1309" s="368"/>
      <c r="D1309" s="368"/>
      <c r="F1309" s="368"/>
      <c r="G1309" s="368"/>
      <c r="H1309" s="368"/>
      <c r="I1309" s="368"/>
      <c r="J1309" s="368"/>
    </row>
    <row r="1310" spans="3:10" x14ac:dyDescent="0.2">
      <c r="C1310" s="368"/>
      <c r="D1310" s="368"/>
      <c r="F1310" s="368"/>
      <c r="G1310" s="368"/>
      <c r="H1310" s="368"/>
      <c r="I1310" s="368"/>
      <c r="J1310" s="368"/>
    </row>
    <row r="1311" spans="3:10" x14ac:dyDescent="0.2">
      <c r="C1311" s="368"/>
      <c r="D1311" s="368"/>
      <c r="F1311" s="368"/>
      <c r="G1311" s="368"/>
      <c r="H1311" s="368"/>
      <c r="I1311" s="368"/>
      <c r="J1311" s="368"/>
    </row>
    <row r="1312" spans="3:10" x14ac:dyDescent="0.2">
      <c r="C1312" s="368"/>
      <c r="D1312" s="368"/>
      <c r="F1312" s="368"/>
      <c r="G1312" s="368"/>
      <c r="H1312" s="368"/>
      <c r="I1312" s="368"/>
      <c r="J1312" s="368"/>
    </row>
    <row r="1313" spans="3:10" x14ac:dyDescent="0.2">
      <c r="C1313" s="368"/>
      <c r="D1313" s="368"/>
      <c r="F1313" s="368"/>
      <c r="G1313" s="368"/>
      <c r="H1313" s="368"/>
      <c r="I1313" s="368"/>
      <c r="J1313" s="368"/>
    </row>
    <row r="1314" spans="3:10" x14ac:dyDescent="0.2">
      <c r="C1314" s="368"/>
      <c r="D1314" s="368"/>
      <c r="F1314" s="368"/>
      <c r="G1314" s="368"/>
      <c r="H1314" s="368"/>
      <c r="I1314" s="368"/>
      <c r="J1314" s="368"/>
    </row>
    <row r="1315" spans="3:10" x14ac:dyDescent="0.2">
      <c r="C1315" s="368"/>
      <c r="D1315" s="368"/>
      <c r="F1315" s="368"/>
      <c r="G1315" s="368"/>
      <c r="H1315" s="368"/>
      <c r="I1315" s="368"/>
      <c r="J1315" s="368"/>
    </row>
    <row r="1316" spans="3:10" x14ac:dyDescent="0.2">
      <c r="C1316" s="368"/>
      <c r="D1316" s="368"/>
      <c r="F1316" s="368"/>
      <c r="G1316" s="368"/>
      <c r="H1316" s="368"/>
      <c r="I1316" s="368"/>
      <c r="J1316" s="368"/>
    </row>
    <row r="1317" spans="3:10" x14ac:dyDescent="0.2">
      <c r="C1317" s="368"/>
      <c r="D1317" s="368"/>
      <c r="F1317" s="368"/>
      <c r="G1317" s="368"/>
      <c r="H1317" s="368"/>
      <c r="I1317" s="368"/>
      <c r="J1317" s="368"/>
    </row>
    <row r="1318" spans="3:10" x14ac:dyDescent="0.2">
      <c r="C1318" s="368"/>
      <c r="D1318" s="368"/>
      <c r="F1318" s="368"/>
      <c r="G1318" s="368"/>
      <c r="H1318" s="368"/>
      <c r="I1318" s="368"/>
      <c r="J1318" s="368"/>
    </row>
    <row r="1319" spans="3:10" x14ac:dyDescent="0.2">
      <c r="C1319" s="368"/>
      <c r="D1319" s="368"/>
      <c r="F1319" s="368"/>
      <c r="G1319" s="368"/>
      <c r="H1319" s="368"/>
      <c r="I1319" s="368"/>
      <c r="J1319" s="368"/>
    </row>
    <row r="1320" spans="3:10" x14ac:dyDescent="0.2">
      <c r="C1320" s="368"/>
      <c r="D1320" s="368"/>
      <c r="F1320" s="368"/>
      <c r="G1320" s="368"/>
      <c r="H1320" s="368"/>
      <c r="I1320" s="368"/>
      <c r="J1320" s="368"/>
    </row>
    <row r="1321" spans="3:10" x14ac:dyDescent="0.2">
      <c r="C1321" s="368"/>
      <c r="D1321" s="368"/>
      <c r="F1321" s="368"/>
      <c r="G1321" s="368"/>
      <c r="H1321" s="368"/>
      <c r="I1321" s="368"/>
      <c r="J1321" s="368"/>
    </row>
    <row r="1322" spans="3:10" x14ac:dyDescent="0.2">
      <c r="C1322" s="368"/>
      <c r="D1322" s="368"/>
      <c r="F1322" s="368"/>
      <c r="G1322" s="368"/>
      <c r="H1322" s="368"/>
      <c r="I1322" s="368"/>
      <c r="J1322" s="368"/>
    </row>
    <row r="1323" spans="3:10" x14ac:dyDescent="0.2">
      <c r="C1323" s="368"/>
      <c r="D1323" s="368"/>
      <c r="F1323" s="368"/>
      <c r="G1323" s="368"/>
      <c r="H1323" s="368"/>
      <c r="I1323" s="368"/>
      <c r="J1323" s="368"/>
    </row>
    <row r="1324" spans="3:10" x14ac:dyDescent="0.2">
      <c r="C1324" s="368"/>
      <c r="D1324" s="368"/>
      <c r="F1324" s="368"/>
      <c r="G1324" s="368"/>
      <c r="H1324" s="368"/>
      <c r="I1324" s="368"/>
      <c r="J1324" s="368"/>
    </row>
    <row r="1325" spans="3:10" x14ac:dyDescent="0.2">
      <c r="C1325" s="368"/>
      <c r="D1325" s="368"/>
      <c r="F1325" s="368"/>
      <c r="G1325" s="368"/>
      <c r="H1325" s="368"/>
      <c r="I1325" s="368"/>
      <c r="J1325" s="368"/>
    </row>
    <row r="1326" spans="3:10" x14ac:dyDescent="0.2">
      <c r="C1326" s="368"/>
      <c r="D1326" s="368"/>
      <c r="F1326" s="368"/>
      <c r="G1326" s="368"/>
      <c r="H1326" s="368"/>
      <c r="I1326" s="368"/>
      <c r="J1326" s="368"/>
    </row>
    <row r="1327" spans="3:10" x14ac:dyDescent="0.2">
      <c r="C1327" s="368"/>
      <c r="D1327" s="368"/>
      <c r="F1327" s="368"/>
      <c r="G1327" s="368"/>
      <c r="H1327" s="368"/>
      <c r="I1327" s="368"/>
      <c r="J1327" s="368"/>
    </row>
    <row r="1328" spans="3:10" x14ac:dyDescent="0.2">
      <c r="C1328" s="368"/>
      <c r="D1328" s="368"/>
      <c r="F1328" s="368"/>
      <c r="G1328" s="368"/>
      <c r="H1328" s="368"/>
      <c r="I1328" s="368"/>
      <c r="J1328" s="368"/>
    </row>
    <row r="1329" spans="3:10" x14ac:dyDescent="0.2">
      <c r="C1329" s="368"/>
      <c r="D1329" s="368"/>
      <c r="F1329" s="368"/>
      <c r="G1329" s="368"/>
      <c r="H1329" s="368"/>
      <c r="I1329" s="368"/>
      <c r="J1329" s="368"/>
    </row>
    <row r="1330" spans="3:10" x14ac:dyDescent="0.2">
      <c r="C1330" s="368"/>
      <c r="D1330" s="368"/>
      <c r="F1330" s="368"/>
      <c r="G1330" s="368"/>
      <c r="H1330" s="368"/>
      <c r="I1330" s="368"/>
      <c r="J1330" s="368"/>
    </row>
    <row r="1331" spans="3:10" x14ac:dyDescent="0.2">
      <c r="C1331" s="368"/>
      <c r="D1331" s="368"/>
      <c r="F1331" s="368"/>
      <c r="G1331" s="368"/>
      <c r="H1331" s="368"/>
      <c r="I1331" s="368"/>
      <c r="J1331" s="368"/>
    </row>
    <row r="1332" spans="3:10" x14ac:dyDescent="0.2">
      <c r="C1332" s="368"/>
      <c r="D1332" s="368"/>
      <c r="F1332" s="368"/>
      <c r="G1332" s="368"/>
      <c r="H1332" s="368"/>
      <c r="I1332" s="368"/>
      <c r="J1332" s="368"/>
    </row>
    <row r="1333" spans="3:10" x14ac:dyDescent="0.2">
      <c r="C1333" s="368"/>
      <c r="D1333" s="368"/>
      <c r="F1333" s="368"/>
      <c r="G1333" s="368"/>
      <c r="H1333" s="368"/>
      <c r="I1333" s="368"/>
      <c r="J1333" s="368"/>
    </row>
    <row r="1334" spans="3:10" x14ac:dyDescent="0.2">
      <c r="C1334" s="368"/>
      <c r="D1334" s="368"/>
      <c r="F1334" s="368"/>
      <c r="G1334" s="368"/>
      <c r="H1334" s="368"/>
      <c r="I1334" s="368"/>
      <c r="J1334" s="368"/>
    </row>
    <row r="1335" spans="3:10" x14ac:dyDescent="0.2">
      <c r="C1335" s="368"/>
      <c r="D1335" s="368"/>
      <c r="F1335" s="368"/>
      <c r="G1335" s="368"/>
      <c r="H1335" s="368"/>
      <c r="I1335" s="368"/>
      <c r="J1335" s="368"/>
    </row>
    <row r="1336" spans="3:10" x14ac:dyDescent="0.2">
      <c r="C1336" s="368"/>
      <c r="D1336" s="368"/>
      <c r="F1336" s="368"/>
      <c r="G1336" s="368"/>
      <c r="H1336" s="368"/>
      <c r="I1336" s="368"/>
      <c r="J1336" s="368"/>
    </row>
    <row r="1337" spans="3:10" x14ac:dyDescent="0.2">
      <c r="C1337" s="368"/>
      <c r="D1337" s="368"/>
      <c r="F1337" s="368"/>
      <c r="G1337" s="368"/>
      <c r="H1337" s="368"/>
      <c r="I1337" s="368"/>
      <c r="J1337" s="368"/>
    </row>
    <row r="1338" spans="3:10" x14ac:dyDescent="0.2">
      <c r="C1338" s="368"/>
      <c r="D1338" s="368"/>
      <c r="F1338" s="368"/>
      <c r="G1338" s="368"/>
      <c r="H1338" s="368"/>
      <c r="I1338" s="368"/>
      <c r="J1338" s="368"/>
    </row>
    <row r="1339" spans="3:10" x14ac:dyDescent="0.2">
      <c r="C1339" s="368"/>
      <c r="D1339" s="368"/>
      <c r="F1339" s="368"/>
      <c r="G1339" s="368"/>
      <c r="H1339" s="368"/>
      <c r="I1339" s="368"/>
      <c r="J1339" s="368"/>
    </row>
    <row r="1340" spans="3:10" x14ac:dyDescent="0.2">
      <c r="C1340" s="368"/>
      <c r="D1340" s="368"/>
      <c r="F1340" s="368"/>
      <c r="G1340" s="368"/>
      <c r="H1340" s="368"/>
      <c r="I1340" s="368"/>
      <c r="J1340" s="368"/>
    </row>
    <row r="1341" spans="3:10" x14ac:dyDescent="0.2">
      <c r="C1341" s="368"/>
      <c r="D1341" s="368"/>
      <c r="F1341" s="368"/>
      <c r="G1341" s="368"/>
      <c r="H1341" s="368"/>
      <c r="I1341" s="368"/>
      <c r="J1341" s="368"/>
    </row>
    <row r="1342" spans="3:10" x14ac:dyDescent="0.2">
      <c r="C1342" s="368"/>
      <c r="D1342" s="368"/>
      <c r="F1342" s="368"/>
      <c r="G1342" s="368"/>
      <c r="H1342" s="368"/>
      <c r="I1342" s="368"/>
      <c r="J1342" s="368"/>
    </row>
    <row r="1343" spans="3:10" x14ac:dyDescent="0.2">
      <c r="C1343" s="368"/>
      <c r="D1343" s="368"/>
      <c r="F1343" s="368"/>
      <c r="G1343" s="368"/>
      <c r="H1343" s="368"/>
      <c r="I1343" s="368"/>
      <c r="J1343" s="368"/>
    </row>
    <row r="1344" spans="3:10" x14ac:dyDescent="0.2">
      <c r="C1344" s="368"/>
      <c r="D1344" s="368"/>
      <c r="F1344" s="368"/>
      <c r="G1344" s="368"/>
      <c r="H1344" s="368"/>
      <c r="I1344" s="368"/>
      <c r="J1344" s="368"/>
    </row>
    <row r="1345" spans="3:10" x14ac:dyDescent="0.2">
      <c r="C1345" s="368"/>
      <c r="D1345" s="368"/>
      <c r="F1345" s="368"/>
      <c r="G1345" s="368"/>
      <c r="H1345" s="368"/>
      <c r="I1345" s="368"/>
      <c r="J1345" s="368"/>
    </row>
    <row r="1346" spans="3:10" x14ac:dyDescent="0.2">
      <c r="C1346" s="368"/>
      <c r="D1346" s="368"/>
      <c r="F1346" s="368"/>
      <c r="G1346" s="368"/>
      <c r="H1346" s="368"/>
      <c r="I1346" s="368"/>
      <c r="J1346" s="368"/>
    </row>
    <row r="1347" spans="3:10" x14ac:dyDescent="0.2">
      <c r="C1347" s="368"/>
      <c r="D1347" s="368"/>
      <c r="F1347" s="368"/>
      <c r="G1347" s="368"/>
      <c r="H1347" s="368"/>
      <c r="I1347" s="368"/>
      <c r="J1347" s="368"/>
    </row>
    <row r="1348" spans="3:10" x14ac:dyDescent="0.2">
      <c r="C1348" s="368"/>
      <c r="D1348" s="368"/>
      <c r="F1348" s="368"/>
      <c r="G1348" s="368"/>
      <c r="H1348" s="368"/>
      <c r="I1348" s="368"/>
      <c r="J1348" s="368"/>
    </row>
    <row r="1349" spans="3:10" x14ac:dyDescent="0.2">
      <c r="C1349" s="368"/>
      <c r="D1349" s="368"/>
      <c r="F1349" s="368"/>
      <c r="G1349" s="368"/>
      <c r="H1349" s="368"/>
      <c r="I1349" s="368"/>
      <c r="J1349" s="368"/>
    </row>
    <row r="1350" spans="3:10" x14ac:dyDescent="0.2">
      <c r="C1350" s="368"/>
      <c r="D1350" s="368"/>
      <c r="F1350" s="368"/>
      <c r="G1350" s="368"/>
      <c r="H1350" s="368"/>
      <c r="I1350" s="368"/>
      <c r="J1350" s="368"/>
    </row>
    <row r="1351" spans="3:10" x14ac:dyDescent="0.2">
      <c r="C1351" s="368"/>
      <c r="D1351" s="368"/>
      <c r="F1351" s="368"/>
      <c r="G1351" s="368"/>
      <c r="H1351" s="368"/>
      <c r="I1351" s="368"/>
      <c r="J1351" s="368"/>
    </row>
    <row r="1352" spans="3:10" x14ac:dyDescent="0.2">
      <c r="C1352" s="368"/>
      <c r="D1352" s="368"/>
      <c r="F1352" s="368"/>
      <c r="G1352" s="368"/>
      <c r="H1352" s="368"/>
      <c r="I1352" s="368"/>
      <c r="J1352" s="368"/>
    </row>
    <row r="1353" spans="3:10" x14ac:dyDescent="0.2">
      <c r="C1353" s="368"/>
      <c r="D1353" s="368"/>
      <c r="F1353" s="368"/>
      <c r="G1353" s="368"/>
      <c r="H1353" s="368"/>
      <c r="I1353" s="368"/>
      <c r="J1353" s="368"/>
    </row>
    <row r="1354" spans="3:10" x14ac:dyDescent="0.2">
      <c r="C1354" s="368"/>
      <c r="D1354" s="368"/>
      <c r="F1354" s="368"/>
      <c r="G1354" s="368"/>
      <c r="H1354" s="368"/>
      <c r="I1354" s="368"/>
      <c r="J1354" s="368"/>
    </row>
    <row r="1355" spans="3:10" x14ac:dyDescent="0.2">
      <c r="C1355" s="368"/>
      <c r="D1355" s="368"/>
      <c r="F1355" s="368"/>
      <c r="G1355" s="368"/>
      <c r="H1355" s="368"/>
      <c r="I1355" s="368"/>
      <c r="J1355" s="368"/>
    </row>
    <row r="1356" spans="3:10" x14ac:dyDescent="0.2">
      <c r="C1356" s="368"/>
      <c r="D1356" s="368"/>
      <c r="F1356" s="368"/>
      <c r="G1356" s="368"/>
      <c r="H1356" s="368"/>
      <c r="I1356" s="368"/>
      <c r="J1356" s="368"/>
    </row>
    <row r="1357" spans="3:10" x14ac:dyDescent="0.2">
      <c r="C1357" s="368"/>
      <c r="D1357" s="368"/>
      <c r="F1357" s="368"/>
      <c r="G1357" s="368"/>
      <c r="H1357" s="368"/>
      <c r="I1357" s="368"/>
      <c r="J1357" s="368"/>
    </row>
    <row r="1358" spans="3:10" x14ac:dyDescent="0.2">
      <c r="C1358" s="368"/>
      <c r="D1358" s="368"/>
      <c r="F1358" s="368"/>
      <c r="G1358" s="368"/>
      <c r="H1358" s="368"/>
      <c r="I1358" s="368"/>
      <c r="J1358" s="368"/>
    </row>
    <row r="1359" spans="3:10" x14ac:dyDescent="0.2">
      <c r="C1359" s="368"/>
      <c r="D1359" s="368"/>
      <c r="F1359" s="368"/>
      <c r="G1359" s="368"/>
      <c r="H1359" s="368"/>
      <c r="I1359" s="368"/>
      <c r="J1359" s="368"/>
    </row>
    <row r="1360" spans="3:10" x14ac:dyDescent="0.2">
      <c r="C1360" s="368"/>
      <c r="D1360" s="368"/>
      <c r="F1360" s="368"/>
      <c r="G1360" s="368"/>
      <c r="H1360" s="368"/>
      <c r="I1360" s="368"/>
      <c r="J1360" s="368"/>
    </row>
    <row r="1361" spans="3:10" x14ac:dyDescent="0.2">
      <c r="C1361" s="368"/>
      <c r="D1361" s="368"/>
      <c r="F1361" s="368"/>
      <c r="G1361" s="368"/>
      <c r="H1361" s="368"/>
      <c r="I1361" s="368"/>
      <c r="J1361" s="368"/>
    </row>
    <row r="1362" spans="3:10" x14ac:dyDescent="0.2">
      <c r="C1362" s="368"/>
      <c r="D1362" s="368"/>
      <c r="F1362" s="368"/>
      <c r="G1362" s="368"/>
      <c r="H1362" s="368"/>
      <c r="I1362" s="368"/>
      <c r="J1362" s="368"/>
    </row>
    <row r="1363" spans="3:10" x14ac:dyDescent="0.2">
      <c r="C1363" s="368"/>
      <c r="D1363" s="368"/>
      <c r="F1363" s="368"/>
      <c r="G1363" s="368"/>
      <c r="H1363" s="368"/>
      <c r="I1363" s="368"/>
      <c r="J1363" s="368"/>
    </row>
    <row r="1364" spans="3:10" x14ac:dyDescent="0.2">
      <c r="C1364" s="368"/>
      <c r="D1364" s="368"/>
      <c r="F1364" s="368"/>
      <c r="G1364" s="368"/>
      <c r="H1364" s="368"/>
      <c r="I1364" s="368"/>
      <c r="J1364" s="368"/>
    </row>
    <row r="1365" spans="3:10" x14ac:dyDescent="0.2">
      <c r="C1365" s="368"/>
      <c r="D1365" s="368"/>
      <c r="F1365" s="368"/>
      <c r="G1365" s="368"/>
      <c r="H1365" s="368"/>
      <c r="I1365" s="368"/>
      <c r="J1365" s="368"/>
    </row>
    <row r="1366" spans="3:10" x14ac:dyDescent="0.2">
      <c r="C1366" s="368"/>
      <c r="D1366" s="368"/>
      <c r="F1366" s="368"/>
      <c r="G1366" s="368"/>
      <c r="H1366" s="368"/>
      <c r="I1366" s="368"/>
      <c r="J1366" s="368"/>
    </row>
    <row r="1367" spans="3:10" x14ac:dyDescent="0.2">
      <c r="C1367" s="368"/>
      <c r="D1367" s="368"/>
      <c r="F1367" s="368"/>
      <c r="G1367" s="368"/>
      <c r="H1367" s="368"/>
      <c r="I1367" s="368"/>
      <c r="J1367" s="368"/>
    </row>
    <row r="1368" spans="3:10" x14ac:dyDescent="0.2">
      <c r="C1368" s="368"/>
      <c r="D1368" s="368"/>
      <c r="F1368" s="368"/>
      <c r="G1368" s="368"/>
      <c r="H1368" s="368"/>
      <c r="I1368" s="368"/>
      <c r="J1368" s="368"/>
    </row>
    <row r="1369" spans="3:10" x14ac:dyDescent="0.2">
      <c r="C1369" s="368"/>
      <c r="D1369" s="368"/>
      <c r="F1369" s="368"/>
      <c r="G1369" s="368"/>
      <c r="H1369" s="368"/>
      <c r="I1369" s="368"/>
      <c r="J1369" s="368"/>
    </row>
    <row r="1370" spans="3:10" x14ac:dyDescent="0.2">
      <c r="C1370" s="368"/>
      <c r="D1370" s="368"/>
      <c r="F1370" s="368"/>
      <c r="G1370" s="368"/>
      <c r="H1370" s="368"/>
      <c r="I1370" s="368"/>
      <c r="J1370" s="368"/>
    </row>
    <row r="1371" spans="3:10" x14ac:dyDescent="0.2">
      <c r="C1371" s="368"/>
      <c r="D1371" s="368"/>
      <c r="F1371" s="368"/>
      <c r="G1371" s="368"/>
      <c r="H1371" s="368"/>
      <c r="I1371" s="368"/>
      <c r="J1371" s="368"/>
    </row>
    <row r="1372" spans="3:10" x14ac:dyDescent="0.2">
      <c r="C1372" s="368"/>
      <c r="D1372" s="368"/>
      <c r="F1372" s="368"/>
      <c r="G1372" s="368"/>
      <c r="H1372" s="368"/>
      <c r="I1372" s="368"/>
      <c r="J1372" s="368"/>
    </row>
    <row r="1373" spans="3:10" x14ac:dyDescent="0.2">
      <c r="C1373" s="368"/>
      <c r="D1373" s="368"/>
      <c r="F1373" s="368"/>
      <c r="G1373" s="368"/>
      <c r="H1373" s="368"/>
      <c r="I1373" s="368"/>
      <c r="J1373" s="368"/>
    </row>
    <row r="1374" spans="3:10" x14ac:dyDescent="0.2">
      <c r="C1374" s="368"/>
      <c r="D1374" s="368"/>
      <c r="F1374" s="368"/>
      <c r="G1374" s="368"/>
      <c r="H1374" s="368"/>
      <c r="I1374" s="368"/>
      <c r="J1374" s="368"/>
    </row>
    <row r="1375" spans="3:10" x14ac:dyDescent="0.2">
      <c r="C1375" s="368"/>
      <c r="D1375" s="368"/>
      <c r="F1375" s="368"/>
      <c r="G1375" s="368"/>
      <c r="H1375" s="368"/>
      <c r="I1375" s="368"/>
      <c r="J1375" s="368"/>
    </row>
    <row r="1376" spans="3:10" x14ac:dyDescent="0.2">
      <c r="C1376" s="368"/>
      <c r="D1376" s="368"/>
      <c r="F1376" s="368"/>
      <c r="G1376" s="368"/>
      <c r="H1376" s="368"/>
      <c r="I1376" s="368"/>
      <c r="J1376" s="368"/>
    </row>
    <row r="1377" spans="3:10" x14ac:dyDescent="0.2">
      <c r="C1377" s="368"/>
      <c r="D1377" s="368"/>
      <c r="F1377" s="368"/>
      <c r="G1377" s="368"/>
      <c r="H1377" s="368"/>
      <c r="I1377" s="368"/>
      <c r="J1377" s="368"/>
    </row>
    <row r="1378" spans="3:10" x14ac:dyDescent="0.2">
      <c r="C1378" s="368"/>
      <c r="D1378" s="368"/>
      <c r="F1378" s="368"/>
      <c r="G1378" s="368"/>
      <c r="H1378" s="368"/>
      <c r="I1378" s="368"/>
      <c r="J1378" s="368"/>
    </row>
    <row r="1379" spans="3:10" x14ac:dyDescent="0.2">
      <c r="C1379" s="368"/>
      <c r="D1379" s="368"/>
      <c r="F1379" s="368"/>
      <c r="G1379" s="368"/>
      <c r="H1379" s="368"/>
      <c r="I1379" s="368"/>
      <c r="J1379" s="368"/>
    </row>
    <row r="1380" spans="3:10" x14ac:dyDescent="0.2">
      <c r="C1380" s="368"/>
      <c r="D1380" s="368"/>
      <c r="F1380" s="368"/>
      <c r="G1380" s="368"/>
      <c r="H1380" s="368"/>
      <c r="I1380" s="368"/>
      <c r="J1380" s="368"/>
    </row>
    <row r="1381" spans="3:10" x14ac:dyDescent="0.2">
      <c r="C1381" s="368"/>
      <c r="D1381" s="368"/>
      <c r="F1381" s="368"/>
      <c r="G1381" s="368"/>
      <c r="H1381" s="368"/>
      <c r="I1381" s="368"/>
      <c r="J1381" s="368"/>
    </row>
    <row r="1382" spans="3:10" x14ac:dyDescent="0.2">
      <c r="C1382" s="368"/>
      <c r="D1382" s="368"/>
      <c r="F1382" s="368"/>
      <c r="G1382" s="368"/>
      <c r="H1382" s="368"/>
      <c r="I1382" s="368"/>
      <c r="J1382" s="368"/>
    </row>
    <row r="1383" spans="3:10" x14ac:dyDescent="0.2">
      <c r="C1383" s="368"/>
      <c r="D1383" s="368"/>
      <c r="F1383" s="368"/>
      <c r="G1383" s="368"/>
      <c r="H1383" s="368"/>
      <c r="I1383" s="368"/>
      <c r="J1383" s="368"/>
    </row>
    <row r="1384" spans="3:10" x14ac:dyDescent="0.2">
      <c r="C1384" s="368"/>
      <c r="D1384" s="368"/>
      <c r="F1384" s="368"/>
      <c r="G1384" s="368"/>
      <c r="H1384" s="368"/>
      <c r="I1384" s="368"/>
      <c r="J1384" s="368"/>
    </row>
    <row r="1385" spans="3:10" x14ac:dyDescent="0.2">
      <c r="C1385" s="368"/>
      <c r="D1385" s="368"/>
      <c r="F1385" s="368"/>
      <c r="G1385" s="368"/>
      <c r="H1385" s="368"/>
      <c r="I1385" s="368"/>
      <c r="J1385" s="368"/>
    </row>
    <row r="1386" spans="3:10" x14ac:dyDescent="0.2">
      <c r="C1386" s="368"/>
      <c r="D1386" s="368"/>
      <c r="F1386" s="368"/>
      <c r="G1386" s="368"/>
      <c r="H1386" s="368"/>
      <c r="I1386" s="368"/>
      <c r="J1386" s="368"/>
    </row>
    <row r="1387" spans="3:10" x14ac:dyDescent="0.2">
      <c r="C1387" s="368"/>
      <c r="D1387" s="368"/>
      <c r="F1387" s="368"/>
      <c r="G1387" s="368"/>
      <c r="H1387" s="368"/>
      <c r="I1387" s="368"/>
      <c r="J1387" s="368"/>
    </row>
    <row r="1388" spans="3:10" x14ac:dyDescent="0.2">
      <c r="C1388" s="368"/>
      <c r="D1388" s="368"/>
      <c r="F1388" s="368"/>
      <c r="G1388" s="368"/>
      <c r="H1388" s="368"/>
      <c r="I1388" s="368"/>
      <c r="J1388" s="368"/>
    </row>
    <row r="1389" spans="3:10" x14ac:dyDescent="0.2">
      <c r="C1389" s="368"/>
      <c r="D1389" s="368"/>
      <c r="F1389" s="368"/>
      <c r="G1389" s="368"/>
      <c r="H1389" s="368"/>
      <c r="I1389" s="368"/>
      <c r="J1389" s="368"/>
    </row>
    <row r="1390" spans="3:10" x14ac:dyDescent="0.2">
      <c r="C1390" s="368"/>
      <c r="D1390" s="368"/>
      <c r="F1390" s="368"/>
      <c r="G1390" s="368"/>
      <c r="H1390" s="368"/>
      <c r="I1390" s="368"/>
      <c r="J1390" s="368"/>
    </row>
    <row r="1391" spans="3:10" x14ac:dyDescent="0.2">
      <c r="C1391" s="368"/>
      <c r="D1391" s="368"/>
      <c r="F1391" s="368"/>
      <c r="G1391" s="368"/>
      <c r="H1391" s="368"/>
      <c r="I1391" s="368"/>
      <c r="J1391" s="368"/>
    </row>
    <row r="1392" spans="3:10" x14ac:dyDescent="0.2">
      <c r="C1392" s="368"/>
      <c r="D1392" s="368"/>
      <c r="F1392" s="368"/>
      <c r="G1392" s="368"/>
      <c r="H1392" s="368"/>
      <c r="I1392" s="368"/>
      <c r="J1392" s="368"/>
    </row>
    <row r="1393" spans="3:10" x14ac:dyDescent="0.2">
      <c r="C1393" s="368"/>
      <c r="D1393" s="368"/>
      <c r="F1393" s="368"/>
      <c r="G1393" s="368"/>
      <c r="H1393" s="368"/>
      <c r="I1393" s="368"/>
      <c r="J1393" s="368"/>
    </row>
    <row r="1394" spans="3:10" x14ac:dyDescent="0.2">
      <c r="C1394" s="368"/>
      <c r="D1394" s="368"/>
      <c r="F1394" s="368"/>
      <c r="G1394" s="368"/>
      <c r="H1394" s="368"/>
      <c r="I1394" s="368"/>
      <c r="J1394" s="368"/>
    </row>
    <row r="1395" spans="3:10" x14ac:dyDescent="0.2">
      <c r="C1395" s="368"/>
      <c r="D1395" s="368"/>
      <c r="F1395" s="368"/>
      <c r="G1395" s="368"/>
      <c r="H1395" s="368"/>
      <c r="I1395" s="368"/>
      <c r="J1395" s="368"/>
    </row>
    <row r="1396" spans="3:10" x14ac:dyDescent="0.2">
      <c r="C1396" s="368"/>
      <c r="D1396" s="368"/>
      <c r="F1396" s="368"/>
      <c r="G1396" s="368"/>
      <c r="H1396" s="368"/>
      <c r="I1396" s="368"/>
      <c r="J1396" s="368"/>
    </row>
    <row r="1397" spans="3:10" x14ac:dyDescent="0.2">
      <c r="C1397" s="368"/>
      <c r="D1397" s="368"/>
      <c r="F1397" s="368"/>
      <c r="G1397" s="368"/>
      <c r="H1397" s="368"/>
      <c r="I1397" s="368"/>
      <c r="J1397" s="368"/>
    </row>
    <row r="1398" spans="3:10" x14ac:dyDescent="0.2">
      <c r="C1398" s="368"/>
      <c r="D1398" s="368"/>
      <c r="F1398" s="368"/>
      <c r="G1398" s="368"/>
      <c r="H1398" s="368"/>
      <c r="I1398" s="368"/>
      <c r="J1398" s="368"/>
    </row>
    <row r="1399" spans="3:10" x14ac:dyDescent="0.2">
      <c r="C1399" s="368"/>
      <c r="D1399" s="368"/>
      <c r="F1399" s="368"/>
      <c r="G1399" s="368"/>
      <c r="H1399" s="368"/>
      <c r="I1399" s="368"/>
      <c r="J1399" s="368"/>
    </row>
    <row r="1400" spans="3:10" x14ac:dyDescent="0.2">
      <c r="C1400" s="368"/>
      <c r="D1400" s="368"/>
      <c r="F1400" s="368"/>
      <c r="G1400" s="368"/>
      <c r="H1400" s="368"/>
      <c r="I1400" s="368"/>
      <c r="J1400" s="368"/>
    </row>
    <row r="1401" spans="3:10" x14ac:dyDescent="0.2">
      <c r="C1401" s="368"/>
      <c r="D1401" s="368"/>
      <c r="F1401" s="368"/>
      <c r="G1401" s="368"/>
      <c r="H1401" s="368"/>
      <c r="I1401" s="368"/>
      <c r="J1401" s="368"/>
    </row>
    <row r="1402" spans="3:10" x14ac:dyDescent="0.2">
      <c r="C1402" s="368"/>
      <c r="D1402" s="368"/>
      <c r="F1402" s="368"/>
      <c r="G1402" s="368"/>
      <c r="H1402" s="368"/>
      <c r="I1402" s="368"/>
      <c r="J1402" s="368"/>
    </row>
    <row r="1403" spans="3:10" x14ac:dyDescent="0.2">
      <c r="C1403" s="368"/>
      <c r="D1403" s="368"/>
      <c r="F1403" s="368"/>
      <c r="G1403" s="368"/>
      <c r="H1403" s="368"/>
      <c r="I1403" s="368"/>
      <c r="J1403" s="368"/>
    </row>
    <row r="1404" spans="3:10" x14ac:dyDescent="0.2">
      <c r="C1404" s="368"/>
      <c r="D1404" s="368"/>
      <c r="F1404" s="368"/>
      <c r="G1404" s="368"/>
      <c r="H1404" s="368"/>
      <c r="I1404" s="368"/>
      <c r="J1404" s="368"/>
    </row>
    <row r="1405" spans="3:10" x14ac:dyDescent="0.2">
      <c r="C1405" s="368"/>
      <c r="D1405" s="368"/>
      <c r="F1405" s="368"/>
      <c r="G1405" s="368"/>
      <c r="H1405" s="368"/>
      <c r="I1405" s="368"/>
      <c r="J1405" s="368"/>
    </row>
    <row r="1406" spans="3:10" x14ac:dyDescent="0.2">
      <c r="C1406" s="368"/>
      <c r="D1406" s="368"/>
      <c r="F1406" s="368"/>
      <c r="G1406" s="368"/>
      <c r="H1406" s="368"/>
      <c r="I1406" s="368"/>
      <c r="J1406" s="368"/>
    </row>
    <row r="1407" spans="3:10" x14ac:dyDescent="0.2">
      <c r="C1407" s="368"/>
      <c r="D1407" s="368"/>
      <c r="F1407" s="368"/>
      <c r="G1407" s="368"/>
      <c r="H1407" s="368"/>
      <c r="I1407" s="368"/>
      <c r="J1407" s="368"/>
    </row>
    <row r="1408" spans="3:10" x14ac:dyDescent="0.2">
      <c r="C1408" s="368"/>
      <c r="D1408" s="368"/>
      <c r="F1408" s="368"/>
      <c r="G1408" s="368"/>
      <c r="H1408" s="368"/>
      <c r="I1408" s="368"/>
      <c r="J1408" s="368"/>
    </row>
    <row r="1409" spans="3:10" x14ac:dyDescent="0.2">
      <c r="C1409" s="368"/>
      <c r="D1409" s="368"/>
      <c r="F1409" s="368"/>
      <c r="G1409" s="368"/>
      <c r="H1409" s="368"/>
      <c r="I1409" s="368"/>
      <c r="J1409" s="368"/>
    </row>
    <row r="1410" spans="3:10" x14ac:dyDescent="0.2">
      <c r="C1410" s="368"/>
      <c r="D1410" s="368"/>
      <c r="F1410" s="368"/>
      <c r="G1410" s="368"/>
      <c r="H1410" s="368"/>
      <c r="I1410" s="368"/>
      <c r="J1410" s="368"/>
    </row>
    <row r="1411" spans="3:10" x14ac:dyDescent="0.2">
      <c r="C1411" s="368"/>
      <c r="D1411" s="368"/>
      <c r="F1411" s="368"/>
      <c r="G1411" s="368"/>
      <c r="H1411" s="368"/>
      <c r="I1411" s="368"/>
      <c r="J1411" s="368"/>
    </row>
    <row r="1412" spans="3:10" x14ac:dyDescent="0.2">
      <c r="C1412" s="368"/>
      <c r="D1412" s="368"/>
      <c r="F1412" s="368"/>
      <c r="G1412" s="368"/>
      <c r="H1412" s="368"/>
      <c r="I1412" s="368"/>
      <c r="J1412" s="368"/>
    </row>
    <row r="1413" spans="3:10" x14ac:dyDescent="0.2">
      <c r="C1413" s="368"/>
      <c r="D1413" s="368"/>
      <c r="F1413" s="368"/>
      <c r="G1413" s="368"/>
      <c r="H1413" s="368"/>
      <c r="I1413" s="368"/>
      <c r="J1413" s="368"/>
    </row>
    <row r="1414" spans="3:10" x14ac:dyDescent="0.2">
      <c r="C1414" s="368"/>
      <c r="D1414" s="368"/>
      <c r="F1414" s="368"/>
      <c r="G1414" s="368"/>
      <c r="H1414" s="368"/>
      <c r="I1414" s="368"/>
      <c r="J1414" s="368"/>
    </row>
    <row r="1415" spans="3:10" x14ac:dyDescent="0.2">
      <c r="C1415" s="368"/>
      <c r="D1415" s="368"/>
      <c r="F1415" s="368"/>
      <c r="G1415" s="368"/>
      <c r="H1415" s="368"/>
      <c r="I1415" s="368"/>
      <c r="J1415" s="368"/>
    </row>
    <row r="1416" spans="3:10" x14ac:dyDescent="0.2">
      <c r="C1416" s="368"/>
      <c r="D1416" s="368"/>
      <c r="F1416" s="368"/>
      <c r="G1416" s="368"/>
      <c r="H1416" s="368"/>
      <c r="I1416" s="368"/>
      <c r="J1416" s="368"/>
    </row>
    <row r="1417" spans="3:10" x14ac:dyDescent="0.2">
      <c r="C1417" s="368"/>
      <c r="D1417" s="368"/>
      <c r="F1417" s="368"/>
      <c r="G1417" s="368"/>
      <c r="H1417" s="368"/>
      <c r="I1417" s="368"/>
      <c r="J1417" s="368"/>
    </row>
    <row r="1418" spans="3:10" x14ac:dyDescent="0.2">
      <c r="C1418" s="368"/>
      <c r="D1418" s="368"/>
      <c r="F1418" s="368"/>
      <c r="G1418" s="368"/>
      <c r="H1418" s="368"/>
      <c r="I1418" s="368"/>
      <c r="J1418" s="368"/>
    </row>
    <row r="1419" spans="3:10" x14ac:dyDescent="0.2">
      <c r="C1419" s="368"/>
      <c r="D1419" s="368"/>
      <c r="F1419" s="368"/>
      <c r="G1419" s="368"/>
      <c r="H1419" s="368"/>
      <c r="I1419" s="368"/>
      <c r="J1419" s="368"/>
    </row>
    <row r="1420" spans="3:10" x14ac:dyDescent="0.2">
      <c r="C1420" s="368"/>
      <c r="D1420" s="368"/>
      <c r="F1420" s="368"/>
      <c r="G1420" s="368"/>
      <c r="H1420" s="368"/>
      <c r="I1420" s="368"/>
      <c r="J1420" s="368"/>
    </row>
    <row r="1421" spans="3:10" x14ac:dyDescent="0.2">
      <c r="C1421" s="368"/>
      <c r="D1421" s="368"/>
      <c r="F1421" s="368"/>
      <c r="G1421" s="368"/>
      <c r="H1421" s="368"/>
      <c r="I1421" s="368"/>
      <c r="J1421" s="368"/>
    </row>
    <row r="1422" spans="3:10" x14ac:dyDescent="0.2">
      <c r="C1422" s="368"/>
      <c r="D1422" s="368"/>
      <c r="F1422" s="368"/>
      <c r="G1422" s="368"/>
      <c r="H1422" s="368"/>
      <c r="I1422" s="368"/>
      <c r="J1422" s="368"/>
    </row>
    <row r="1423" spans="3:10" x14ac:dyDescent="0.2">
      <c r="C1423" s="368"/>
      <c r="D1423" s="368"/>
      <c r="F1423" s="368"/>
      <c r="G1423" s="368"/>
      <c r="H1423" s="368"/>
      <c r="I1423" s="368"/>
      <c r="J1423" s="368"/>
    </row>
    <row r="1424" spans="3:10" x14ac:dyDescent="0.2">
      <c r="C1424" s="368"/>
      <c r="D1424" s="368"/>
      <c r="F1424" s="368"/>
      <c r="G1424" s="368"/>
      <c r="H1424" s="368"/>
      <c r="I1424" s="368"/>
      <c r="J1424" s="368"/>
    </row>
    <row r="1425" spans="3:10" x14ac:dyDescent="0.2">
      <c r="C1425" s="368"/>
      <c r="D1425" s="368"/>
      <c r="F1425" s="368"/>
      <c r="G1425" s="368"/>
      <c r="H1425" s="368"/>
      <c r="I1425" s="368"/>
      <c r="J1425" s="368"/>
    </row>
    <row r="1426" spans="3:10" x14ac:dyDescent="0.2">
      <c r="C1426" s="368"/>
      <c r="D1426" s="368"/>
      <c r="F1426" s="368"/>
      <c r="G1426" s="368"/>
      <c r="H1426" s="368"/>
      <c r="I1426" s="368"/>
      <c r="J1426" s="368"/>
    </row>
    <row r="1427" spans="3:10" x14ac:dyDescent="0.2">
      <c r="C1427" s="368"/>
      <c r="D1427" s="368"/>
      <c r="F1427" s="368"/>
      <c r="G1427" s="368"/>
      <c r="H1427" s="368"/>
      <c r="I1427" s="368"/>
      <c r="J1427" s="368"/>
    </row>
    <row r="1428" spans="3:10" x14ac:dyDescent="0.2">
      <c r="C1428" s="368"/>
      <c r="D1428" s="368"/>
      <c r="F1428" s="368"/>
      <c r="G1428" s="368"/>
      <c r="H1428" s="368"/>
      <c r="I1428" s="368"/>
      <c r="J1428" s="368"/>
    </row>
    <row r="1429" spans="3:10" x14ac:dyDescent="0.2">
      <c r="C1429" s="368"/>
      <c r="D1429" s="368"/>
      <c r="F1429" s="368"/>
      <c r="G1429" s="368"/>
      <c r="H1429" s="368"/>
      <c r="I1429" s="368"/>
      <c r="J1429" s="368"/>
    </row>
    <row r="1430" spans="3:10" x14ac:dyDescent="0.2">
      <c r="C1430" s="368"/>
      <c r="D1430" s="368"/>
      <c r="F1430" s="368"/>
      <c r="G1430" s="368"/>
      <c r="H1430" s="368"/>
      <c r="I1430" s="368"/>
      <c r="J1430" s="368"/>
    </row>
    <row r="1431" spans="3:10" x14ac:dyDescent="0.2">
      <c r="C1431" s="368"/>
      <c r="D1431" s="368"/>
      <c r="F1431" s="368"/>
      <c r="G1431" s="368"/>
      <c r="H1431" s="368"/>
      <c r="I1431" s="368"/>
      <c r="J1431" s="368"/>
    </row>
    <row r="1432" spans="3:10" x14ac:dyDescent="0.2">
      <c r="C1432" s="368"/>
      <c r="D1432" s="368"/>
      <c r="F1432" s="368"/>
      <c r="G1432" s="368"/>
      <c r="H1432" s="368"/>
      <c r="I1432" s="368"/>
      <c r="J1432" s="368"/>
    </row>
    <row r="1433" spans="3:10" x14ac:dyDescent="0.2">
      <c r="C1433" s="368"/>
      <c r="D1433" s="368"/>
      <c r="F1433" s="368"/>
      <c r="G1433" s="368"/>
      <c r="H1433" s="368"/>
      <c r="I1433" s="368"/>
      <c r="J1433" s="368"/>
    </row>
    <row r="1434" spans="3:10" x14ac:dyDescent="0.2">
      <c r="C1434" s="368"/>
      <c r="D1434" s="368"/>
      <c r="F1434" s="368"/>
      <c r="G1434" s="368"/>
      <c r="H1434" s="368"/>
      <c r="I1434" s="368"/>
      <c r="J1434" s="368"/>
    </row>
    <row r="1435" spans="3:10" x14ac:dyDescent="0.2">
      <c r="C1435" s="368"/>
      <c r="D1435" s="368"/>
      <c r="F1435" s="368"/>
      <c r="G1435" s="368"/>
      <c r="H1435" s="368"/>
      <c r="I1435" s="368"/>
      <c r="J1435" s="368"/>
    </row>
    <row r="1436" spans="3:10" x14ac:dyDescent="0.2">
      <c r="C1436" s="368"/>
      <c r="D1436" s="368"/>
      <c r="F1436" s="368"/>
      <c r="G1436" s="368"/>
      <c r="H1436" s="368"/>
      <c r="I1436" s="368"/>
      <c r="J1436" s="368"/>
    </row>
    <row r="1437" spans="3:10" x14ac:dyDescent="0.2">
      <c r="C1437" s="368"/>
      <c r="D1437" s="368"/>
      <c r="F1437" s="368"/>
      <c r="G1437" s="368"/>
      <c r="H1437" s="368"/>
      <c r="I1437" s="368"/>
      <c r="J1437" s="368"/>
    </row>
    <row r="1438" spans="3:10" x14ac:dyDescent="0.2">
      <c r="C1438" s="368"/>
      <c r="D1438" s="368"/>
      <c r="F1438" s="368"/>
      <c r="G1438" s="368"/>
      <c r="H1438" s="368"/>
      <c r="I1438" s="368"/>
      <c r="J1438" s="368"/>
    </row>
    <row r="1439" spans="3:10" x14ac:dyDescent="0.2">
      <c r="C1439" s="368"/>
      <c r="D1439" s="368"/>
      <c r="F1439" s="368"/>
      <c r="G1439" s="368"/>
      <c r="H1439" s="368"/>
      <c r="I1439" s="368"/>
      <c r="J1439" s="368"/>
    </row>
    <row r="1440" spans="3:10" x14ac:dyDescent="0.2">
      <c r="C1440" s="368"/>
      <c r="D1440" s="368"/>
      <c r="F1440" s="368"/>
      <c r="G1440" s="368"/>
      <c r="H1440" s="368"/>
      <c r="I1440" s="368"/>
      <c r="J1440" s="368"/>
    </row>
    <row r="1441" spans="3:10" x14ac:dyDescent="0.2">
      <c r="C1441" s="368"/>
      <c r="D1441" s="368"/>
      <c r="F1441" s="368"/>
      <c r="G1441" s="368"/>
      <c r="H1441" s="368"/>
      <c r="I1441" s="368"/>
      <c r="J1441" s="368"/>
    </row>
    <row r="1442" spans="3:10" x14ac:dyDescent="0.2">
      <c r="C1442" s="368"/>
      <c r="D1442" s="368"/>
      <c r="F1442" s="368"/>
      <c r="G1442" s="368"/>
      <c r="H1442" s="368"/>
      <c r="I1442" s="368"/>
      <c r="J1442" s="368"/>
    </row>
    <row r="1443" spans="3:10" x14ac:dyDescent="0.2">
      <c r="C1443" s="368"/>
      <c r="D1443" s="368"/>
      <c r="F1443" s="368"/>
      <c r="G1443" s="368"/>
      <c r="H1443" s="368"/>
      <c r="I1443" s="368"/>
      <c r="J1443" s="368"/>
    </row>
    <row r="1444" spans="3:10" x14ac:dyDescent="0.2">
      <c r="C1444" s="368"/>
      <c r="D1444" s="368"/>
      <c r="F1444" s="368"/>
      <c r="G1444" s="368"/>
      <c r="H1444" s="368"/>
      <c r="I1444" s="368"/>
      <c r="J1444" s="368"/>
    </row>
    <row r="1445" spans="3:10" x14ac:dyDescent="0.2">
      <c r="C1445" s="368"/>
      <c r="D1445" s="368"/>
      <c r="F1445" s="368"/>
      <c r="G1445" s="368"/>
      <c r="H1445" s="368"/>
      <c r="I1445" s="368"/>
      <c r="J1445" s="368"/>
    </row>
    <row r="1446" spans="3:10" x14ac:dyDescent="0.2">
      <c r="C1446" s="368"/>
      <c r="D1446" s="368"/>
      <c r="F1446" s="368"/>
      <c r="G1446" s="368"/>
      <c r="H1446" s="368"/>
      <c r="I1446" s="368"/>
      <c r="J1446" s="368"/>
    </row>
    <row r="1447" spans="3:10" x14ac:dyDescent="0.2">
      <c r="C1447" s="368"/>
      <c r="D1447" s="368"/>
      <c r="F1447" s="368"/>
      <c r="G1447" s="368"/>
      <c r="H1447" s="368"/>
      <c r="I1447" s="368"/>
      <c r="J1447" s="368"/>
    </row>
    <row r="1448" spans="3:10" x14ac:dyDescent="0.2">
      <c r="C1448" s="368"/>
      <c r="D1448" s="368"/>
      <c r="F1448" s="368"/>
      <c r="G1448" s="368"/>
      <c r="H1448" s="368"/>
      <c r="I1448" s="368"/>
      <c r="J1448" s="368"/>
    </row>
    <row r="1449" spans="3:10" x14ac:dyDescent="0.2">
      <c r="C1449" s="368"/>
      <c r="D1449" s="368"/>
      <c r="F1449" s="368"/>
      <c r="G1449" s="368"/>
      <c r="H1449" s="368"/>
      <c r="I1449" s="368"/>
      <c r="J1449" s="368"/>
    </row>
    <row r="1450" spans="3:10" x14ac:dyDescent="0.2">
      <c r="C1450" s="368"/>
      <c r="D1450" s="368"/>
      <c r="F1450" s="368"/>
      <c r="G1450" s="368"/>
      <c r="H1450" s="368"/>
      <c r="I1450" s="368"/>
      <c r="J1450" s="368"/>
    </row>
    <row r="1451" spans="3:10" x14ac:dyDescent="0.2">
      <c r="C1451" s="368"/>
      <c r="D1451" s="368"/>
      <c r="F1451" s="368"/>
      <c r="G1451" s="368"/>
      <c r="H1451" s="368"/>
      <c r="I1451" s="368"/>
      <c r="J1451" s="368"/>
    </row>
    <row r="1452" spans="3:10" x14ac:dyDescent="0.2">
      <c r="C1452" s="368"/>
      <c r="D1452" s="368"/>
      <c r="F1452" s="368"/>
      <c r="G1452" s="368"/>
      <c r="H1452" s="368"/>
      <c r="I1452" s="368"/>
      <c r="J1452" s="368"/>
    </row>
    <row r="1453" spans="3:10" x14ac:dyDescent="0.2">
      <c r="C1453" s="368"/>
      <c r="D1453" s="368"/>
      <c r="F1453" s="368"/>
      <c r="G1453" s="368"/>
      <c r="H1453" s="368"/>
      <c r="I1453" s="368"/>
      <c r="J1453" s="368"/>
    </row>
    <row r="1454" spans="3:10" x14ac:dyDescent="0.2">
      <c r="C1454" s="368"/>
      <c r="D1454" s="368"/>
      <c r="F1454" s="368"/>
      <c r="G1454" s="368"/>
      <c r="H1454" s="368"/>
      <c r="I1454" s="368"/>
      <c r="J1454" s="368"/>
    </row>
    <row r="1455" spans="3:10" x14ac:dyDescent="0.2">
      <c r="C1455" s="368"/>
      <c r="D1455" s="368"/>
      <c r="F1455" s="368"/>
      <c r="G1455" s="368"/>
      <c r="H1455" s="368"/>
      <c r="I1455" s="368"/>
      <c r="J1455" s="368"/>
    </row>
    <row r="1456" spans="3:10" x14ac:dyDescent="0.2">
      <c r="C1456" s="368"/>
      <c r="D1456" s="368"/>
      <c r="F1456" s="368"/>
      <c r="G1456" s="368"/>
      <c r="H1456" s="368"/>
      <c r="I1456" s="368"/>
      <c r="J1456" s="368"/>
    </row>
    <row r="1457" spans="3:10" x14ac:dyDescent="0.2">
      <c r="C1457" s="368"/>
      <c r="D1457" s="368"/>
      <c r="F1457" s="368"/>
      <c r="G1457" s="368"/>
      <c r="H1457" s="368"/>
      <c r="I1457" s="368"/>
      <c r="J1457" s="368"/>
    </row>
    <row r="1458" spans="3:10" x14ac:dyDescent="0.2">
      <c r="C1458" s="368"/>
      <c r="D1458" s="368"/>
      <c r="F1458" s="368"/>
      <c r="G1458" s="368"/>
      <c r="H1458" s="368"/>
      <c r="I1458" s="368"/>
      <c r="J1458" s="368"/>
    </row>
    <row r="1459" spans="3:10" x14ac:dyDescent="0.2">
      <c r="C1459" s="368"/>
      <c r="D1459" s="368"/>
      <c r="F1459" s="368"/>
      <c r="G1459" s="368"/>
      <c r="H1459" s="368"/>
      <c r="I1459" s="368"/>
      <c r="J1459" s="368"/>
    </row>
    <row r="1460" spans="3:10" x14ac:dyDescent="0.2">
      <c r="C1460" s="368"/>
      <c r="D1460" s="368"/>
      <c r="F1460" s="368"/>
      <c r="G1460" s="368"/>
      <c r="H1460" s="368"/>
      <c r="I1460" s="368"/>
      <c r="J1460" s="368"/>
    </row>
    <row r="1461" spans="3:10" x14ac:dyDescent="0.2">
      <c r="C1461" s="368"/>
      <c r="D1461" s="368"/>
      <c r="F1461" s="368"/>
      <c r="G1461" s="368"/>
      <c r="H1461" s="368"/>
      <c r="I1461" s="368"/>
      <c r="J1461" s="368"/>
    </row>
    <row r="1462" spans="3:10" x14ac:dyDescent="0.2">
      <c r="C1462" s="368"/>
      <c r="D1462" s="368"/>
      <c r="F1462" s="368"/>
      <c r="G1462" s="368"/>
      <c r="H1462" s="368"/>
      <c r="I1462" s="368"/>
      <c r="J1462" s="368"/>
    </row>
    <row r="1463" spans="3:10" x14ac:dyDescent="0.2">
      <c r="C1463" s="368"/>
      <c r="D1463" s="368"/>
      <c r="F1463" s="368"/>
      <c r="G1463" s="368"/>
      <c r="H1463" s="368"/>
      <c r="I1463" s="368"/>
      <c r="J1463" s="368"/>
    </row>
    <row r="1464" spans="3:10" x14ac:dyDescent="0.2">
      <c r="C1464" s="368"/>
      <c r="D1464" s="368"/>
      <c r="F1464" s="368"/>
      <c r="G1464" s="368"/>
      <c r="H1464" s="368"/>
      <c r="I1464" s="368"/>
      <c r="J1464" s="368"/>
    </row>
    <row r="1465" spans="3:10" x14ac:dyDescent="0.2">
      <c r="C1465" s="368"/>
      <c r="D1465" s="368"/>
      <c r="F1465" s="368"/>
      <c r="G1465" s="368"/>
      <c r="H1465" s="368"/>
      <c r="I1465" s="368"/>
      <c r="J1465" s="368"/>
    </row>
    <row r="1466" spans="3:10" x14ac:dyDescent="0.2">
      <c r="C1466" s="368"/>
      <c r="D1466" s="368"/>
      <c r="F1466" s="368"/>
      <c r="G1466" s="368"/>
      <c r="H1466" s="368"/>
      <c r="I1466" s="368"/>
      <c r="J1466" s="368"/>
    </row>
    <row r="1467" spans="3:10" x14ac:dyDescent="0.2">
      <c r="C1467" s="368"/>
      <c r="D1467" s="368"/>
      <c r="F1467" s="368"/>
      <c r="G1467" s="368"/>
      <c r="H1467" s="368"/>
      <c r="I1467" s="368"/>
      <c r="J1467" s="368"/>
    </row>
    <row r="1468" spans="3:10" x14ac:dyDescent="0.2">
      <c r="C1468" s="368"/>
      <c r="D1468" s="368"/>
      <c r="F1468" s="368"/>
      <c r="G1468" s="368"/>
      <c r="H1468" s="368"/>
      <c r="I1468" s="368"/>
      <c r="J1468" s="368"/>
    </row>
    <row r="1469" spans="3:10" x14ac:dyDescent="0.2">
      <c r="C1469" s="368"/>
      <c r="D1469" s="368"/>
      <c r="F1469" s="368"/>
      <c r="G1469" s="368"/>
      <c r="H1469" s="368"/>
      <c r="I1469" s="368"/>
      <c r="J1469" s="368"/>
    </row>
    <row r="1470" spans="3:10" x14ac:dyDescent="0.2">
      <c r="C1470" s="368"/>
      <c r="D1470" s="368"/>
      <c r="F1470" s="368"/>
      <c r="G1470" s="368"/>
      <c r="H1470" s="368"/>
      <c r="I1470" s="368"/>
      <c r="J1470" s="368"/>
    </row>
    <row r="1471" spans="3:10" x14ac:dyDescent="0.2">
      <c r="C1471" s="368"/>
      <c r="D1471" s="368"/>
      <c r="F1471" s="368"/>
      <c r="G1471" s="368"/>
      <c r="H1471" s="368"/>
      <c r="I1471" s="368"/>
      <c r="J1471" s="368"/>
    </row>
    <row r="1472" spans="3:10" x14ac:dyDescent="0.2">
      <c r="C1472" s="368"/>
      <c r="D1472" s="368"/>
      <c r="F1472" s="368"/>
      <c r="G1472" s="368"/>
      <c r="H1472" s="368"/>
      <c r="I1472" s="368"/>
      <c r="J1472" s="368"/>
    </row>
    <row r="1473" spans="3:10" x14ac:dyDescent="0.2">
      <c r="C1473" s="368"/>
      <c r="D1473" s="368"/>
      <c r="F1473" s="368"/>
      <c r="G1473" s="368"/>
      <c r="H1473" s="368"/>
      <c r="I1473" s="368"/>
      <c r="J1473" s="368"/>
    </row>
    <row r="1474" spans="3:10" x14ac:dyDescent="0.2">
      <c r="C1474" s="368"/>
      <c r="D1474" s="368"/>
      <c r="F1474" s="368"/>
      <c r="G1474" s="368"/>
      <c r="H1474" s="368"/>
      <c r="I1474" s="368"/>
      <c r="J1474" s="368"/>
    </row>
    <row r="1475" spans="3:10" x14ac:dyDescent="0.2">
      <c r="C1475" s="368"/>
      <c r="D1475" s="368"/>
      <c r="F1475" s="368"/>
      <c r="G1475" s="368"/>
      <c r="H1475" s="368"/>
      <c r="I1475" s="368"/>
      <c r="J1475" s="368"/>
    </row>
    <row r="1476" spans="3:10" x14ac:dyDescent="0.2">
      <c r="C1476" s="368"/>
      <c r="D1476" s="368"/>
      <c r="F1476" s="368"/>
      <c r="G1476" s="368"/>
      <c r="H1476" s="368"/>
      <c r="I1476" s="368"/>
      <c r="J1476" s="368"/>
    </row>
    <row r="1477" spans="3:10" x14ac:dyDescent="0.2">
      <c r="C1477" s="368"/>
      <c r="D1477" s="368"/>
      <c r="F1477" s="368"/>
      <c r="G1477" s="368"/>
      <c r="H1477" s="368"/>
      <c r="I1477" s="368"/>
      <c r="J1477" s="368"/>
    </row>
    <row r="1478" spans="3:10" x14ac:dyDescent="0.2">
      <c r="C1478" s="368"/>
      <c r="D1478" s="368"/>
      <c r="F1478" s="368"/>
      <c r="G1478" s="368"/>
      <c r="H1478" s="368"/>
      <c r="I1478" s="368"/>
      <c r="J1478" s="368"/>
    </row>
    <row r="1479" spans="3:10" x14ac:dyDescent="0.2">
      <c r="C1479" s="368"/>
      <c r="D1479" s="368"/>
      <c r="F1479" s="368"/>
      <c r="G1479" s="368"/>
      <c r="H1479" s="368"/>
      <c r="I1479" s="368"/>
      <c r="J1479" s="368"/>
    </row>
    <row r="1480" spans="3:10" x14ac:dyDescent="0.2">
      <c r="C1480" s="368"/>
      <c r="D1480" s="368"/>
      <c r="F1480" s="368"/>
      <c r="G1480" s="368"/>
      <c r="H1480" s="368"/>
      <c r="I1480" s="368"/>
      <c r="J1480" s="368"/>
    </row>
    <row r="1481" spans="3:10" x14ac:dyDescent="0.2">
      <c r="C1481" s="368"/>
      <c r="D1481" s="368"/>
      <c r="F1481" s="368"/>
      <c r="G1481" s="368"/>
      <c r="H1481" s="368"/>
      <c r="I1481" s="368"/>
      <c r="J1481" s="368"/>
    </row>
    <row r="1482" spans="3:10" x14ac:dyDescent="0.2">
      <c r="C1482" s="368"/>
      <c r="D1482" s="368"/>
      <c r="F1482" s="368"/>
      <c r="G1482" s="368"/>
      <c r="H1482" s="368"/>
      <c r="I1482" s="368"/>
      <c r="J1482" s="368"/>
    </row>
    <row r="1483" spans="3:10" x14ac:dyDescent="0.2">
      <c r="C1483" s="368"/>
      <c r="D1483" s="368"/>
      <c r="F1483" s="368"/>
      <c r="G1483" s="368"/>
      <c r="H1483" s="368"/>
      <c r="I1483" s="368"/>
      <c r="J1483" s="368"/>
    </row>
    <row r="1484" spans="3:10" x14ac:dyDescent="0.2">
      <c r="C1484" s="368"/>
      <c r="D1484" s="368"/>
      <c r="F1484" s="368"/>
      <c r="G1484" s="368"/>
      <c r="H1484" s="368"/>
      <c r="I1484" s="368"/>
      <c r="J1484" s="368"/>
    </row>
    <row r="1485" spans="3:10" x14ac:dyDescent="0.2">
      <c r="C1485" s="368"/>
      <c r="D1485" s="368"/>
      <c r="F1485" s="368"/>
      <c r="G1485" s="368"/>
      <c r="H1485" s="368"/>
      <c r="I1485" s="368"/>
      <c r="J1485" s="368"/>
    </row>
    <row r="1486" spans="3:10" x14ac:dyDescent="0.2">
      <c r="C1486" s="368"/>
      <c r="D1486" s="368"/>
      <c r="F1486" s="368"/>
      <c r="G1486" s="368"/>
      <c r="H1486" s="368"/>
      <c r="I1486" s="368"/>
      <c r="J1486" s="368"/>
    </row>
    <row r="1487" spans="3:10" x14ac:dyDescent="0.2">
      <c r="C1487" s="368"/>
      <c r="D1487" s="368"/>
      <c r="F1487" s="368"/>
      <c r="G1487" s="368"/>
      <c r="H1487" s="368"/>
      <c r="I1487" s="368"/>
      <c r="J1487" s="368"/>
    </row>
    <row r="1488" spans="3:10" x14ac:dyDescent="0.2">
      <c r="C1488" s="368"/>
      <c r="D1488" s="368"/>
      <c r="F1488" s="368"/>
      <c r="G1488" s="368"/>
      <c r="H1488" s="368"/>
      <c r="I1488" s="368"/>
      <c r="J1488" s="368"/>
    </row>
    <row r="1489" spans="3:10" x14ac:dyDescent="0.2">
      <c r="C1489" s="368"/>
      <c r="D1489" s="368"/>
      <c r="F1489" s="368"/>
      <c r="G1489" s="368"/>
      <c r="H1489" s="368"/>
      <c r="I1489" s="368"/>
      <c r="J1489" s="368"/>
    </row>
    <row r="1490" spans="3:10" x14ac:dyDescent="0.2">
      <c r="C1490" s="368"/>
      <c r="D1490" s="368"/>
      <c r="F1490" s="368"/>
      <c r="G1490" s="368"/>
      <c r="H1490" s="368"/>
      <c r="I1490" s="368"/>
      <c r="J1490" s="368"/>
    </row>
    <row r="1491" spans="3:10" x14ac:dyDescent="0.2">
      <c r="C1491" s="368"/>
      <c r="D1491" s="368"/>
      <c r="F1491" s="368"/>
      <c r="G1491" s="368"/>
      <c r="H1491" s="368"/>
      <c r="I1491" s="368"/>
      <c r="J1491" s="368"/>
    </row>
    <row r="1492" spans="3:10" x14ac:dyDescent="0.2">
      <c r="C1492" s="368"/>
      <c r="D1492" s="368"/>
      <c r="F1492" s="368"/>
      <c r="G1492" s="368"/>
      <c r="H1492" s="368"/>
      <c r="I1492" s="368"/>
      <c r="J1492" s="368"/>
    </row>
    <row r="1493" spans="3:10" x14ac:dyDescent="0.2">
      <c r="C1493" s="368"/>
      <c r="D1493" s="368"/>
      <c r="F1493" s="368"/>
      <c r="G1493" s="368"/>
      <c r="H1493" s="368"/>
      <c r="I1493" s="368"/>
      <c r="J1493" s="368"/>
    </row>
    <row r="1494" spans="3:10" x14ac:dyDescent="0.2">
      <c r="C1494" s="368"/>
      <c r="D1494" s="368"/>
      <c r="F1494" s="368"/>
      <c r="G1494" s="368"/>
      <c r="H1494" s="368"/>
      <c r="I1494" s="368"/>
      <c r="J1494" s="368"/>
    </row>
    <row r="1495" spans="3:10" x14ac:dyDescent="0.2">
      <c r="C1495" s="368"/>
      <c r="D1495" s="368"/>
      <c r="F1495" s="368"/>
      <c r="G1495" s="368"/>
      <c r="H1495" s="368"/>
      <c r="I1495" s="368"/>
      <c r="J1495" s="368"/>
    </row>
    <row r="1496" spans="3:10" x14ac:dyDescent="0.2">
      <c r="C1496" s="368"/>
      <c r="D1496" s="368"/>
      <c r="F1496" s="368"/>
      <c r="G1496" s="368"/>
      <c r="H1496" s="368"/>
      <c r="I1496" s="368"/>
      <c r="J1496" s="368"/>
    </row>
    <row r="1497" spans="3:10" x14ac:dyDescent="0.2">
      <c r="C1497" s="368"/>
      <c r="D1497" s="368"/>
      <c r="F1497" s="368"/>
      <c r="G1497" s="368"/>
      <c r="H1497" s="368"/>
      <c r="I1497" s="368"/>
      <c r="J1497" s="368"/>
    </row>
    <row r="1498" spans="3:10" x14ac:dyDescent="0.2">
      <c r="C1498" s="368"/>
      <c r="D1498" s="368"/>
      <c r="F1498" s="368"/>
      <c r="G1498" s="368"/>
      <c r="H1498" s="368"/>
      <c r="I1498" s="368"/>
      <c r="J1498" s="368"/>
    </row>
    <row r="1499" spans="3:10" x14ac:dyDescent="0.2">
      <c r="C1499" s="368"/>
      <c r="D1499" s="368"/>
      <c r="F1499" s="368"/>
      <c r="G1499" s="368"/>
      <c r="H1499" s="368"/>
      <c r="I1499" s="368"/>
      <c r="J1499" s="368"/>
    </row>
    <row r="1500" spans="3:10" x14ac:dyDescent="0.2">
      <c r="C1500" s="368"/>
      <c r="D1500" s="368"/>
      <c r="F1500" s="368"/>
      <c r="G1500" s="368"/>
      <c r="H1500" s="368"/>
      <c r="I1500" s="368"/>
      <c r="J1500" s="368"/>
    </row>
    <row r="1501" spans="3:10" x14ac:dyDescent="0.2">
      <c r="C1501" s="368"/>
      <c r="D1501" s="368"/>
      <c r="F1501" s="368"/>
      <c r="G1501" s="368"/>
      <c r="H1501" s="368"/>
      <c r="I1501" s="368"/>
      <c r="J1501" s="368"/>
    </row>
    <row r="1502" spans="3:10" x14ac:dyDescent="0.2">
      <c r="C1502" s="368"/>
      <c r="D1502" s="368"/>
      <c r="F1502" s="368"/>
      <c r="G1502" s="368"/>
      <c r="H1502" s="368"/>
      <c r="I1502" s="368"/>
      <c r="J1502" s="368"/>
    </row>
    <row r="1503" spans="3:10" x14ac:dyDescent="0.2">
      <c r="C1503" s="368"/>
      <c r="D1503" s="368"/>
      <c r="F1503" s="368"/>
      <c r="G1503" s="368"/>
      <c r="H1503" s="368"/>
      <c r="I1503" s="368"/>
      <c r="J1503" s="368"/>
    </row>
    <row r="1504" spans="3:10" x14ac:dyDescent="0.2">
      <c r="C1504" s="368"/>
      <c r="D1504" s="368"/>
      <c r="F1504" s="368"/>
      <c r="G1504" s="368"/>
      <c r="H1504" s="368"/>
      <c r="I1504" s="368"/>
      <c r="J1504" s="368"/>
    </row>
    <row r="1505" spans="3:10" x14ac:dyDescent="0.2">
      <c r="C1505" s="368"/>
      <c r="D1505" s="368"/>
      <c r="F1505" s="368"/>
      <c r="G1505" s="368"/>
      <c r="H1505" s="368"/>
      <c r="I1505" s="368"/>
      <c r="J1505" s="368"/>
    </row>
    <row r="1506" spans="3:10" x14ac:dyDescent="0.2">
      <c r="C1506" s="368"/>
      <c r="D1506" s="368"/>
      <c r="F1506" s="368"/>
      <c r="G1506" s="368"/>
      <c r="H1506" s="368"/>
      <c r="I1506" s="368"/>
      <c r="J1506" s="368"/>
    </row>
    <row r="1507" spans="3:10" x14ac:dyDescent="0.2">
      <c r="C1507" s="368"/>
      <c r="D1507" s="368"/>
      <c r="F1507" s="368"/>
      <c r="G1507" s="368"/>
      <c r="H1507" s="368"/>
      <c r="I1507" s="368"/>
      <c r="J1507" s="368"/>
    </row>
    <row r="1508" spans="3:10" x14ac:dyDescent="0.2">
      <c r="C1508" s="368"/>
      <c r="D1508" s="368"/>
      <c r="F1508" s="368"/>
      <c r="G1508" s="368"/>
      <c r="H1508" s="368"/>
      <c r="I1508" s="368"/>
      <c r="J1508" s="368"/>
    </row>
    <row r="1509" spans="3:10" x14ac:dyDescent="0.2">
      <c r="C1509" s="368"/>
      <c r="D1509" s="368"/>
      <c r="F1509" s="368"/>
      <c r="G1509" s="368"/>
      <c r="H1509" s="368"/>
      <c r="I1509" s="368"/>
      <c r="J1509" s="368"/>
    </row>
    <row r="1510" spans="3:10" x14ac:dyDescent="0.2">
      <c r="C1510" s="368"/>
      <c r="D1510" s="368"/>
      <c r="F1510" s="368"/>
      <c r="G1510" s="368"/>
      <c r="H1510" s="368"/>
      <c r="I1510" s="368"/>
      <c r="J1510" s="368"/>
    </row>
    <row r="1511" spans="3:10" x14ac:dyDescent="0.2">
      <c r="C1511" s="368"/>
      <c r="D1511" s="368"/>
      <c r="F1511" s="368"/>
      <c r="G1511" s="368"/>
      <c r="H1511" s="368"/>
      <c r="I1511" s="368"/>
      <c r="J1511" s="368"/>
    </row>
    <row r="1512" spans="3:10" x14ac:dyDescent="0.2">
      <c r="C1512" s="368"/>
      <c r="D1512" s="368"/>
      <c r="F1512" s="368"/>
      <c r="G1512" s="368"/>
      <c r="H1512" s="368"/>
      <c r="I1512" s="368"/>
      <c r="J1512" s="368"/>
    </row>
    <row r="1513" spans="3:10" x14ac:dyDescent="0.2">
      <c r="C1513" s="368"/>
      <c r="D1513" s="368"/>
      <c r="F1513" s="368"/>
      <c r="G1513" s="368"/>
      <c r="H1513" s="368"/>
      <c r="I1513" s="368"/>
      <c r="J1513" s="368"/>
    </row>
    <row r="1514" spans="3:10" x14ac:dyDescent="0.2">
      <c r="C1514" s="368"/>
      <c r="D1514" s="368"/>
      <c r="F1514" s="368"/>
      <c r="G1514" s="368"/>
      <c r="H1514" s="368"/>
      <c r="I1514" s="368"/>
      <c r="J1514" s="368"/>
    </row>
    <row r="1515" spans="3:10" x14ac:dyDescent="0.2">
      <c r="C1515" s="368"/>
      <c r="D1515" s="368"/>
      <c r="F1515" s="368"/>
      <c r="G1515" s="368"/>
      <c r="H1515" s="368"/>
      <c r="I1515" s="368"/>
      <c r="J1515" s="368"/>
    </row>
    <row r="1516" spans="3:10" x14ac:dyDescent="0.2">
      <c r="C1516" s="368"/>
      <c r="D1516" s="368"/>
      <c r="F1516" s="368"/>
      <c r="G1516" s="368"/>
      <c r="H1516" s="368"/>
      <c r="I1516" s="368"/>
      <c r="J1516" s="368"/>
    </row>
    <row r="1517" spans="3:10" x14ac:dyDescent="0.2">
      <c r="C1517" s="368"/>
      <c r="D1517" s="368"/>
      <c r="F1517" s="368"/>
      <c r="G1517" s="368"/>
      <c r="H1517" s="368"/>
      <c r="I1517" s="368"/>
      <c r="J1517" s="368"/>
    </row>
    <row r="1518" spans="3:10" x14ac:dyDescent="0.2">
      <c r="C1518" s="368"/>
      <c r="D1518" s="368"/>
      <c r="F1518" s="368"/>
      <c r="G1518" s="368"/>
      <c r="H1518" s="368"/>
      <c r="I1518" s="368"/>
      <c r="J1518" s="368"/>
    </row>
    <row r="1519" spans="3:10" x14ac:dyDescent="0.2">
      <c r="C1519" s="368"/>
      <c r="D1519" s="368"/>
      <c r="F1519" s="368"/>
      <c r="G1519" s="368"/>
      <c r="H1519" s="368"/>
      <c r="I1519" s="368"/>
      <c r="J1519" s="368"/>
    </row>
    <row r="1520" spans="3:10" x14ac:dyDescent="0.2">
      <c r="C1520" s="368"/>
      <c r="D1520" s="368"/>
      <c r="F1520" s="368"/>
      <c r="G1520" s="368"/>
      <c r="H1520" s="368"/>
      <c r="I1520" s="368"/>
      <c r="J1520" s="368"/>
    </row>
    <row r="1521" spans="3:10" x14ac:dyDescent="0.2">
      <c r="C1521" s="368"/>
      <c r="D1521" s="368"/>
      <c r="F1521" s="368"/>
      <c r="G1521" s="368"/>
      <c r="H1521" s="368"/>
      <c r="I1521" s="368"/>
      <c r="J1521" s="368"/>
    </row>
    <row r="1522" spans="3:10" x14ac:dyDescent="0.2">
      <c r="C1522" s="368"/>
      <c r="D1522" s="368"/>
      <c r="F1522" s="368"/>
      <c r="G1522" s="368"/>
      <c r="H1522" s="368"/>
      <c r="I1522" s="368"/>
      <c r="J1522" s="368"/>
    </row>
    <row r="1523" spans="3:10" x14ac:dyDescent="0.2">
      <c r="C1523" s="368"/>
      <c r="D1523" s="368"/>
      <c r="F1523" s="368"/>
      <c r="G1523" s="368"/>
      <c r="H1523" s="368"/>
      <c r="I1523" s="368"/>
      <c r="J1523" s="368"/>
    </row>
    <row r="1524" spans="3:10" x14ac:dyDescent="0.2">
      <c r="C1524" s="368"/>
      <c r="D1524" s="368"/>
      <c r="F1524" s="368"/>
      <c r="G1524" s="368"/>
      <c r="H1524" s="368"/>
      <c r="I1524" s="368"/>
      <c r="J1524" s="368"/>
    </row>
    <row r="1525" spans="3:10" x14ac:dyDescent="0.2">
      <c r="C1525" s="368"/>
      <c r="D1525" s="368"/>
      <c r="F1525" s="368"/>
      <c r="G1525" s="368"/>
      <c r="H1525" s="368"/>
      <c r="I1525" s="368"/>
      <c r="J1525" s="368"/>
    </row>
    <row r="1526" spans="3:10" x14ac:dyDescent="0.2">
      <c r="C1526" s="368"/>
      <c r="D1526" s="368"/>
      <c r="F1526" s="368"/>
      <c r="G1526" s="368"/>
      <c r="H1526" s="368"/>
      <c r="I1526" s="368"/>
      <c r="J1526" s="368"/>
    </row>
    <row r="1527" spans="3:10" x14ac:dyDescent="0.2">
      <c r="C1527" s="368"/>
      <c r="D1527" s="368"/>
      <c r="F1527" s="368"/>
      <c r="G1527" s="368"/>
      <c r="H1527" s="368"/>
      <c r="I1527" s="368"/>
      <c r="J1527" s="368"/>
    </row>
    <row r="1528" spans="3:10" x14ac:dyDescent="0.2">
      <c r="C1528" s="368"/>
      <c r="D1528" s="368"/>
      <c r="F1528" s="368"/>
      <c r="G1528" s="368"/>
      <c r="H1528" s="368"/>
      <c r="I1528" s="368"/>
      <c r="J1528" s="368"/>
    </row>
    <row r="1529" spans="3:10" x14ac:dyDescent="0.2">
      <c r="C1529" s="368"/>
      <c r="D1529" s="368"/>
      <c r="F1529" s="368"/>
      <c r="G1529" s="368"/>
      <c r="H1529" s="368"/>
      <c r="I1529" s="368"/>
      <c r="J1529" s="368"/>
    </row>
    <row r="1530" spans="3:10" x14ac:dyDescent="0.2">
      <c r="C1530" s="368"/>
      <c r="D1530" s="368"/>
      <c r="F1530" s="368"/>
      <c r="G1530" s="368"/>
      <c r="H1530" s="368"/>
      <c r="I1530" s="368"/>
      <c r="J1530" s="368"/>
    </row>
    <row r="1531" spans="3:10" x14ac:dyDescent="0.2">
      <c r="C1531" s="368"/>
      <c r="D1531" s="368"/>
      <c r="F1531" s="368"/>
      <c r="G1531" s="368"/>
      <c r="H1531" s="368"/>
      <c r="I1531" s="368"/>
      <c r="J1531" s="368"/>
    </row>
    <row r="1532" spans="3:10" x14ac:dyDescent="0.2">
      <c r="C1532" s="368"/>
      <c r="D1532" s="368"/>
      <c r="F1532" s="368"/>
      <c r="G1532" s="368"/>
      <c r="H1532" s="368"/>
      <c r="I1532" s="368"/>
      <c r="J1532" s="368"/>
    </row>
    <row r="1533" spans="3:10" x14ac:dyDescent="0.2">
      <c r="C1533" s="368"/>
      <c r="D1533" s="368"/>
      <c r="F1533" s="368"/>
      <c r="G1533" s="368"/>
      <c r="H1533" s="368"/>
      <c r="I1533" s="368"/>
      <c r="J1533" s="368"/>
    </row>
    <row r="1534" spans="3:10" x14ac:dyDescent="0.2">
      <c r="C1534" s="368"/>
      <c r="D1534" s="368"/>
      <c r="F1534" s="368"/>
      <c r="G1534" s="368"/>
      <c r="H1534" s="368"/>
      <c r="I1534" s="368"/>
      <c r="J1534" s="368"/>
    </row>
    <row r="1535" spans="3:10" x14ac:dyDescent="0.2">
      <c r="C1535" s="368"/>
      <c r="D1535" s="368"/>
      <c r="F1535" s="368"/>
      <c r="G1535" s="368"/>
      <c r="H1535" s="368"/>
      <c r="I1535" s="368"/>
      <c r="J1535" s="368"/>
    </row>
    <row r="1536" spans="3:10" x14ac:dyDescent="0.2">
      <c r="C1536" s="368"/>
      <c r="D1536" s="368"/>
      <c r="F1536" s="368"/>
      <c r="G1536" s="368"/>
      <c r="H1536" s="368"/>
      <c r="I1536" s="368"/>
      <c r="J1536" s="368"/>
    </row>
    <row r="1537" spans="3:10" x14ac:dyDescent="0.2">
      <c r="C1537" s="368"/>
      <c r="D1537" s="368"/>
      <c r="F1537" s="368"/>
      <c r="G1537" s="368"/>
      <c r="H1537" s="368"/>
      <c r="I1537" s="368"/>
      <c r="J1537" s="368"/>
    </row>
    <row r="1538" spans="3:10" x14ac:dyDescent="0.2">
      <c r="C1538" s="368"/>
      <c r="D1538" s="368"/>
      <c r="F1538" s="368"/>
      <c r="G1538" s="368"/>
      <c r="H1538" s="368"/>
      <c r="I1538" s="368"/>
      <c r="J1538" s="368"/>
    </row>
    <row r="1539" spans="3:10" x14ac:dyDescent="0.2">
      <c r="C1539" s="368"/>
      <c r="D1539" s="368"/>
      <c r="F1539" s="368"/>
      <c r="G1539" s="368"/>
      <c r="H1539" s="368"/>
      <c r="I1539" s="368"/>
      <c r="J1539" s="368"/>
    </row>
    <row r="1540" spans="3:10" x14ac:dyDescent="0.2">
      <c r="C1540" s="368"/>
      <c r="D1540" s="368"/>
      <c r="F1540" s="368"/>
      <c r="G1540" s="368"/>
      <c r="H1540" s="368"/>
      <c r="I1540" s="368"/>
      <c r="J1540" s="368"/>
    </row>
    <row r="1541" spans="3:10" x14ac:dyDescent="0.2">
      <c r="C1541" s="368"/>
      <c r="D1541" s="368"/>
      <c r="F1541" s="368"/>
      <c r="G1541" s="368"/>
      <c r="H1541" s="368"/>
      <c r="I1541" s="368"/>
      <c r="J1541" s="368"/>
    </row>
    <row r="1542" spans="3:10" x14ac:dyDescent="0.2">
      <c r="C1542" s="368"/>
      <c r="D1542" s="368"/>
      <c r="F1542" s="368"/>
      <c r="G1542" s="368"/>
      <c r="H1542" s="368"/>
      <c r="I1542" s="368"/>
      <c r="J1542" s="368"/>
    </row>
    <row r="1543" spans="3:10" x14ac:dyDescent="0.2">
      <c r="C1543" s="368"/>
      <c r="D1543" s="368"/>
      <c r="F1543" s="368"/>
      <c r="G1543" s="368"/>
      <c r="H1543" s="368"/>
      <c r="I1543" s="368"/>
      <c r="J1543" s="368"/>
    </row>
    <row r="1544" spans="3:10" x14ac:dyDescent="0.2">
      <c r="C1544" s="368"/>
      <c r="D1544" s="368"/>
      <c r="F1544" s="368"/>
      <c r="G1544" s="368"/>
      <c r="H1544" s="368"/>
      <c r="I1544" s="368"/>
      <c r="J1544" s="368"/>
    </row>
    <row r="1545" spans="3:10" x14ac:dyDescent="0.2">
      <c r="C1545" s="368"/>
      <c r="D1545" s="368"/>
      <c r="F1545" s="368"/>
      <c r="G1545" s="368"/>
      <c r="H1545" s="368"/>
      <c r="I1545" s="368"/>
      <c r="J1545" s="368"/>
    </row>
    <row r="1546" spans="3:10" x14ac:dyDescent="0.2">
      <c r="C1546" s="368"/>
      <c r="D1546" s="368"/>
      <c r="F1546" s="368"/>
      <c r="G1546" s="368"/>
      <c r="H1546" s="368"/>
      <c r="I1546" s="368"/>
      <c r="J1546" s="368"/>
    </row>
    <row r="1547" spans="3:10" x14ac:dyDescent="0.2">
      <c r="C1547" s="368"/>
      <c r="D1547" s="368"/>
      <c r="F1547" s="368"/>
      <c r="G1547" s="368"/>
      <c r="H1547" s="368"/>
      <c r="I1547" s="368"/>
      <c r="J1547" s="368"/>
    </row>
    <row r="1548" spans="3:10" x14ac:dyDescent="0.2">
      <c r="C1548" s="368"/>
      <c r="D1548" s="368"/>
      <c r="F1548" s="368"/>
      <c r="G1548" s="368"/>
      <c r="H1548" s="368"/>
      <c r="I1548" s="368"/>
      <c r="J1548" s="368"/>
    </row>
    <row r="1549" spans="3:10" x14ac:dyDescent="0.2">
      <c r="C1549" s="368"/>
      <c r="D1549" s="368"/>
      <c r="F1549" s="368"/>
      <c r="G1549" s="368"/>
      <c r="H1549" s="368"/>
      <c r="I1549" s="368"/>
      <c r="J1549" s="368"/>
    </row>
    <row r="1550" spans="3:10" x14ac:dyDescent="0.2">
      <c r="C1550" s="368"/>
      <c r="D1550" s="368"/>
      <c r="F1550" s="368"/>
      <c r="G1550" s="368"/>
      <c r="H1550" s="368"/>
      <c r="I1550" s="368"/>
      <c r="J1550" s="368"/>
    </row>
    <row r="1551" spans="3:10" x14ac:dyDescent="0.2">
      <c r="C1551" s="368"/>
      <c r="D1551" s="368"/>
      <c r="F1551" s="368"/>
      <c r="G1551" s="368"/>
      <c r="H1551" s="368"/>
      <c r="I1551" s="368"/>
      <c r="J1551" s="368"/>
    </row>
    <row r="1552" spans="3:10" x14ac:dyDescent="0.2">
      <c r="C1552" s="368"/>
      <c r="D1552" s="368"/>
      <c r="F1552" s="368"/>
      <c r="G1552" s="368"/>
      <c r="H1552" s="368"/>
      <c r="I1552" s="368"/>
      <c r="J1552" s="368"/>
    </row>
    <row r="1553" spans="3:10" x14ac:dyDescent="0.2">
      <c r="C1553" s="368"/>
      <c r="D1553" s="368"/>
      <c r="F1553" s="368"/>
      <c r="G1553" s="368"/>
      <c r="H1553" s="368"/>
      <c r="I1553" s="368"/>
      <c r="J1553" s="368"/>
    </row>
    <row r="1554" spans="3:10" x14ac:dyDescent="0.2">
      <c r="C1554" s="368"/>
      <c r="D1554" s="368"/>
      <c r="F1554" s="368"/>
      <c r="G1554" s="368"/>
      <c r="H1554" s="368"/>
      <c r="I1554" s="368"/>
      <c r="J1554" s="368"/>
    </row>
    <row r="1555" spans="3:10" x14ac:dyDescent="0.2">
      <c r="C1555" s="368"/>
      <c r="D1555" s="368"/>
      <c r="F1555" s="368"/>
      <c r="G1555" s="368"/>
      <c r="H1555" s="368"/>
      <c r="I1555" s="368"/>
      <c r="J1555" s="368"/>
    </row>
    <row r="1556" spans="3:10" x14ac:dyDescent="0.2">
      <c r="C1556" s="368"/>
      <c r="D1556" s="368"/>
      <c r="F1556" s="368"/>
      <c r="G1556" s="368"/>
      <c r="H1556" s="368"/>
      <c r="I1556" s="368"/>
      <c r="J1556" s="368"/>
    </row>
    <row r="1557" spans="3:10" x14ac:dyDescent="0.2">
      <c r="C1557" s="368"/>
      <c r="D1557" s="368"/>
      <c r="F1557" s="368"/>
      <c r="G1557" s="368"/>
      <c r="H1557" s="368"/>
      <c r="I1557" s="368"/>
      <c r="J1557" s="368"/>
    </row>
    <row r="1558" spans="3:10" x14ac:dyDescent="0.2">
      <c r="C1558" s="368"/>
      <c r="D1558" s="368"/>
      <c r="F1558" s="368"/>
      <c r="G1558" s="368"/>
      <c r="H1558" s="368"/>
      <c r="I1558" s="368"/>
      <c r="J1558" s="368"/>
    </row>
    <row r="1559" spans="3:10" x14ac:dyDescent="0.2">
      <c r="C1559" s="368"/>
      <c r="D1559" s="368"/>
      <c r="F1559" s="368"/>
      <c r="G1559" s="368"/>
      <c r="H1559" s="368"/>
      <c r="I1559" s="368"/>
      <c r="J1559" s="368"/>
    </row>
    <row r="1560" spans="3:10" x14ac:dyDescent="0.2">
      <c r="C1560" s="368"/>
      <c r="D1560" s="368"/>
      <c r="F1560" s="368"/>
      <c r="G1560" s="368"/>
      <c r="H1560" s="368"/>
      <c r="I1560" s="368"/>
      <c r="J1560" s="368"/>
    </row>
    <row r="1561" spans="3:10" x14ac:dyDescent="0.2">
      <c r="C1561" s="368"/>
      <c r="D1561" s="368"/>
      <c r="F1561" s="368"/>
      <c r="G1561" s="368"/>
      <c r="H1561" s="368"/>
      <c r="I1561" s="368"/>
      <c r="J1561" s="368"/>
    </row>
    <row r="1562" spans="3:10" x14ac:dyDescent="0.2">
      <c r="C1562" s="368"/>
      <c r="D1562" s="368"/>
      <c r="F1562" s="368"/>
      <c r="G1562" s="368"/>
      <c r="H1562" s="368"/>
      <c r="I1562" s="368"/>
      <c r="J1562" s="368"/>
    </row>
    <row r="1563" spans="3:10" x14ac:dyDescent="0.2">
      <c r="C1563" s="368"/>
      <c r="D1563" s="368"/>
      <c r="F1563" s="368"/>
      <c r="G1563" s="368"/>
      <c r="H1563" s="368"/>
      <c r="I1563" s="368"/>
      <c r="J1563" s="368"/>
    </row>
    <row r="1564" spans="3:10" x14ac:dyDescent="0.2">
      <c r="C1564" s="368"/>
      <c r="D1564" s="368"/>
      <c r="F1564" s="368"/>
      <c r="G1564" s="368"/>
      <c r="H1564" s="368"/>
      <c r="I1564" s="368"/>
      <c r="J1564" s="368"/>
    </row>
    <row r="1565" spans="3:10" x14ac:dyDescent="0.2">
      <c r="C1565" s="368"/>
      <c r="D1565" s="368"/>
      <c r="F1565" s="368"/>
      <c r="G1565" s="368"/>
      <c r="H1565" s="368"/>
      <c r="I1565" s="368"/>
      <c r="J1565" s="368"/>
    </row>
    <row r="1566" spans="3:10" x14ac:dyDescent="0.2">
      <c r="C1566" s="368"/>
      <c r="D1566" s="368"/>
      <c r="F1566" s="368"/>
      <c r="G1566" s="368"/>
      <c r="H1566" s="368"/>
      <c r="I1566" s="368"/>
      <c r="J1566" s="368"/>
    </row>
    <row r="1567" spans="3:10" x14ac:dyDescent="0.2">
      <c r="C1567" s="368"/>
      <c r="D1567" s="368"/>
      <c r="F1567" s="368"/>
      <c r="G1567" s="368"/>
      <c r="H1567" s="368"/>
      <c r="I1567" s="368"/>
      <c r="J1567" s="368"/>
    </row>
    <row r="1568" spans="3:10" x14ac:dyDescent="0.2">
      <c r="C1568" s="368"/>
      <c r="D1568" s="368"/>
      <c r="F1568" s="368"/>
      <c r="G1568" s="368"/>
      <c r="H1568" s="368"/>
      <c r="I1568" s="368"/>
      <c r="J1568" s="368"/>
    </row>
    <row r="1569" spans="3:10" x14ac:dyDescent="0.2">
      <c r="C1569" s="368"/>
      <c r="D1569" s="368"/>
      <c r="F1569" s="368"/>
      <c r="G1569" s="368"/>
      <c r="H1569" s="368"/>
      <c r="I1569" s="368"/>
      <c r="J1569" s="368"/>
    </row>
    <row r="1570" spans="3:10" x14ac:dyDescent="0.2">
      <c r="C1570" s="368"/>
      <c r="D1570" s="368"/>
      <c r="F1570" s="368"/>
      <c r="G1570" s="368"/>
      <c r="H1570" s="368"/>
      <c r="I1570" s="368"/>
      <c r="J1570" s="368"/>
    </row>
    <row r="1571" spans="3:10" x14ac:dyDescent="0.2">
      <c r="C1571" s="368"/>
      <c r="D1571" s="368"/>
      <c r="F1571" s="368"/>
      <c r="G1571" s="368"/>
      <c r="H1571" s="368"/>
      <c r="I1571" s="368"/>
      <c r="J1571" s="368"/>
    </row>
    <row r="1572" spans="3:10" x14ac:dyDescent="0.2">
      <c r="C1572" s="368"/>
      <c r="D1572" s="368"/>
      <c r="F1572" s="368"/>
      <c r="G1572" s="368"/>
      <c r="H1572" s="368"/>
      <c r="I1572" s="368"/>
      <c r="J1572" s="368"/>
    </row>
    <row r="1573" spans="3:10" x14ac:dyDescent="0.2">
      <c r="C1573" s="368"/>
      <c r="D1573" s="368"/>
      <c r="F1573" s="368"/>
      <c r="G1573" s="368"/>
      <c r="H1573" s="368"/>
      <c r="I1573" s="368"/>
      <c r="J1573" s="368"/>
    </row>
    <row r="1574" spans="3:10" x14ac:dyDescent="0.2">
      <c r="C1574" s="368"/>
      <c r="D1574" s="368"/>
      <c r="F1574" s="368"/>
      <c r="G1574" s="368"/>
      <c r="H1574" s="368"/>
      <c r="I1574" s="368"/>
      <c r="J1574" s="368"/>
    </row>
    <row r="1575" spans="3:10" x14ac:dyDescent="0.2">
      <c r="C1575" s="368"/>
      <c r="D1575" s="368"/>
      <c r="F1575" s="368"/>
      <c r="G1575" s="368"/>
      <c r="H1575" s="368"/>
      <c r="I1575" s="368"/>
      <c r="J1575" s="368"/>
    </row>
    <row r="1576" spans="3:10" x14ac:dyDescent="0.2">
      <c r="C1576" s="368"/>
      <c r="D1576" s="368"/>
      <c r="F1576" s="368"/>
      <c r="G1576" s="368"/>
      <c r="H1576" s="368"/>
      <c r="I1576" s="368"/>
      <c r="J1576" s="368"/>
    </row>
    <row r="1577" spans="3:10" x14ac:dyDescent="0.2">
      <c r="C1577" s="368"/>
      <c r="D1577" s="368"/>
      <c r="F1577" s="368"/>
      <c r="G1577" s="368"/>
      <c r="H1577" s="368"/>
      <c r="I1577" s="368"/>
      <c r="J1577" s="368"/>
    </row>
    <row r="1578" spans="3:10" x14ac:dyDescent="0.2">
      <c r="C1578" s="368"/>
      <c r="D1578" s="368"/>
      <c r="F1578" s="368"/>
      <c r="G1578" s="368"/>
      <c r="H1578" s="368"/>
      <c r="I1578" s="368"/>
      <c r="J1578" s="368"/>
    </row>
    <row r="1579" spans="3:10" x14ac:dyDescent="0.2">
      <c r="C1579" s="368"/>
      <c r="D1579" s="368"/>
      <c r="F1579" s="368"/>
      <c r="G1579" s="368"/>
      <c r="H1579" s="368"/>
      <c r="I1579" s="368"/>
      <c r="J1579" s="368"/>
    </row>
    <row r="1580" spans="3:10" x14ac:dyDescent="0.2">
      <c r="C1580" s="368"/>
      <c r="D1580" s="368"/>
      <c r="F1580" s="368"/>
      <c r="G1580" s="368"/>
      <c r="H1580" s="368"/>
      <c r="I1580" s="368"/>
      <c r="J1580" s="368"/>
    </row>
    <row r="1581" spans="3:10" x14ac:dyDescent="0.2">
      <c r="C1581" s="368"/>
      <c r="D1581" s="368"/>
      <c r="F1581" s="368"/>
      <c r="G1581" s="368"/>
      <c r="H1581" s="368"/>
      <c r="I1581" s="368"/>
      <c r="J1581" s="368"/>
    </row>
    <row r="1582" spans="3:10" x14ac:dyDescent="0.2">
      <c r="C1582" s="368"/>
      <c r="D1582" s="368"/>
      <c r="F1582" s="368"/>
      <c r="G1582" s="368"/>
      <c r="H1582" s="368"/>
      <c r="I1582" s="368"/>
      <c r="J1582" s="368"/>
    </row>
    <row r="1583" spans="3:10" x14ac:dyDescent="0.2">
      <c r="C1583" s="368"/>
      <c r="D1583" s="368"/>
      <c r="F1583" s="368"/>
      <c r="G1583" s="368"/>
      <c r="H1583" s="368"/>
      <c r="I1583" s="368"/>
      <c r="J1583" s="368"/>
    </row>
    <row r="1584" spans="3:10" x14ac:dyDescent="0.2">
      <c r="C1584" s="368"/>
      <c r="D1584" s="368"/>
      <c r="F1584" s="368"/>
      <c r="G1584" s="368"/>
      <c r="H1584" s="368"/>
      <c r="I1584" s="368"/>
      <c r="J1584" s="368"/>
    </row>
    <row r="1585" spans="3:10" x14ac:dyDescent="0.2">
      <c r="C1585" s="368"/>
      <c r="D1585" s="368"/>
      <c r="F1585" s="368"/>
      <c r="G1585" s="368"/>
      <c r="H1585" s="368"/>
      <c r="I1585" s="368"/>
      <c r="J1585" s="368"/>
    </row>
    <row r="1586" spans="3:10" x14ac:dyDescent="0.2">
      <c r="C1586" s="368"/>
      <c r="D1586" s="368"/>
      <c r="F1586" s="368"/>
      <c r="G1586" s="368"/>
      <c r="H1586" s="368"/>
      <c r="I1586" s="368"/>
      <c r="J1586" s="368"/>
    </row>
    <row r="1587" spans="3:10" x14ac:dyDescent="0.2">
      <c r="C1587" s="368"/>
      <c r="D1587" s="368"/>
      <c r="F1587" s="368"/>
      <c r="G1587" s="368"/>
      <c r="H1587" s="368"/>
      <c r="I1587" s="368"/>
      <c r="J1587" s="368"/>
    </row>
    <row r="1588" spans="3:10" x14ac:dyDescent="0.2">
      <c r="C1588" s="368"/>
      <c r="D1588" s="368"/>
      <c r="F1588" s="368"/>
      <c r="G1588" s="368"/>
      <c r="H1588" s="368"/>
      <c r="I1588" s="368"/>
      <c r="J1588" s="368"/>
    </row>
    <row r="1589" spans="3:10" x14ac:dyDescent="0.2">
      <c r="C1589" s="368"/>
      <c r="D1589" s="368"/>
      <c r="F1589" s="368"/>
      <c r="G1589" s="368"/>
      <c r="H1589" s="368"/>
      <c r="I1589" s="368"/>
      <c r="J1589" s="368"/>
    </row>
    <row r="1590" spans="3:10" x14ac:dyDescent="0.2">
      <c r="C1590" s="368"/>
      <c r="D1590" s="368"/>
      <c r="F1590" s="368"/>
      <c r="G1590" s="368"/>
      <c r="H1590" s="368"/>
      <c r="I1590" s="368"/>
      <c r="J1590" s="368"/>
    </row>
    <row r="1591" spans="3:10" x14ac:dyDescent="0.2">
      <c r="C1591" s="368"/>
      <c r="D1591" s="368"/>
      <c r="F1591" s="368"/>
      <c r="G1591" s="368"/>
      <c r="H1591" s="368"/>
      <c r="I1591" s="368"/>
      <c r="J1591" s="368"/>
    </row>
    <row r="1592" spans="3:10" x14ac:dyDescent="0.2">
      <c r="C1592" s="368"/>
      <c r="D1592" s="368"/>
      <c r="F1592" s="368"/>
      <c r="G1592" s="368"/>
      <c r="H1592" s="368"/>
      <c r="I1592" s="368"/>
      <c r="J1592" s="368"/>
    </row>
    <row r="1593" spans="3:10" x14ac:dyDescent="0.2">
      <c r="C1593" s="368"/>
      <c r="D1593" s="368"/>
      <c r="F1593" s="368"/>
      <c r="G1593" s="368"/>
      <c r="H1593" s="368"/>
      <c r="I1593" s="368"/>
      <c r="J1593" s="368"/>
    </row>
    <row r="1594" spans="3:10" x14ac:dyDescent="0.2">
      <c r="C1594" s="368"/>
      <c r="D1594" s="368"/>
      <c r="F1594" s="368"/>
      <c r="G1594" s="368"/>
      <c r="H1594" s="368"/>
      <c r="I1594" s="368"/>
      <c r="J1594" s="368"/>
    </row>
    <row r="1595" spans="3:10" x14ac:dyDescent="0.2">
      <c r="C1595" s="368"/>
      <c r="D1595" s="368"/>
      <c r="F1595" s="368"/>
      <c r="G1595" s="368"/>
      <c r="H1595" s="368"/>
      <c r="I1595" s="368"/>
      <c r="J1595" s="368"/>
    </row>
    <row r="1596" spans="3:10" x14ac:dyDescent="0.2">
      <c r="C1596" s="368"/>
      <c r="D1596" s="368"/>
      <c r="F1596" s="368"/>
      <c r="G1596" s="368"/>
      <c r="H1596" s="368"/>
      <c r="I1596" s="368"/>
      <c r="J1596" s="368"/>
    </row>
    <row r="1597" spans="3:10" x14ac:dyDescent="0.2">
      <c r="C1597" s="368"/>
      <c r="D1597" s="368"/>
      <c r="F1597" s="368"/>
      <c r="G1597" s="368"/>
      <c r="H1597" s="368"/>
      <c r="I1597" s="368"/>
      <c r="J1597" s="368"/>
    </row>
    <row r="1598" spans="3:10" x14ac:dyDescent="0.2">
      <c r="C1598" s="368"/>
      <c r="D1598" s="368"/>
      <c r="F1598" s="368"/>
      <c r="G1598" s="368"/>
      <c r="H1598" s="368"/>
      <c r="I1598" s="368"/>
      <c r="J1598" s="368"/>
    </row>
    <row r="1599" spans="3:10" x14ac:dyDescent="0.2">
      <c r="C1599" s="368"/>
      <c r="D1599" s="368"/>
      <c r="F1599" s="368"/>
      <c r="G1599" s="368"/>
      <c r="H1599" s="368"/>
      <c r="I1599" s="368"/>
      <c r="J1599" s="368"/>
    </row>
    <row r="1600" spans="3:10" x14ac:dyDescent="0.2">
      <c r="C1600" s="368"/>
      <c r="D1600" s="368"/>
      <c r="F1600" s="368"/>
      <c r="G1600" s="368"/>
      <c r="H1600" s="368"/>
      <c r="I1600" s="368"/>
      <c r="J1600" s="368"/>
    </row>
    <row r="1601" spans="3:10" x14ac:dyDescent="0.2">
      <c r="C1601" s="368"/>
      <c r="D1601" s="368"/>
      <c r="F1601" s="368"/>
      <c r="G1601" s="368"/>
      <c r="H1601" s="368"/>
      <c r="I1601" s="368"/>
      <c r="J1601" s="368"/>
    </row>
    <row r="1602" spans="3:10" x14ac:dyDescent="0.2">
      <c r="C1602" s="368"/>
      <c r="D1602" s="368"/>
      <c r="F1602" s="368"/>
      <c r="G1602" s="368"/>
      <c r="H1602" s="368"/>
      <c r="I1602" s="368"/>
      <c r="J1602" s="368"/>
    </row>
    <row r="1603" spans="3:10" x14ac:dyDescent="0.2">
      <c r="C1603" s="368"/>
      <c r="D1603" s="368"/>
      <c r="F1603" s="368"/>
      <c r="G1603" s="368"/>
      <c r="H1603" s="368"/>
      <c r="I1603" s="368"/>
      <c r="J1603" s="368"/>
    </row>
    <row r="1604" spans="3:10" x14ac:dyDescent="0.2">
      <c r="C1604" s="368"/>
      <c r="D1604" s="368"/>
      <c r="F1604" s="368"/>
      <c r="G1604" s="368"/>
      <c r="H1604" s="368"/>
      <c r="I1604" s="368"/>
      <c r="J1604" s="368"/>
    </row>
    <row r="1605" spans="3:10" x14ac:dyDescent="0.2">
      <c r="C1605" s="368"/>
      <c r="D1605" s="368"/>
      <c r="F1605" s="368"/>
      <c r="G1605" s="368"/>
      <c r="H1605" s="368"/>
      <c r="I1605" s="368"/>
      <c r="J1605" s="368"/>
    </row>
    <row r="1606" spans="3:10" x14ac:dyDescent="0.2">
      <c r="C1606" s="368"/>
      <c r="D1606" s="368"/>
      <c r="F1606" s="368"/>
      <c r="G1606" s="368"/>
      <c r="H1606" s="368"/>
      <c r="I1606" s="368"/>
      <c r="J1606" s="368"/>
    </row>
    <row r="1607" spans="3:10" x14ac:dyDescent="0.2">
      <c r="C1607" s="368"/>
      <c r="D1607" s="368"/>
      <c r="F1607" s="368"/>
      <c r="G1607" s="368"/>
      <c r="H1607" s="368"/>
      <c r="I1607" s="368"/>
      <c r="J1607" s="368"/>
    </row>
    <row r="1608" spans="3:10" x14ac:dyDescent="0.2">
      <c r="C1608" s="368"/>
      <c r="D1608" s="368"/>
      <c r="F1608" s="368"/>
      <c r="G1608" s="368"/>
      <c r="H1608" s="368"/>
      <c r="I1608" s="368"/>
      <c r="J1608" s="368"/>
    </row>
    <row r="1609" spans="3:10" x14ac:dyDescent="0.2">
      <c r="C1609" s="368"/>
      <c r="D1609" s="368"/>
      <c r="F1609" s="368"/>
      <c r="G1609" s="368"/>
      <c r="H1609" s="368"/>
      <c r="I1609" s="368"/>
      <c r="J1609" s="368"/>
    </row>
    <row r="1610" spans="3:10" x14ac:dyDescent="0.2">
      <c r="C1610" s="368"/>
      <c r="D1610" s="368"/>
      <c r="F1610" s="368"/>
      <c r="G1610" s="368"/>
      <c r="H1610" s="368"/>
      <c r="I1610" s="368"/>
      <c r="J1610" s="368"/>
    </row>
    <row r="1611" spans="3:10" x14ac:dyDescent="0.2">
      <c r="C1611" s="368"/>
      <c r="D1611" s="368"/>
      <c r="F1611" s="368"/>
      <c r="G1611" s="368"/>
      <c r="H1611" s="368"/>
      <c r="I1611" s="368"/>
      <c r="J1611" s="368"/>
    </row>
    <row r="1612" spans="3:10" x14ac:dyDescent="0.2">
      <c r="C1612" s="368"/>
      <c r="D1612" s="368"/>
      <c r="F1612" s="368"/>
      <c r="G1612" s="368"/>
      <c r="H1612" s="368"/>
      <c r="I1612" s="368"/>
      <c r="J1612" s="368"/>
    </row>
    <row r="1613" spans="3:10" x14ac:dyDescent="0.2">
      <c r="C1613" s="368"/>
      <c r="D1613" s="368"/>
      <c r="F1613" s="368"/>
      <c r="G1613" s="368"/>
      <c r="H1613" s="368"/>
      <c r="I1613" s="368"/>
      <c r="J1613" s="368"/>
    </row>
    <row r="1614" spans="3:10" x14ac:dyDescent="0.2">
      <c r="C1614" s="368"/>
      <c r="D1614" s="368"/>
      <c r="F1614" s="368"/>
      <c r="G1614" s="368"/>
      <c r="H1614" s="368"/>
      <c r="I1614" s="368"/>
      <c r="J1614" s="368"/>
    </row>
    <row r="1615" spans="3:10" x14ac:dyDescent="0.2">
      <c r="C1615" s="368"/>
      <c r="D1615" s="368"/>
      <c r="F1615" s="368"/>
      <c r="G1615" s="368"/>
      <c r="H1615" s="368"/>
      <c r="I1615" s="368"/>
      <c r="J1615" s="368"/>
    </row>
    <row r="1616" spans="3:10" x14ac:dyDescent="0.2">
      <c r="C1616" s="368"/>
      <c r="D1616" s="368"/>
      <c r="F1616" s="368"/>
      <c r="G1616" s="368"/>
      <c r="H1616" s="368"/>
      <c r="I1616" s="368"/>
      <c r="J1616" s="368"/>
    </row>
    <row r="1617" spans="3:10" x14ac:dyDescent="0.2">
      <c r="C1617" s="368"/>
      <c r="D1617" s="368"/>
      <c r="F1617" s="368"/>
      <c r="G1617" s="368"/>
      <c r="H1617" s="368"/>
      <c r="I1617" s="368"/>
      <c r="J1617" s="368"/>
    </row>
    <row r="1618" spans="3:10" x14ac:dyDescent="0.2">
      <c r="C1618" s="368"/>
      <c r="D1618" s="368"/>
      <c r="F1618" s="368"/>
      <c r="G1618" s="368"/>
      <c r="H1618" s="368"/>
      <c r="I1618" s="368"/>
      <c r="J1618" s="368"/>
    </row>
    <row r="1619" spans="3:10" x14ac:dyDescent="0.2">
      <c r="C1619" s="368"/>
      <c r="D1619" s="368"/>
      <c r="F1619" s="368"/>
      <c r="G1619" s="368"/>
      <c r="H1619" s="368"/>
      <c r="I1619" s="368"/>
      <c r="J1619" s="368"/>
    </row>
    <row r="1620" spans="3:10" x14ac:dyDescent="0.2">
      <c r="C1620" s="368"/>
      <c r="D1620" s="368"/>
      <c r="F1620" s="368"/>
      <c r="G1620" s="368"/>
      <c r="H1620" s="368"/>
      <c r="I1620" s="368"/>
      <c r="J1620" s="368"/>
    </row>
    <row r="1621" spans="3:10" x14ac:dyDescent="0.2">
      <c r="C1621" s="368"/>
      <c r="D1621" s="368"/>
      <c r="F1621" s="368"/>
      <c r="G1621" s="368"/>
      <c r="H1621" s="368"/>
      <c r="I1621" s="368"/>
      <c r="J1621" s="368"/>
    </row>
    <row r="1622" spans="3:10" x14ac:dyDescent="0.2">
      <c r="C1622" s="368"/>
      <c r="D1622" s="368"/>
      <c r="F1622" s="368"/>
      <c r="G1622" s="368"/>
      <c r="H1622" s="368"/>
      <c r="I1622" s="368"/>
      <c r="J1622" s="368"/>
    </row>
    <row r="1623" spans="3:10" x14ac:dyDescent="0.2">
      <c r="C1623" s="368"/>
      <c r="D1623" s="368"/>
      <c r="F1623" s="368"/>
      <c r="G1623" s="368"/>
      <c r="H1623" s="368"/>
      <c r="I1623" s="368"/>
      <c r="J1623" s="368"/>
    </row>
    <row r="1624" spans="3:10" x14ac:dyDescent="0.2">
      <c r="C1624" s="368"/>
      <c r="D1624" s="368"/>
      <c r="F1624" s="368"/>
      <c r="G1624" s="368"/>
      <c r="H1624" s="368"/>
      <c r="I1624" s="368"/>
      <c r="J1624" s="368"/>
    </row>
    <row r="1625" spans="3:10" x14ac:dyDescent="0.2">
      <c r="C1625" s="368"/>
      <c r="D1625" s="368"/>
      <c r="F1625" s="368"/>
      <c r="G1625" s="368"/>
      <c r="H1625" s="368"/>
      <c r="I1625" s="368"/>
      <c r="J1625" s="368"/>
    </row>
    <row r="1626" spans="3:10" x14ac:dyDescent="0.2">
      <c r="C1626" s="368"/>
      <c r="D1626" s="368"/>
      <c r="F1626" s="368"/>
      <c r="G1626" s="368"/>
      <c r="H1626" s="368"/>
      <c r="I1626" s="368"/>
      <c r="J1626" s="368"/>
    </row>
    <row r="1627" spans="3:10" x14ac:dyDescent="0.2">
      <c r="C1627" s="368"/>
      <c r="D1627" s="368"/>
      <c r="F1627" s="368"/>
      <c r="G1627" s="368"/>
      <c r="H1627" s="368"/>
      <c r="I1627" s="368"/>
      <c r="J1627" s="368"/>
    </row>
    <row r="1628" spans="3:10" x14ac:dyDescent="0.2">
      <c r="C1628" s="368"/>
      <c r="D1628" s="368"/>
      <c r="F1628" s="368"/>
      <c r="G1628" s="368"/>
      <c r="H1628" s="368"/>
      <c r="I1628" s="368"/>
      <c r="J1628" s="368"/>
    </row>
    <row r="1629" spans="3:10" x14ac:dyDescent="0.2">
      <c r="C1629" s="368"/>
      <c r="D1629" s="368"/>
      <c r="F1629" s="368"/>
      <c r="G1629" s="368"/>
      <c r="H1629" s="368"/>
      <c r="I1629" s="368"/>
      <c r="J1629" s="368"/>
    </row>
    <row r="1630" spans="3:10" x14ac:dyDescent="0.2">
      <c r="C1630" s="368"/>
      <c r="D1630" s="368"/>
      <c r="F1630" s="368"/>
      <c r="G1630" s="368"/>
      <c r="H1630" s="368"/>
      <c r="I1630" s="368"/>
      <c r="J1630" s="368"/>
    </row>
    <row r="1631" spans="3:10" x14ac:dyDescent="0.2">
      <c r="C1631" s="368"/>
      <c r="D1631" s="368"/>
      <c r="F1631" s="368"/>
      <c r="G1631" s="368"/>
      <c r="H1631" s="368"/>
      <c r="I1631" s="368"/>
      <c r="J1631" s="368"/>
    </row>
    <row r="1632" spans="3:10" x14ac:dyDescent="0.2">
      <c r="C1632" s="368"/>
      <c r="D1632" s="368"/>
      <c r="F1632" s="368"/>
      <c r="G1632" s="368"/>
      <c r="H1632" s="368"/>
      <c r="I1632" s="368"/>
      <c r="J1632" s="368"/>
    </row>
    <row r="1633" spans="3:10" x14ac:dyDescent="0.2">
      <c r="C1633" s="368"/>
      <c r="D1633" s="368"/>
      <c r="F1633" s="368"/>
      <c r="G1633" s="368"/>
      <c r="H1633" s="368"/>
      <c r="I1633" s="368"/>
      <c r="J1633" s="368"/>
    </row>
    <row r="1634" spans="3:10" x14ac:dyDescent="0.2">
      <c r="C1634" s="368"/>
      <c r="D1634" s="368"/>
      <c r="F1634" s="368"/>
      <c r="G1634" s="368"/>
      <c r="H1634" s="368"/>
      <c r="I1634" s="368"/>
      <c r="J1634" s="368"/>
    </row>
    <row r="1635" spans="3:10" x14ac:dyDescent="0.2">
      <c r="C1635" s="368"/>
      <c r="D1635" s="368"/>
      <c r="F1635" s="368"/>
      <c r="G1635" s="368"/>
      <c r="H1635" s="368"/>
      <c r="I1635" s="368"/>
      <c r="J1635" s="368"/>
    </row>
    <row r="1636" spans="3:10" x14ac:dyDescent="0.2">
      <c r="C1636" s="368"/>
      <c r="D1636" s="368"/>
      <c r="F1636" s="368"/>
      <c r="G1636" s="368"/>
      <c r="H1636" s="368"/>
      <c r="I1636" s="368"/>
      <c r="J1636" s="368"/>
    </row>
    <row r="1637" spans="3:10" x14ac:dyDescent="0.2">
      <c r="C1637" s="368"/>
      <c r="D1637" s="368"/>
      <c r="F1637" s="368"/>
      <c r="G1637" s="368"/>
      <c r="H1637" s="368"/>
      <c r="I1637" s="368"/>
      <c r="J1637" s="368"/>
    </row>
    <row r="1638" spans="3:10" x14ac:dyDescent="0.2">
      <c r="C1638" s="368"/>
      <c r="D1638" s="368"/>
      <c r="F1638" s="368"/>
      <c r="G1638" s="368"/>
      <c r="H1638" s="368"/>
      <c r="I1638" s="368"/>
      <c r="J1638" s="368"/>
    </row>
    <row r="1639" spans="3:10" x14ac:dyDescent="0.2">
      <c r="C1639" s="368"/>
      <c r="D1639" s="368"/>
      <c r="F1639" s="368"/>
      <c r="G1639" s="368"/>
      <c r="H1639" s="368"/>
      <c r="I1639" s="368"/>
      <c r="J1639" s="368"/>
    </row>
    <row r="1640" spans="3:10" x14ac:dyDescent="0.2">
      <c r="C1640" s="368"/>
      <c r="D1640" s="368"/>
      <c r="F1640" s="368"/>
      <c r="G1640" s="368"/>
      <c r="H1640" s="368"/>
      <c r="I1640" s="368"/>
      <c r="J1640" s="368"/>
    </row>
    <row r="1641" spans="3:10" x14ac:dyDescent="0.2">
      <c r="C1641" s="368"/>
      <c r="D1641" s="368"/>
      <c r="F1641" s="368"/>
      <c r="G1641" s="368"/>
      <c r="H1641" s="368"/>
      <c r="I1641" s="368"/>
      <c r="J1641" s="368"/>
    </row>
    <row r="1642" spans="3:10" x14ac:dyDescent="0.2">
      <c r="C1642" s="368"/>
      <c r="D1642" s="368"/>
      <c r="F1642" s="368"/>
      <c r="G1642" s="368"/>
      <c r="H1642" s="368"/>
      <c r="I1642" s="368"/>
      <c r="J1642" s="368"/>
    </row>
    <row r="1643" spans="3:10" x14ac:dyDescent="0.2">
      <c r="C1643" s="368"/>
      <c r="D1643" s="368"/>
      <c r="F1643" s="368"/>
      <c r="G1643" s="368"/>
      <c r="H1643" s="368"/>
      <c r="I1643" s="368"/>
      <c r="J1643" s="368"/>
    </row>
    <row r="1644" spans="3:10" x14ac:dyDescent="0.2">
      <c r="C1644" s="368"/>
      <c r="D1644" s="368"/>
      <c r="F1644" s="368"/>
      <c r="G1644" s="368"/>
      <c r="H1644" s="368"/>
      <c r="I1644" s="368"/>
      <c r="J1644" s="368"/>
    </row>
    <row r="1645" spans="3:10" x14ac:dyDescent="0.2">
      <c r="C1645" s="368"/>
      <c r="D1645" s="368"/>
      <c r="F1645" s="368"/>
      <c r="G1645" s="368"/>
      <c r="H1645" s="368"/>
      <c r="I1645" s="368"/>
      <c r="J1645" s="368"/>
    </row>
    <row r="1646" spans="3:10" x14ac:dyDescent="0.2">
      <c r="C1646" s="368"/>
      <c r="D1646" s="368"/>
      <c r="F1646" s="368"/>
      <c r="G1646" s="368"/>
      <c r="H1646" s="368"/>
      <c r="I1646" s="368"/>
      <c r="J1646" s="368"/>
    </row>
    <row r="1647" spans="3:10" x14ac:dyDescent="0.2">
      <c r="C1647" s="368"/>
      <c r="D1647" s="368"/>
      <c r="F1647" s="368"/>
      <c r="G1647" s="368"/>
      <c r="H1647" s="368"/>
      <c r="I1647" s="368"/>
      <c r="J1647" s="368"/>
    </row>
    <row r="1648" spans="3:10" x14ac:dyDescent="0.2">
      <c r="C1648" s="368"/>
      <c r="D1648" s="368"/>
      <c r="F1648" s="368"/>
      <c r="G1648" s="368"/>
      <c r="H1648" s="368"/>
      <c r="I1648" s="368"/>
      <c r="J1648" s="368"/>
    </row>
    <row r="1649" spans="3:10" x14ac:dyDescent="0.2">
      <c r="C1649" s="368"/>
      <c r="D1649" s="368"/>
      <c r="F1649" s="368"/>
      <c r="G1649" s="368"/>
      <c r="H1649" s="368"/>
      <c r="I1649" s="368"/>
      <c r="J1649" s="368"/>
    </row>
    <row r="1650" spans="3:10" x14ac:dyDescent="0.2">
      <c r="C1650" s="368"/>
      <c r="D1650" s="368"/>
      <c r="F1650" s="368"/>
      <c r="G1650" s="368"/>
      <c r="H1650" s="368"/>
      <c r="I1650" s="368"/>
      <c r="J1650" s="368"/>
    </row>
    <row r="1651" spans="3:10" x14ac:dyDescent="0.2">
      <c r="C1651" s="368"/>
      <c r="D1651" s="368"/>
      <c r="F1651" s="368"/>
      <c r="G1651" s="368"/>
      <c r="H1651" s="368"/>
      <c r="I1651" s="368"/>
      <c r="J1651" s="368"/>
    </row>
    <row r="1652" spans="3:10" x14ac:dyDescent="0.2">
      <c r="C1652" s="368"/>
      <c r="D1652" s="368"/>
      <c r="F1652" s="368"/>
      <c r="G1652" s="368"/>
      <c r="H1652" s="368"/>
      <c r="I1652" s="368"/>
      <c r="J1652" s="368"/>
    </row>
    <row r="1653" spans="3:10" x14ac:dyDescent="0.2">
      <c r="C1653" s="368"/>
      <c r="D1653" s="368"/>
      <c r="F1653" s="368"/>
      <c r="G1653" s="368"/>
      <c r="H1653" s="368"/>
      <c r="I1653" s="368"/>
      <c r="J1653" s="368"/>
    </row>
    <row r="1654" spans="3:10" x14ac:dyDescent="0.2">
      <c r="C1654" s="368"/>
      <c r="D1654" s="368"/>
      <c r="F1654" s="368"/>
      <c r="G1654" s="368"/>
      <c r="H1654" s="368"/>
      <c r="I1654" s="368"/>
      <c r="J1654" s="368"/>
    </row>
    <row r="1655" spans="3:10" x14ac:dyDescent="0.2">
      <c r="C1655" s="368"/>
      <c r="D1655" s="368"/>
      <c r="F1655" s="368"/>
      <c r="G1655" s="368"/>
      <c r="H1655" s="368"/>
      <c r="I1655" s="368"/>
      <c r="J1655" s="368"/>
    </row>
    <row r="1656" spans="3:10" x14ac:dyDescent="0.2">
      <c r="C1656" s="368"/>
      <c r="D1656" s="368"/>
      <c r="F1656" s="368"/>
      <c r="G1656" s="368"/>
      <c r="H1656" s="368"/>
      <c r="I1656" s="368"/>
      <c r="J1656" s="368"/>
    </row>
    <row r="1657" spans="3:10" x14ac:dyDescent="0.2">
      <c r="C1657" s="368"/>
      <c r="D1657" s="368"/>
      <c r="F1657" s="368"/>
      <c r="G1657" s="368"/>
      <c r="H1657" s="368"/>
      <c r="I1657" s="368"/>
      <c r="J1657" s="368"/>
    </row>
    <row r="1658" spans="3:10" x14ac:dyDescent="0.2">
      <c r="C1658" s="368"/>
      <c r="D1658" s="368"/>
      <c r="F1658" s="368"/>
      <c r="G1658" s="368"/>
      <c r="H1658" s="368"/>
      <c r="I1658" s="368"/>
      <c r="J1658" s="368"/>
    </row>
    <row r="1659" spans="3:10" x14ac:dyDescent="0.2">
      <c r="C1659" s="368"/>
      <c r="D1659" s="368"/>
      <c r="F1659" s="368"/>
      <c r="G1659" s="368"/>
      <c r="H1659" s="368"/>
      <c r="I1659" s="368"/>
      <c r="J1659" s="368"/>
    </row>
    <row r="1660" spans="3:10" x14ac:dyDescent="0.2">
      <c r="C1660" s="368"/>
      <c r="D1660" s="368"/>
      <c r="F1660" s="368"/>
      <c r="G1660" s="368"/>
      <c r="H1660" s="368"/>
      <c r="I1660" s="368"/>
      <c r="J1660" s="368"/>
    </row>
    <row r="1661" spans="3:10" x14ac:dyDescent="0.2">
      <c r="C1661" s="368"/>
      <c r="D1661" s="368"/>
      <c r="F1661" s="368"/>
      <c r="G1661" s="368"/>
      <c r="H1661" s="368"/>
      <c r="I1661" s="368"/>
      <c r="J1661" s="368"/>
    </row>
    <row r="1662" spans="3:10" x14ac:dyDescent="0.2">
      <c r="C1662" s="368"/>
      <c r="D1662" s="368"/>
      <c r="F1662" s="368"/>
      <c r="G1662" s="368"/>
      <c r="H1662" s="368"/>
      <c r="I1662" s="368"/>
      <c r="J1662" s="368"/>
    </row>
    <row r="1663" spans="3:10" x14ac:dyDescent="0.2">
      <c r="C1663" s="368"/>
      <c r="D1663" s="368"/>
      <c r="F1663" s="368"/>
      <c r="G1663" s="368"/>
      <c r="H1663" s="368"/>
      <c r="I1663" s="368"/>
      <c r="J1663" s="368"/>
    </row>
    <row r="1664" spans="3:10" x14ac:dyDescent="0.2">
      <c r="C1664" s="368"/>
      <c r="D1664" s="368"/>
      <c r="F1664" s="368"/>
      <c r="G1664" s="368"/>
      <c r="H1664" s="368"/>
      <c r="I1664" s="368"/>
      <c r="J1664" s="368"/>
    </row>
    <row r="1665" spans="3:10" x14ac:dyDescent="0.2">
      <c r="C1665" s="368"/>
      <c r="D1665" s="368"/>
      <c r="F1665" s="368"/>
      <c r="G1665" s="368"/>
      <c r="H1665" s="368"/>
      <c r="I1665" s="368"/>
      <c r="J1665" s="368"/>
    </row>
    <row r="1666" spans="3:10" x14ac:dyDescent="0.2">
      <c r="C1666" s="368"/>
      <c r="D1666" s="368"/>
      <c r="F1666" s="368"/>
      <c r="G1666" s="368"/>
      <c r="H1666" s="368"/>
      <c r="I1666" s="368"/>
      <c r="J1666" s="368"/>
    </row>
    <row r="1667" spans="3:10" x14ac:dyDescent="0.2">
      <c r="C1667" s="368"/>
      <c r="D1667" s="368"/>
      <c r="F1667" s="368"/>
      <c r="G1667" s="368"/>
      <c r="H1667" s="368"/>
      <c r="I1667" s="368"/>
      <c r="J1667" s="368"/>
    </row>
    <row r="1668" spans="3:10" x14ac:dyDescent="0.2">
      <c r="C1668" s="368"/>
      <c r="D1668" s="368"/>
      <c r="F1668" s="368"/>
      <c r="G1668" s="368"/>
      <c r="H1668" s="368"/>
      <c r="I1668" s="368"/>
      <c r="J1668" s="368"/>
    </row>
    <row r="1669" spans="3:10" x14ac:dyDescent="0.2">
      <c r="C1669" s="368"/>
      <c r="D1669" s="368"/>
      <c r="F1669" s="368"/>
      <c r="G1669" s="368"/>
      <c r="H1669" s="368"/>
      <c r="I1669" s="368"/>
      <c r="J1669" s="368"/>
    </row>
    <row r="1670" spans="3:10" x14ac:dyDescent="0.2">
      <c r="C1670" s="368"/>
      <c r="D1670" s="368"/>
      <c r="F1670" s="368"/>
      <c r="G1670" s="368"/>
      <c r="H1670" s="368"/>
      <c r="I1670" s="368"/>
      <c r="J1670" s="368"/>
    </row>
    <row r="1671" spans="3:10" x14ac:dyDescent="0.2">
      <c r="C1671" s="368"/>
      <c r="D1671" s="368"/>
      <c r="F1671" s="368"/>
      <c r="G1671" s="368"/>
      <c r="H1671" s="368"/>
      <c r="I1671" s="368"/>
      <c r="J1671" s="368"/>
    </row>
    <row r="1672" spans="3:10" x14ac:dyDescent="0.2">
      <c r="C1672" s="368"/>
      <c r="D1672" s="368"/>
      <c r="F1672" s="368"/>
      <c r="G1672" s="368"/>
      <c r="H1672" s="368"/>
      <c r="I1672" s="368"/>
      <c r="J1672" s="368"/>
    </row>
    <row r="1673" spans="3:10" x14ac:dyDescent="0.2">
      <c r="C1673" s="368"/>
      <c r="D1673" s="368"/>
      <c r="F1673" s="368"/>
      <c r="G1673" s="368"/>
      <c r="H1673" s="368"/>
      <c r="I1673" s="368"/>
      <c r="J1673" s="368"/>
    </row>
    <row r="1674" spans="3:10" x14ac:dyDescent="0.2">
      <c r="C1674" s="368"/>
      <c r="D1674" s="368"/>
      <c r="F1674" s="368"/>
      <c r="G1674" s="368"/>
      <c r="H1674" s="368"/>
      <c r="I1674" s="368"/>
      <c r="J1674" s="368"/>
    </row>
    <row r="1675" spans="3:10" x14ac:dyDescent="0.2">
      <c r="C1675" s="368"/>
      <c r="D1675" s="368"/>
      <c r="F1675" s="368"/>
      <c r="G1675" s="368"/>
      <c r="H1675" s="368"/>
      <c r="I1675" s="368"/>
      <c r="J1675" s="368"/>
    </row>
    <row r="1676" spans="3:10" x14ac:dyDescent="0.2">
      <c r="C1676" s="368"/>
      <c r="D1676" s="368"/>
      <c r="F1676" s="368"/>
      <c r="G1676" s="368"/>
      <c r="H1676" s="368"/>
      <c r="I1676" s="368"/>
      <c r="J1676" s="368"/>
    </row>
    <row r="1677" spans="3:10" x14ac:dyDescent="0.2">
      <c r="C1677" s="368"/>
      <c r="D1677" s="368"/>
      <c r="F1677" s="368"/>
      <c r="G1677" s="368"/>
      <c r="H1677" s="368"/>
      <c r="I1677" s="368"/>
      <c r="J1677" s="368"/>
    </row>
    <row r="1678" spans="3:10" x14ac:dyDescent="0.2">
      <c r="C1678" s="368"/>
      <c r="D1678" s="368"/>
      <c r="F1678" s="368"/>
      <c r="G1678" s="368"/>
      <c r="H1678" s="368"/>
      <c r="I1678" s="368"/>
      <c r="J1678" s="368"/>
    </row>
    <row r="1679" spans="3:10" x14ac:dyDescent="0.2">
      <c r="C1679" s="368"/>
      <c r="D1679" s="368"/>
      <c r="F1679" s="368"/>
      <c r="G1679" s="368"/>
      <c r="H1679" s="368"/>
      <c r="I1679" s="368"/>
      <c r="J1679" s="368"/>
    </row>
    <row r="1680" spans="3:10" x14ac:dyDescent="0.2">
      <c r="C1680" s="368"/>
      <c r="D1680" s="368"/>
      <c r="F1680" s="368"/>
      <c r="G1680" s="368"/>
      <c r="H1680" s="368"/>
      <c r="I1680" s="368"/>
      <c r="J1680" s="368"/>
    </row>
    <row r="1681" spans="3:10" x14ac:dyDescent="0.2">
      <c r="C1681" s="368"/>
      <c r="D1681" s="368"/>
      <c r="F1681" s="368"/>
      <c r="G1681" s="368"/>
      <c r="H1681" s="368"/>
      <c r="I1681" s="368"/>
      <c r="J1681" s="368"/>
    </row>
    <row r="1682" spans="3:10" x14ac:dyDescent="0.2">
      <c r="C1682" s="368"/>
      <c r="D1682" s="368"/>
      <c r="F1682" s="368"/>
      <c r="G1682" s="368"/>
      <c r="H1682" s="368"/>
      <c r="I1682" s="368"/>
      <c r="J1682" s="368"/>
    </row>
    <row r="1683" spans="3:10" x14ac:dyDescent="0.2">
      <c r="C1683" s="368"/>
      <c r="D1683" s="368"/>
      <c r="F1683" s="368"/>
      <c r="G1683" s="368"/>
      <c r="H1683" s="368"/>
      <c r="I1683" s="368"/>
      <c r="J1683" s="368"/>
    </row>
    <row r="1684" spans="3:10" x14ac:dyDescent="0.2">
      <c r="C1684" s="368"/>
      <c r="D1684" s="368"/>
      <c r="F1684" s="368"/>
      <c r="G1684" s="368"/>
      <c r="H1684" s="368"/>
      <c r="I1684" s="368"/>
      <c r="J1684" s="368"/>
    </row>
    <row r="1685" spans="3:10" x14ac:dyDescent="0.2">
      <c r="C1685" s="368"/>
      <c r="D1685" s="368"/>
      <c r="F1685" s="368"/>
      <c r="G1685" s="368"/>
      <c r="H1685" s="368"/>
      <c r="I1685" s="368"/>
      <c r="J1685" s="368"/>
    </row>
    <row r="1686" spans="3:10" x14ac:dyDescent="0.2">
      <c r="C1686" s="368"/>
      <c r="D1686" s="368"/>
      <c r="F1686" s="368"/>
      <c r="G1686" s="368"/>
      <c r="H1686" s="368"/>
      <c r="I1686" s="368"/>
      <c r="J1686" s="368"/>
    </row>
    <row r="1687" spans="3:10" x14ac:dyDescent="0.2">
      <c r="C1687" s="368"/>
      <c r="D1687" s="368"/>
      <c r="F1687" s="368"/>
      <c r="G1687" s="368"/>
      <c r="H1687" s="368"/>
      <c r="I1687" s="368"/>
      <c r="J1687" s="368"/>
    </row>
    <row r="1688" spans="3:10" x14ac:dyDescent="0.2">
      <c r="C1688" s="368"/>
      <c r="D1688" s="368"/>
      <c r="F1688" s="368"/>
      <c r="G1688" s="368"/>
      <c r="H1688" s="368"/>
      <c r="I1688" s="368"/>
      <c r="J1688" s="368"/>
    </row>
    <row r="1689" spans="3:10" x14ac:dyDescent="0.2">
      <c r="C1689" s="368"/>
      <c r="D1689" s="368"/>
      <c r="F1689" s="368"/>
      <c r="G1689" s="368"/>
      <c r="H1689" s="368"/>
      <c r="I1689" s="368"/>
      <c r="J1689" s="368"/>
    </row>
    <row r="1690" spans="3:10" x14ac:dyDescent="0.2">
      <c r="C1690" s="368"/>
      <c r="D1690" s="368"/>
      <c r="F1690" s="368"/>
      <c r="G1690" s="368"/>
      <c r="H1690" s="368"/>
      <c r="I1690" s="368"/>
      <c r="J1690" s="368"/>
    </row>
    <row r="1691" spans="3:10" x14ac:dyDescent="0.2">
      <c r="C1691" s="368"/>
      <c r="D1691" s="368"/>
      <c r="F1691" s="368"/>
      <c r="G1691" s="368"/>
      <c r="H1691" s="368"/>
      <c r="I1691" s="368"/>
      <c r="J1691" s="368"/>
    </row>
    <row r="1692" spans="3:10" x14ac:dyDescent="0.2">
      <c r="C1692" s="368"/>
      <c r="D1692" s="368"/>
      <c r="F1692" s="368"/>
      <c r="G1692" s="368"/>
      <c r="H1692" s="368"/>
      <c r="I1692" s="368"/>
      <c r="J1692" s="368"/>
    </row>
    <row r="1693" spans="3:10" x14ac:dyDescent="0.2">
      <c r="C1693" s="368"/>
      <c r="D1693" s="368"/>
      <c r="F1693" s="368"/>
      <c r="G1693" s="368"/>
      <c r="H1693" s="368"/>
      <c r="I1693" s="368"/>
      <c r="J1693" s="368"/>
    </row>
    <row r="1694" spans="3:10" x14ac:dyDescent="0.2">
      <c r="C1694" s="368"/>
      <c r="D1694" s="368"/>
      <c r="F1694" s="368"/>
      <c r="G1694" s="368"/>
      <c r="H1694" s="368"/>
      <c r="I1694" s="368"/>
      <c r="J1694" s="368"/>
    </row>
    <row r="1695" spans="3:10" x14ac:dyDescent="0.2">
      <c r="C1695" s="368"/>
      <c r="D1695" s="368"/>
      <c r="F1695" s="368"/>
      <c r="G1695" s="368"/>
      <c r="H1695" s="368"/>
      <c r="I1695" s="368"/>
      <c r="J1695" s="368"/>
    </row>
    <row r="1696" spans="3:10" x14ac:dyDescent="0.2">
      <c r="C1696" s="368"/>
      <c r="D1696" s="368"/>
      <c r="F1696" s="368"/>
      <c r="G1696" s="368"/>
      <c r="H1696" s="368"/>
      <c r="I1696" s="368"/>
      <c r="J1696" s="368"/>
    </row>
    <row r="1697" spans="3:10" x14ac:dyDescent="0.2">
      <c r="C1697" s="368"/>
      <c r="D1697" s="368"/>
      <c r="F1697" s="368"/>
      <c r="G1697" s="368"/>
      <c r="H1697" s="368"/>
      <c r="I1697" s="368"/>
      <c r="J1697" s="368"/>
    </row>
    <row r="1698" spans="3:10" x14ac:dyDescent="0.2">
      <c r="C1698" s="368"/>
      <c r="D1698" s="368"/>
      <c r="F1698" s="368"/>
      <c r="G1698" s="368"/>
      <c r="H1698" s="368"/>
      <c r="I1698" s="368"/>
      <c r="J1698" s="368"/>
    </row>
    <row r="1699" spans="3:10" x14ac:dyDescent="0.2">
      <c r="C1699" s="368"/>
      <c r="D1699" s="368"/>
      <c r="F1699" s="368"/>
      <c r="G1699" s="368"/>
      <c r="H1699" s="368"/>
      <c r="I1699" s="368"/>
      <c r="J1699" s="368"/>
    </row>
    <row r="1700" spans="3:10" x14ac:dyDescent="0.2">
      <c r="C1700" s="368"/>
      <c r="D1700" s="368"/>
      <c r="F1700" s="368"/>
      <c r="G1700" s="368"/>
      <c r="H1700" s="368"/>
      <c r="I1700" s="368"/>
      <c r="J1700" s="368"/>
    </row>
    <row r="1701" spans="3:10" x14ac:dyDescent="0.2">
      <c r="C1701" s="368"/>
      <c r="D1701" s="368"/>
      <c r="F1701" s="368"/>
      <c r="G1701" s="368"/>
      <c r="H1701" s="368"/>
      <c r="I1701" s="368"/>
      <c r="J1701" s="368"/>
    </row>
    <row r="1702" spans="3:10" x14ac:dyDescent="0.2">
      <c r="C1702" s="368"/>
      <c r="D1702" s="368"/>
      <c r="F1702" s="368"/>
      <c r="G1702" s="368"/>
      <c r="H1702" s="368"/>
      <c r="I1702" s="368"/>
      <c r="J1702" s="368"/>
    </row>
    <row r="1703" spans="3:10" x14ac:dyDescent="0.2">
      <c r="C1703" s="368"/>
      <c r="D1703" s="368"/>
      <c r="F1703" s="368"/>
      <c r="G1703" s="368"/>
      <c r="H1703" s="368"/>
      <c r="I1703" s="368"/>
      <c r="J1703" s="368"/>
    </row>
    <row r="1704" spans="3:10" x14ac:dyDescent="0.2">
      <c r="C1704" s="368"/>
      <c r="D1704" s="368"/>
      <c r="F1704" s="368"/>
      <c r="G1704" s="368"/>
      <c r="H1704" s="368"/>
      <c r="I1704" s="368"/>
      <c r="J1704" s="368"/>
    </row>
    <row r="1705" spans="3:10" x14ac:dyDescent="0.2">
      <c r="C1705" s="368"/>
      <c r="D1705" s="368"/>
      <c r="F1705" s="368"/>
      <c r="G1705" s="368"/>
      <c r="H1705" s="368"/>
      <c r="I1705" s="368"/>
      <c r="J1705" s="368"/>
    </row>
    <row r="1706" spans="3:10" x14ac:dyDescent="0.2">
      <c r="C1706" s="368"/>
      <c r="D1706" s="368"/>
      <c r="F1706" s="368"/>
      <c r="G1706" s="368"/>
      <c r="H1706" s="368"/>
      <c r="I1706" s="368"/>
      <c r="J1706" s="368"/>
    </row>
    <row r="1707" spans="3:10" x14ac:dyDescent="0.2">
      <c r="C1707" s="368"/>
      <c r="D1707" s="368"/>
      <c r="F1707" s="368"/>
      <c r="G1707" s="368"/>
      <c r="H1707" s="368"/>
      <c r="I1707" s="368"/>
      <c r="J1707" s="368"/>
    </row>
    <row r="1708" spans="3:10" x14ac:dyDescent="0.2">
      <c r="C1708" s="368"/>
      <c r="D1708" s="368"/>
      <c r="F1708" s="368"/>
      <c r="G1708" s="368"/>
      <c r="H1708" s="368"/>
      <c r="I1708" s="368"/>
      <c r="J1708" s="368"/>
    </row>
    <row r="1709" spans="3:10" x14ac:dyDescent="0.2">
      <c r="C1709" s="368"/>
      <c r="D1709" s="368"/>
      <c r="F1709" s="368"/>
      <c r="G1709" s="368"/>
      <c r="H1709" s="368"/>
      <c r="I1709" s="368"/>
      <c r="J1709" s="368"/>
    </row>
    <row r="1710" spans="3:10" x14ac:dyDescent="0.2">
      <c r="C1710" s="368"/>
      <c r="D1710" s="368"/>
      <c r="F1710" s="368"/>
      <c r="G1710" s="368"/>
      <c r="H1710" s="368"/>
      <c r="I1710" s="368"/>
      <c r="J1710" s="368"/>
    </row>
    <row r="1711" spans="3:10" x14ac:dyDescent="0.2">
      <c r="C1711" s="368"/>
      <c r="D1711" s="368"/>
      <c r="F1711" s="368"/>
      <c r="G1711" s="368"/>
      <c r="H1711" s="368"/>
      <c r="I1711" s="368"/>
      <c r="J1711" s="368"/>
    </row>
    <row r="1712" spans="3:10" x14ac:dyDescent="0.2">
      <c r="C1712" s="368"/>
      <c r="D1712" s="368"/>
      <c r="F1712" s="368"/>
      <c r="G1712" s="368"/>
      <c r="H1712" s="368"/>
      <c r="I1712" s="368"/>
      <c r="J1712" s="368"/>
    </row>
    <row r="1713" spans="3:10" x14ac:dyDescent="0.2">
      <c r="C1713" s="368"/>
      <c r="D1713" s="368"/>
      <c r="F1713" s="368"/>
      <c r="G1713" s="368"/>
      <c r="H1713" s="368"/>
      <c r="I1713" s="368"/>
      <c r="J1713" s="368"/>
    </row>
    <row r="1714" spans="3:10" x14ac:dyDescent="0.2">
      <c r="C1714" s="368"/>
      <c r="D1714" s="368"/>
      <c r="F1714" s="368"/>
      <c r="G1714" s="368"/>
      <c r="H1714" s="368"/>
      <c r="I1714" s="368"/>
      <c r="J1714" s="368"/>
    </row>
    <row r="1715" spans="3:10" x14ac:dyDescent="0.2">
      <c r="C1715" s="368"/>
      <c r="D1715" s="368"/>
      <c r="F1715" s="368"/>
      <c r="G1715" s="368"/>
      <c r="H1715" s="368"/>
      <c r="I1715" s="368"/>
      <c r="J1715" s="368"/>
    </row>
    <row r="1716" spans="3:10" x14ac:dyDescent="0.2">
      <c r="C1716" s="368"/>
      <c r="D1716" s="368"/>
      <c r="F1716" s="368"/>
      <c r="G1716" s="368"/>
      <c r="H1716" s="368"/>
      <c r="I1716" s="368"/>
      <c r="J1716" s="368"/>
    </row>
    <row r="1717" spans="3:10" x14ac:dyDescent="0.2">
      <c r="C1717" s="368"/>
      <c r="D1717" s="368"/>
      <c r="F1717" s="368"/>
      <c r="G1717" s="368"/>
      <c r="H1717" s="368"/>
      <c r="I1717" s="368"/>
      <c r="J1717" s="368"/>
    </row>
    <row r="1718" spans="3:10" x14ac:dyDescent="0.2">
      <c r="C1718" s="368"/>
      <c r="D1718" s="368"/>
      <c r="F1718" s="368"/>
      <c r="G1718" s="368"/>
      <c r="H1718" s="368"/>
      <c r="I1718" s="368"/>
      <c r="J1718" s="368"/>
    </row>
    <row r="1719" spans="3:10" x14ac:dyDescent="0.2">
      <c r="C1719" s="368"/>
      <c r="D1719" s="368"/>
      <c r="F1719" s="368"/>
      <c r="G1719" s="368"/>
      <c r="H1719" s="368"/>
      <c r="I1719" s="368"/>
      <c r="J1719" s="368"/>
    </row>
    <row r="1720" spans="3:10" x14ac:dyDescent="0.2">
      <c r="C1720" s="368"/>
      <c r="D1720" s="368"/>
      <c r="F1720" s="368"/>
      <c r="G1720" s="368"/>
      <c r="H1720" s="368"/>
      <c r="I1720" s="368"/>
      <c r="J1720" s="368"/>
    </row>
    <row r="1721" spans="3:10" x14ac:dyDescent="0.2">
      <c r="C1721" s="368"/>
      <c r="D1721" s="368"/>
      <c r="F1721" s="368"/>
      <c r="G1721" s="368"/>
      <c r="H1721" s="368"/>
      <c r="I1721" s="368"/>
      <c r="J1721" s="368"/>
    </row>
    <row r="1722" spans="3:10" x14ac:dyDescent="0.2">
      <c r="C1722" s="368"/>
      <c r="D1722" s="368"/>
      <c r="F1722" s="368"/>
      <c r="G1722" s="368"/>
      <c r="H1722" s="368"/>
      <c r="I1722" s="368"/>
      <c r="J1722" s="368"/>
    </row>
    <row r="1723" spans="3:10" x14ac:dyDescent="0.2">
      <c r="C1723" s="368"/>
      <c r="D1723" s="368"/>
      <c r="F1723" s="368"/>
      <c r="G1723" s="368"/>
      <c r="H1723" s="368"/>
      <c r="I1723" s="368"/>
      <c r="J1723" s="368"/>
    </row>
    <row r="1724" spans="3:10" x14ac:dyDescent="0.2">
      <c r="C1724" s="368"/>
      <c r="D1724" s="368"/>
      <c r="F1724" s="368"/>
      <c r="G1724" s="368"/>
      <c r="H1724" s="368"/>
      <c r="I1724" s="368"/>
      <c r="J1724" s="368"/>
    </row>
    <row r="1725" spans="3:10" x14ac:dyDescent="0.2">
      <c r="C1725" s="368"/>
      <c r="D1725" s="368"/>
      <c r="F1725" s="368"/>
      <c r="G1725" s="368"/>
      <c r="H1725" s="368"/>
      <c r="I1725" s="368"/>
      <c r="J1725" s="368"/>
    </row>
    <row r="1726" spans="3:10" x14ac:dyDescent="0.2">
      <c r="C1726" s="368"/>
      <c r="D1726" s="368"/>
      <c r="F1726" s="368"/>
      <c r="G1726" s="368"/>
      <c r="H1726" s="368"/>
      <c r="I1726" s="368"/>
      <c r="J1726" s="368"/>
    </row>
    <row r="1727" spans="3:10" x14ac:dyDescent="0.2">
      <c r="C1727" s="368"/>
      <c r="D1727" s="368"/>
      <c r="F1727" s="368"/>
      <c r="G1727" s="368"/>
      <c r="H1727" s="368"/>
      <c r="I1727" s="368"/>
      <c r="J1727" s="368"/>
    </row>
    <row r="1728" spans="3:10" x14ac:dyDescent="0.2">
      <c r="C1728" s="368"/>
      <c r="D1728" s="368"/>
      <c r="F1728" s="368"/>
      <c r="G1728" s="368"/>
      <c r="H1728" s="368"/>
      <c r="I1728" s="368"/>
      <c r="J1728" s="368"/>
    </row>
    <row r="1729" spans="3:10" x14ac:dyDescent="0.2">
      <c r="C1729" s="368"/>
      <c r="D1729" s="368"/>
      <c r="F1729" s="368"/>
      <c r="G1729" s="368"/>
      <c r="H1729" s="368"/>
      <c r="I1729" s="368"/>
      <c r="J1729" s="368"/>
    </row>
    <row r="1730" spans="3:10" x14ac:dyDescent="0.2">
      <c r="C1730" s="368"/>
      <c r="D1730" s="368"/>
      <c r="F1730" s="368"/>
      <c r="G1730" s="368"/>
      <c r="H1730" s="368"/>
      <c r="I1730" s="368"/>
      <c r="J1730" s="368"/>
    </row>
    <row r="1731" spans="3:10" x14ac:dyDescent="0.2">
      <c r="C1731" s="368"/>
      <c r="D1731" s="368"/>
      <c r="F1731" s="368"/>
      <c r="G1731" s="368"/>
      <c r="H1731" s="368"/>
      <c r="I1731" s="368"/>
      <c r="J1731" s="368"/>
    </row>
    <row r="1732" spans="3:10" x14ac:dyDescent="0.2">
      <c r="C1732" s="368"/>
      <c r="D1732" s="368"/>
      <c r="F1732" s="368"/>
      <c r="G1732" s="368"/>
      <c r="H1732" s="368"/>
      <c r="I1732" s="368"/>
      <c r="J1732" s="368"/>
    </row>
    <row r="1733" spans="3:10" x14ac:dyDescent="0.2">
      <c r="C1733" s="368"/>
      <c r="D1733" s="368"/>
      <c r="F1733" s="368"/>
      <c r="G1733" s="368"/>
      <c r="H1733" s="368"/>
      <c r="I1733" s="368"/>
      <c r="J1733" s="368"/>
    </row>
    <row r="1734" spans="3:10" x14ac:dyDescent="0.2">
      <c r="C1734" s="368"/>
      <c r="D1734" s="368"/>
      <c r="F1734" s="368"/>
      <c r="G1734" s="368"/>
      <c r="H1734" s="368"/>
      <c r="I1734" s="368"/>
      <c r="J1734" s="368"/>
    </row>
    <row r="1735" spans="3:10" x14ac:dyDescent="0.2">
      <c r="C1735" s="368"/>
      <c r="D1735" s="368"/>
      <c r="F1735" s="368"/>
      <c r="G1735" s="368"/>
      <c r="H1735" s="368"/>
      <c r="I1735" s="368"/>
      <c r="J1735" s="368"/>
    </row>
    <row r="1736" spans="3:10" x14ac:dyDescent="0.2">
      <c r="C1736" s="368"/>
      <c r="D1736" s="368"/>
      <c r="F1736" s="368"/>
      <c r="G1736" s="368"/>
      <c r="H1736" s="368"/>
      <c r="I1736" s="368"/>
      <c r="J1736" s="368"/>
    </row>
    <row r="1737" spans="3:10" x14ac:dyDescent="0.2">
      <c r="C1737" s="368"/>
      <c r="D1737" s="368"/>
      <c r="F1737" s="368"/>
      <c r="G1737" s="368"/>
      <c r="H1737" s="368"/>
      <c r="I1737" s="368"/>
      <c r="J1737" s="368"/>
    </row>
    <row r="1738" spans="3:10" x14ac:dyDescent="0.2">
      <c r="C1738" s="368"/>
      <c r="D1738" s="368"/>
      <c r="F1738" s="368"/>
      <c r="G1738" s="368"/>
      <c r="H1738" s="368"/>
      <c r="I1738" s="368"/>
      <c r="J1738" s="368"/>
    </row>
    <row r="1739" spans="3:10" x14ac:dyDescent="0.2">
      <c r="C1739" s="368"/>
      <c r="D1739" s="368"/>
      <c r="F1739" s="368"/>
      <c r="G1739" s="368"/>
      <c r="H1739" s="368"/>
      <c r="I1739" s="368"/>
      <c r="J1739" s="368"/>
    </row>
    <row r="1740" spans="3:10" x14ac:dyDescent="0.2">
      <c r="C1740" s="368"/>
      <c r="D1740" s="368"/>
      <c r="F1740" s="368"/>
      <c r="G1740" s="368"/>
      <c r="H1740" s="368"/>
      <c r="I1740" s="368"/>
      <c r="J1740" s="368"/>
    </row>
    <row r="1741" spans="3:10" x14ac:dyDescent="0.2">
      <c r="C1741" s="368"/>
      <c r="D1741" s="368"/>
      <c r="F1741" s="368"/>
      <c r="G1741" s="368"/>
      <c r="H1741" s="368"/>
      <c r="I1741" s="368"/>
      <c r="J1741" s="368"/>
    </row>
    <row r="1742" spans="3:10" x14ac:dyDescent="0.2">
      <c r="C1742" s="368"/>
      <c r="D1742" s="368"/>
      <c r="F1742" s="368"/>
      <c r="G1742" s="368"/>
      <c r="H1742" s="368"/>
      <c r="I1742" s="368"/>
      <c r="J1742" s="368"/>
    </row>
    <row r="1743" spans="3:10" x14ac:dyDescent="0.2">
      <c r="C1743" s="368"/>
      <c r="D1743" s="368"/>
      <c r="F1743" s="368"/>
      <c r="G1743" s="368"/>
      <c r="H1743" s="368"/>
      <c r="I1743" s="368"/>
      <c r="J1743" s="368"/>
    </row>
    <row r="1744" spans="3:10" x14ac:dyDescent="0.2">
      <c r="C1744" s="368"/>
      <c r="D1744" s="368"/>
      <c r="F1744" s="368"/>
      <c r="G1744" s="368"/>
      <c r="H1744" s="368"/>
      <c r="I1744" s="368"/>
      <c r="J1744" s="368"/>
    </row>
    <row r="1745" spans="3:10" x14ac:dyDescent="0.2">
      <c r="C1745" s="368"/>
      <c r="D1745" s="368"/>
      <c r="F1745" s="368"/>
      <c r="G1745" s="368"/>
      <c r="H1745" s="368"/>
      <c r="I1745" s="368"/>
      <c r="J1745" s="368"/>
    </row>
    <row r="1746" spans="3:10" x14ac:dyDescent="0.2">
      <c r="C1746" s="368"/>
      <c r="D1746" s="368"/>
      <c r="F1746" s="368"/>
      <c r="G1746" s="368"/>
      <c r="H1746" s="368"/>
      <c r="I1746" s="368"/>
      <c r="J1746" s="368"/>
    </row>
    <row r="1747" spans="3:10" x14ac:dyDescent="0.2">
      <c r="C1747" s="368"/>
      <c r="D1747" s="368"/>
      <c r="F1747" s="368"/>
      <c r="G1747" s="368"/>
      <c r="H1747" s="368"/>
      <c r="I1747" s="368"/>
      <c r="J1747" s="368"/>
    </row>
    <row r="1748" spans="3:10" x14ac:dyDescent="0.2">
      <c r="C1748" s="368"/>
      <c r="D1748" s="368"/>
      <c r="F1748" s="368"/>
      <c r="G1748" s="368"/>
      <c r="H1748" s="368"/>
      <c r="I1748" s="368"/>
      <c r="J1748" s="368"/>
    </row>
    <row r="1749" spans="3:10" x14ac:dyDescent="0.2">
      <c r="C1749" s="368"/>
      <c r="D1749" s="368"/>
      <c r="F1749" s="368"/>
      <c r="G1749" s="368"/>
      <c r="H1749" s="368"/>
      <c r="I1749" s="368"/>
      <c r="J1749" s="368"/>
    </row>
    <row r="1750" spans="3:10" x14ac:dyDescent="0.2">
      <c r="C1750" s="368"/>
      <c r="D1750" s="368"/>
      <c r="F1750" s="368"/>
      <c r="G1750" s="368"/>
      <c r="H1750" s="368"/>
      <c r="I1750" s="368"/>
      <c r="J1750" s="368"/>
    </row>
    <row r="1751" spans="3:10" x14ac:dyDescent="0.2">
      <c r="C1751" s="368"/>
      <c r="D1751" s="368"/>
      <c r="F1751" s="368"/>
      <c r="G1751" s="368"/>
      <c r="H1751" s="368"/>
      <c r="I1751" s="368"/>
      <c r="J1751" s="368"/>
    </row>
    <row r="1752" spans="3:10" x14ac:dyDescent="0.2">
      <c r="C1752" s="368"/>
      <c r="D1752" s="368"/>
      <c r="F1752" s="368"/>
      <c r="G1752" s="368"/>
      <c r="H1752" s="368"/>
      <c r="I1752" s="368"/>
      <c r="J1752" s="368"/>
    </row>
    <row r="1753" spans="3:10" x14ac:dyDescent="0.2">
      <c r="C1753" s="368"/>
      <c r="D1753" s="368"/>
      <c r="F1753" s="368"/>
      <c r="G1753" s="368"/>
      <c r="H1753" s="368"/>
      <c r="I1753" s="368"/>
      <c r="J1753" s="368"/>
    </row>
    <row r="1754" spans="3:10" x14ac:dyDescent="0.2">
      <c r="C1754" s="368"/>
      <c r="D1754" s="368"/>
      <c r="F1754" s="368"/>
      <c r="G1754" s="368"/>
      <c r="H1754" s="368"/>
      <c r="I1754" s="368"/>
      <c r="J1754" s="368"/>
    </row>
    <row r="1755" spans="3:10" x14ac:dyDescent="0.2">
      <c r="C1755" s="368"/>
      <c r="D1755" s="368"/>
      <c r="F1755" s="368"/>
      <c r="G1755" s="368"/>
      <c r="H1755" s="368"/>
      <c r="I1755" s="368"/>
      <c r="J1755" s="368"/>
    </row>
    <row r="1756" spans="3:10" x14ac:dyDescent="0.2">
      <c r="C1756" s="368"/>
      <c r="D1756" s="368"/>
      <c r="F1756" s="368"/>
      <c r="G1756" s="368"/>
      <c r="H1756" s="368"/>
      <c r="I1756" s="368"/>
      <c r="J1756" s="368"/>
    </row>
    <row r="1757" spans="3:10" x14ac:dyDescent="0.2">
      <c r="C1757" s="368"/>
      <c r="D1757" s="368"/>
      <c r="F1757" s="368"/>
      <c r="G1757" s="368"/>
      <c r="H1757" s="368"/>
      <c r="I1757" s="368"/>
      <c r="J1757" s="368"/>
    </row>
    <row r="1758" spans="3:10" x14ac:dyDescent="0.2">
      <c r="C1758" s="368"/>
      <c r="D1758" s="368"/>
      <c r="F1758" s="368"/>
      <c r="G1758" s="368"/>
      <c r="H1758" s="368"/>
      <c r="I1758" s="368"/>
      <c r="J1758" s="368"/>
    </row>
    <row r="1759" spans="3:10" x14ac:dyDescent="0.2">
      <c r="C1759" s="368"/>
      <c r="D1759" s="368"/>
      <c r="F1759" s="368"/>
      <c r="G1759" s="368"/>
      <c r="H1759" s="368"/>
      <c r="I1759" s="368"/>
      <c r="J1759" s="368"/>
    </row>
    <row r="1760" spans="3:10" x14ac:dyDescent="0.2">
      <c r="C1760" s="368"/>
      <c r="D1760" s="368"/>
      <c r="F1760" s="368"/>
      <c r="G1760" s="368"/>
      <c r="H1760" s="368"/>
      <c r="I1760" s="368"/>
      <c r="J1760" s="368"/>
    </row>
    <row r="1761" spans="3:10" x14ac:dyDescent="0.2">
      <c r="C1761" s="368"/>
      <c r="D1761" s="368"/>
      <c r="F1761" s="368"/>
      <c r="G1761" s="368"/>
      <c r="H1761" s="368"/>
      <c r="I1761" s="368"/>
      <c r="J1761" s="368"/>
    </row>
    <row r="1762" spans="3:10" x14ac:dyDescent="0.2">
      <c r="C1762" s="368"/>
      <c r="D1762" s="368"/>
      <c r="F1762" s="368"/>
      <c r="G1762" s="368"/>
      <c r="H1762" s="368"/>
      <c r="I1762" s="368"/>
      <c r="J1762" s="368"/>
    </row>
    <row r="1763" spans="3:10" x14ac:dyDescent="0.2">
      <c r="C1763" s="368"/>
      <c r="D1763" s="368"/>
      <c r="F1763" s="368"/>
      <c r="G1763" s="368"/>
      <c r="H1763" s="368"/>
      <c r="I1763" s="368"/>
      <c r="J1763" s="368"/>
    </row>
    <row r="1764" spans="3:10" x14ac:dyDescent="0.2">
      <c r="C1764" s="368"/>
      <c r="D1764" s="368"/>
      <c r="F1764" s="368"/>
      <c r="G1764" s="368"/>
      <c r="H1764" s="368"/>
      <c r="I1764" s="368"/>
      <c r="J1764" s="368"/>
    </row>
    <row r="1765" spans="3:10" x14ac:dyDescent="0.2">
      <c r="C1765" s="368"/>
      <c r="D1765" s="368"/>
      <c r="F1765" s="368"/>
      <c r="G1765" s="368"/>
      <c r="H1765" s="368"/>
      <c r="I1765" s="368"/>
      <c r="J1765" s="368"/>
    </row>
    <row r="1766" spans="3:10" x14ac:dyDescent="0.2">
      <c r="C1766" s="368"/>
      <c r="D1766" s="368"/>
      <c r="F1766" s="368"/>
      <c r="G1766" s="368"/>
      <c r="H1766" s="368"/>
      <c r="I1766" s="368"/>
      <c r="J1766" s="368"/>
    </row>
    <row r="1767" spans="3:10" x14ac:dyDescent="0.2">
      <c r="C1767" s="368"/>
      <c r="D1767" s="368"/>
      <c r="F1767" s="368"/>
      <c r="G1767" s="368"/>
      <c r="H1767" s="368"/>
      <c r="I1767" s="368"/>
      <c r="J1767" s="368"/>
    </row>
    <row r="1768" spans="3:10" x14ac:dyDescent="0.2">
      <c r="C1768" s="368"/>
      <c r="D1768" s="368"/>
      <c r="F1768" s="368"/>
      <c r="G1768" s="368"/>
      <c r="H1768" s="368"/>
      <c r="I1768" s="368"/>
      <c r="J1768" s="368"/>
    </row>
    <row r="1769" spans="3:10" x14ac:dyDescent="0.2">
      <c r="C1769" s="368"/>
      <c r="D1769" s="368"/>
      <c r="F1769" s="368"/>
      <c r="G1769" s="368"/>
      <c r="H1769" s="368"/>
      <c r="I1769" s="368"/>
      <c r="J1769" s="368"/>
    </row>
    <row r="1770" spans="3:10" x14ac:dyDescent="0.2">
      <c r="C1770" s="368"/>
      <c r="D1770" s="368"/>
      <c r="F1770" s="368"/>
      <c r="G1770" s="368"/>
      <c r="H1770" s="368"/>
      <c r="I1770" s="368"/>
      <c r="J1770" s="368"/>
    </row>
    <row r="1771" spans="3:10" x14ac:dyDescent="0.2">
      <c r="C1771" s="368"/>
      <c r="D1771" s="368"/>
      <c r="F1771" s="368"/>
      <c r="G1771" s="368"/>
      <c r="H1771" s="368"/>
      <c r="I1771" s="368"/>
      <c r="J1771" s="368"/>
    </row>
    <row r="1772" spans="3:10" x14ac:dyDescent="0.2">
      <c r="C1772" s="368"/>
      <c r="D1772" s="368"/>
      <c r="F1772" s="368"/>
      <c r="G1772" s="368"/>
      <c r="H1772" s="368"/>
      <c r="I1772" s="368"/>
      <c r="J1772" s="368"/>
    </row>
    <row r="1773" spans="3:10" x14ac:dyDescent="0.2">
      <c r="C1773" s="368"/>
      <c r="D1773" s="368"/>
      <c r="F1773" s="368"/>
      <c r="G1773" s="368"/>
      <c r="H1773" s="368"/>
      <c r="I1773" s="368"/>
      <c r="J1773" s="368"/>
    </row>
    <row r="1774" spans="3:10" x14ac:dyDescent="0.2">
      <c r="C1774" s="368"/>
      <c r="D1774" s="368"/>
      <c r="F1774" s="368"/>
      <c r="G1774" s="368"/>
      <c r="H1774" s="368"/>
      <c r="I1774" s="368"/>
      <c r="J1774" s="368"/>
    </row>
    <row r="1775" spans="3:10" x14ac:dyDescent="0.2">
      <c r="C1775" s="368"/>
      <c r="D1775" s="368"/>
      <c r="F1775" s="368"/>
      <c r="G1775" s="368"/>
      <c r="H1775" s="368"/>
      <c r="I1775" s="368"/>
      <c r="J1775" s="368"/>
    </row>
    <row r="1776" spans="3:10" x14ac:dyDescent="0.2">
      <c r="C1776" s="368"/>
      <c r="D1776" s="368"/>
      <c r="F1776" s="368"/>
      <c r="G1776" s="368"/>
      <c r="H1776" s="368"/>
      <c r="I1776" s="368"/>
      <c r="J1776" s="368"/>
    </row>
    <row r="1777" spans="3:10" x14ac:dyDescent="0.2">
      <c r="C1777" s="368"/>
      <c r="D1777" s="368"/>
      <c r="F1777" s="368"/>
      <c r="G1777" s="368"/>
      <c r="H1777" s="368"/>
      <c r="I1777" s="368"/>
      <c r="J1777" s="368"/>
    </row>
    <row r="1778" spans="3:10" x14ac:dyDescent="0.2">
      <c r="C1778" s="368"/>
      <c r="D1778" s="368"/>
      <c r="F1778" s="368"/>
      <c r="G1778" s="368"/>
      <c r="H1778" s="368"/>
      <c r="I1778" s="368"/>
      <c r="J1778" s="368"/>
    </row>
    <row r="1779" spans="3:10" x14ac:dyDescent="0.2">
      <c r="C1779" s="368"/>
      <c r="D1779" s="368"/>
      <c r="F1779" s="368"/>
      <c r="G1779" s="368"/>
      <c r="H1779" s="368"/>
      <c r="I1779" s="368"/>
      <c r="J1779" s="368"/>
    </row>
    <row r="1780" spans="3:10" x14ac:dyDescent="0.2">
      <c r="C1780" s="368"/>
      <c r="D1780" s="368"/>
      <c r="F1780" s="368"/>
      <c r="G1780" s="368"/>
      <c r="H1780" s="368"/>
      <c r="I1780" s="368"/>
      <c r="J1780" s="368"/>
    </row>
    <row r="1781" spans="3:10" x14ac:dyDescent="0.2">
      <c r="C1781" s="368"/>
      <c r="D1781" s="368"/>
      <c r="F1781" s="368"/>
      <c r="G1781" s="368"/>
      <c r="H1781" s="368"/>
      <c r="I1781" s="368"/>
      <c r="J1781" s="368"/>
    </row>
    <row r="1782" spans="3:10" x14ac:dyDescent="0.2">
      <c r="C1782" s="368"/>
      <c r="D1782" s="368"/>
      <c r="F1782" s="368"/>
      <c r="G1782" s="368"/>
      <c r="H1782" s="368"/>
      <c r="I1782" s="368"/>
      <c r="J1782" s="368"/>
    </row>
    <row r="1783" spans="3:10" x14ac:dyDescent="0.2">
      <c r="C1783" s="368"/>
      <c r="D1783" s="368"/>
      <c r="F1783" s="368"/>
      <c r="G1783" s="368"/>
      <c r="H1783" s="368"/>
      <c r="I1783" s="368"/>
      <c r="J1783" s="368"/>
    </row>
    <row r="1784" spans="3:10" x14ac:dyDescent="0.2">
      <c r="C1784" s="368"/>
      <c r="D1784" s="368"/>
      <c r="F1784" s="368"/>
      <c r="G1784" s="368"/>
      <c r="H1784" s="368"/>
      <c r="I1784" s="368"/>
      <c r="J1784" s="368"/>
    </row>
    <row r="1785" spans="3:10" x14ac:dyDescent="0.2">
      <c r="C1785" s="368"/>
      <c r="D1785" s="368"/>
      <c r="F1785" s="368"/>
      <c r="G1785" s="368"/>
      <c r="H1785" s="368"/>
      <c r="I1785" s="368"/>
      <c r="J1785" s="368"/>
    </row>
    <row r="1786" spans="3:10" x14ac:dyDescent="0.2">
      <c r="C1786" s="368"/>
      <c r="D1786" s="368"/>
      <c r="F1786" s="368"/>
      <c r="G1786" s="368"/>
      <c r="H1786" s="368"/>
      <c r="I1786" s="368"/>
      <c r="J1786" s="368"/>
    </row>
    <row r="1787" spans="3:10" x14ac:dyDescent="0.2">
      <c r="C1787" s="368"/>
      <c r="D1787" s="368"/>
      <c r="F1787" s="368"/>
      <c r="G1787" s="368"/>
      <c r="H1787" s="368"/>
      <c r="I1787" s="368"/>
      <c r="J1787" s="368"/>
    </row>
    <row r="1788" spans="3:10" x14ac:dyDescent="0.2">
      <c r="C1788" s="368"/>
      <c r="D1788" s="368"/>
      <c r="F1788" s="368"/>
      <c r="G1788" s="368"/>
      <c r="H1788" s="368"/>
      <c r="I1788" s="368"/>
      <c r="J1788" s="368"/>
    </row>
    <row r="1789" spans="3:10" x14ac:dyDescent="0.2">
      <c r="C1789" s="368"/>
      <c r="D1789" s="368"/>
      <c r="F1789" s="368"/>
      <c r="G1789" s="368"/>
      <c r="H1789" s="368"/>
      <c r="I1789" s="368"/>
      <c r="J1789" s="368"/>
    </row>
    <row r="1790" spans="3:10" x14ac:dyDescent="0.2">
      <c r="C1790" s="368"/>
      <c r="D1790" s="368"/>
      <c r="F1790" s="368"/>
      <c r="G1790" s="368"/>
      <c r="H1790" s="368"/>
      <c r="I1790" s="368"/>
      <c r="J1790" s="368"/>
    </row>
    <row r="1791" spans="3:10" x14ac:dyDescent="0.2">
      <c r="C1791" s="368"/>
      <c r="D1791" s="368"/>
      <c r="F1791" s="368"/>
      <c r="G1791" s="368"/>
      <c r="H1791" s="368"/>
      <c r="I1791" s="368"/>
      <c r="J1791" s="368"/>
    </row>
    <row r="1792" spans="3:10" x14ac:dyDescent="0.2">
      <c r="C1792" s="368"/>
      <c r="D1792" s="368"/>
      <c r="F1792" s="368"/>
      <c r="G1792" s="368"/>
      <c r="H1792" s="368"/>
      <c r="I1792" s="368"/>
      <c r="J1792" s="368"/>
    </row>
    <row r="1793" spans="3:10" x14ac:dyDescent="0.2">
      <c r="C1793" s="368"/>
      <c r="D1793" s="368"/>
      <c r="F1793" s="368"/>
      <c r="G1793" s="368"/>
      <c r="H1793" s="368"/>
      <c r="I1793" s="368"/>
      <c r="J1793" s="368"/>
    </row>
    <row r="1794" spans="3:10" x14ac:dyDescent="0.2">
      <c r="C1794" s="368"/>
      <c r="D1794" s="368"/>
      <c r="F1794" s="368"/>
      <c r="G1794" s="368"/>
      <c r="H1794" s="368"/>
      <c r="I1794" s="368"/>
      <c r="J1794" s="368"/>
    </row>
    <row r="1795" spans="3:10" x14ac:dyDescent="0.2">
      <c r="C1795" s="368"/>
      <c r="D1795" s="368"/>
      <c r="F1795" s="368"/>
      <c r="G1795" s="368"/>
      <c r="H1795" s="368"/>
      <c r="I1795" s="368"/>
      <c r="J1795" s="368"/>
    </row>
    <row r="1796" spans="3:10" x14ac:dyDescent="0.2">
      <c r="C1796" s="368"/>
      <c r="D1796" s="368"/>
      <c r="F1796" s="368"/>
      <c r="G1796" s="368"/>
      <c r="H1796" s="368"/>
      <c r="I1796" s="368"/>
      <c r="J1796" s="368"/>
    </row>
    <row r="1797" spans="3:10" x14ac:dyDescent="0.2">
      <c r="C1797" s="368"/>
      <c r="D1797" s="368"/>
      <c r="F1797" s="368"/>
      <c r="G1797" s="368"/>
      <c r="H1797" s="368"/>
      <c r="I1797" s="368"/>
      <c r="J1797" s="368"/>
    </row>
    <row r="1798" spans="3:10" x14ac:dyDescent="0.2">
      <c r="C1798" s="368"/>
      <c r="D1798" s="368"/>
      <c r="F1798" s="368"/>
      <c r="G1798" s="368"/>
      <c r="H1798" s="368"/>
      <c r="I1798" s="368"/>
      <c r="J1798" s="368"/>
    </row>
    <row r="1799" spans="3:10" x14ac:dyDescent="0.2">
      <c r="C1799" s="368"/>
      <c r="D1799" s="368"/>
      <c r="F1799" s="368"/>
      <c r="G1799" s="368"/>
      <c r="H1799" s="368"/>
      <c r="I1799" s="368"/>
      <c r="J1799" s="368"/>
    </row>
    <row r="1800" spans="3:10" x14ac:dyDescent="0.2">
      <c r="C1800" s="368"/>
      <c r="D1800" s="368"/>
      <c r="F1800" s="368"/>
      <c r="G1800" s="368"/>
      <c r="H1800" s="368"/>
      <c r="I1800" s="368"/>
      <c r="J1800" s="368"/>
    </row>
    <row r="1801" spans="3:10" x14ac:dyDescent="0.2">
      <c r="C1801" s="368"/>
      <c r="D1801" s="368"/>
      <c r="F1801" s="368"/>
      <c r="G1801" s="368"/>
      <c r="H1801" s="368"/>
      <c r="I1801" s="368"/>
      <c r="J1801" s="368"/>
    </row>
    <row r="1802" spans="3:10" x14ac:dyDescent="0.2">
      <c r="C1802" s="368"/>
      <c r="D1802" s="368"/>
      <c r="F1802" s="368"/>
      <c r="G1802" s="368"/>
      <c r="H1802" s="368"/>
      <c r="I1802" s="368"/>
      <c r="J1802" s="368"/>
    </row>
    <row r="1803" spans="3:10" x14ac:dyDescent="0.2">
      <c r="C1803" s="368"/>
      <c r="D1803" s="368"/>
      <c r="F1803" s="368"/>
      <c r="G1803" s="368"/>
      <c r="H1803" s="368"/>
      <c r="I1803" s="368"/>
      <c r="J1803" s="368"/>
    </row>
    <row r="1804" spans="3:10" x14ac:dyDescent="0.2">
      <c r="C1804" s="368"/>
      <c r="D1804" s="368"/>
      <c r="F1804" s="368"/>
      <c r="G1804" s="368"/>
      <c r="H1804" s="368"/>
      <c r="I1804" s="368"/>
      <c r="J1804" s="368"/>
    </row>
    <row r="1805" spans="3:10" x14ac:dyDescent="0.2">
      <c r="C1805" s="368"/>
      <c r="D1805" s="368"/>
      <c r="F1805" s="368"/>
      <c r="G1805" s="368"/>
      <c r="H1805" s="368"/>
      <c r="I1805" s="368"/>
      <c r="J1805" s="368"/>
    </row>
    <row r="1806" spans="3:10" x14ac:dyDescent="0.2">
      <c r="C1806" s="368"/>
      <c r="D1806" s="368"/>
      <c r="F1806" s="368"/>
      <c r="G1806" s="368"/>
      <c r="H1806" s="368"/>
      <c r="I1806" s="368"/>
      <c r="J1806" s="368"/>
    </row>
    <row r="1807" spans="3:10" x14ac:dyDescent="0.2">
      <c r="C1807" s="368"/>
      <c r="D1807" s="368"/>
      <c r="F1807" s="368"/>
      <c r="G1807" s="368"/>
      <c r="H1807" s="368"/>
      <c r="I1807" s="368"/>
      <c r="J1807" s="368"/>
    </row>
    <row r="1808" spans="3:10" x14ac:dyDescent="0.2">
      <c r="C1808" s="368"/>
      <c r="D1808" s="368"/>
      <c r="F1808" s="368"/>
      <c r="G1808" s="368"/>
      <c r="H1808" s="368"/>
      <c r="I1808" s="368"/>
      <c r="J1808" s="368"/>
    </row>
    <row r="1809" spans="3:10" x14ac:dyDescent="0.2">
      <c r="C1809" s="368"/>
      <c r="D1809" s="368"/>
      <c r="F1809" s="368"/>
      <c r="G1809" s="368"/>
      <c r="H1809" s="368"/>
      <c r="I1809" s="368"/>
      <c r="J1809" s="368"/>
    </row>
    <row r="1810" spans="3:10" x14ac:dyDescent="0.2">
      <c r="C1810" s="368"/>
      <c r="D1810" s="368"/>
      <c r="F1810" s="368"/>
      <c r="G1810" s="368"/>
      <c r="H1810" s="368"/>
      <c r="I1810" s="368"/>
      <c r="J1810" s="368"/>
    </row>
    <row r="1811" spans="3:10" x14ac:dyDescent="0.2">
      <c r="C1811" s="368"/>
      <c r="D1811" s="368"/>
      <c r="F1811" s="368"/>
      <c r="G1811" s="368"/>
      <c r="H1811" s="368"/>
      <c r="I1811" s="368"/>
      <c r="J1811" s="368"/>
    </row>
    <row r="1812" spans="3:10" x14ac:dyDescent="0.2">
      <c r="C1812" s="368"/>
      <c r="D1812" s="368"/>
      <c r="F1812" s="368"/>
      <c r="G1812" s="368"/>
      <c r="H1812" s="368"/>
      <c r="I1812" s="368"/>
      <c r="J1812" s="368"/>
    </row>
    <row r="1813" spans="3:10" x14ac:dyDescent="0.2">
      <c r="C1813" s="368"/>
      <c r="D1813" s="368"/>
      <c r="F1813" s="368"/>
      <c r="G1813" s="368"/>
      <c r="H1813" s="368"/>
      <c r="I1813" s="368"/>
      <c r="J1813" s="368"/>
    </row>
    <row r="1814" spans="3:10" x14ac:dyDescent="0.2">
      <c r="C1814" s="368"/>
      <c r="D1814" s="368"/>
      <c r="F1814" s="368"/>
      <c r="G1814" s="368"/>
      <c r="H1814" s="368"/>
      <c r="I1814" s="368"/>
      <c r="J1814" s="368"/>
    </row>
    <row r="1815" spans="3:10" x14ac:dyDescent="0.2">
      <c r="C1815" s="368"/>
      <c r="D1815" s="368"/>
      <c r="F1815" s="368"/>
      <c r="G1815" s="368"/>
      <c r="H1815" s="368"/>
      <c r="I1815" s="368"/>
      <c r="J1815" s="368"/>
    </row>
    <row r="1816" spans="3:10" x14ac:dyDescent="0.2">
      <c r="C1816" s="368"/>
      <c r="D1816" s="368"/>
      <c r="F1816" s="368"/>
      <c r="G1816" s="368"/>
      <c r="H1816" s="368"/>
      <c r="I1816" s="368"/>
      <c r="J1816" s="368"/>
    </row>
    <row r="1817" spans="3:10" x14ac:dyDescent="0.2">
      <c r="C1817" s="368"/>
      <c r="D1817" s="368"/>
      <c r="F1817" s="368"/>
      <c r="G1817" s="368"/>
      <c r="H1817" s="368"/>
      <c r="I1817" s="368"/>
      <c r="J1817" s="368"/>
    </row>
    <row r="1818" spans="3:10" x14ac:dyDescent="0.2">
      <c r="C1818" s="368"/>
      <c r="D1818" s="368"/>
      <c r="F1818" s="368"/>
      <c r="G1818" s="368"/>
      <c r="H1818" s="368"/>
      <c r="I1818" s="368"/>
      <c r="J1818" s="368"/>
    </row>
    <row r="1819" spans="3:10" x14ac:dyDescent="0.2">
      <c r="C1819" s="368"/>
      <c r="D1819" s="368"/>
      <c r="F1819" s="368"/>
      <c r="G1819" s="368"/>
      <c r="H1819" s="368"/>
      <c r="I1819" s="368"/>
      <c r="J1819" s="368"/>
    </row>
    <row r="1820" spans="3:10" x14ac:dyDescent="0.2">
      <c r="C1820" s="368"/>
      <c r="D1820" s="368"/>
      <c r="F1820" s="368"/>
      <c r="G1820" s="368"/>
      <c r="H1820" s="368"/>
      <c r="I1820" s="368"/>
      <c r="J1820" s="368"/>
    </row>
    <row r="1821" spans="3:10" x14ac:dyDescent="0.2">
      <c r="C1821" s="368"/>
      <c r="D1821" s="368"/>
      <c r="F1821" s="368"/>
      <c r="G1821" s="368"/>
      <c r="H1821" s="368"/>
      <c r="I1821" s="368"/>
      <c r="J1821" s="368"/>
    </row>
    <row r="1822" spans="3:10" x14ac:dyDescent="0.2">
      <c r="C1822" s="368"/>
      <c r="D1822" s="368"/>
      <c r="F1822" s="368"/>
      <c r="G1822" s="368"/>
      <c r="H1822" s="368"/>
      <c r="I1822" s="368"/>
      <c r="J1822" s="368"/>
    </row>
    <row r="1823" spans="3:10" x14ac:dyDescent="0.2">
      <c r="C1823" s="368"/>
      <c r="D1823" s="368"/>
      <c r="F1823" s="368"/>
      <c r="G1823" s="368"/>
      <c r="H1823" s="368"/>
      <c r="I1823" s="368"/>
      <c r="J1823" s="368"/>
    </row>
    <row r="1824" spans="3:10" x14ac:dyDescent="0.2">
      <c r="C1824" s="368"/>
      <c r="D1824" s="368"/>
      <c r="F1824" s="368"/>
      <c r="G1824" s="368"/>
      <c r="H1824" s="368"/>
      <c r="I1824" s="368"/>
      <c r="J1824" s="368"/>
    </row>
    <row r="1825" spans="3:10" x14ac:dyDescent="0.2">
      <c r="C1825" s="368"/>
      <c r="D1825" s="368"/>
      <c r="F1825" s="368"/>
      <c r="G1825" s="368"/>
      <c r="H1825" s="368"/>
      <c r="I1825" s="368"/>
      <c r="J1825" s="368"/>
    </row>
    <row r="1826" spans="3:10" x14ac:dyDescent="0.2">
      <c r="C1826" s="368"/>
      <c r="D1826" s="368"/>
      <c r="F1826" s="368"/>
      <c r="G1826" s="368"/>
      <c r="H1826" s="368"/>
      <c r="I1826" s="368"/>
      <c r="J1826" s="368"/>
    </row>
    <row r="1827" spans="3:10" x14ac:dyDescent="0.2">
      <c r="C1827" s="368"/>
      <c r="D1827" s="368"/>
      <c r="F1827" s="368"/>
      <c r="G1827" s="368"/>
      <c r="H1827" s="368"/>
      <c r="I1827" s="368"/>
      <c r="J1827" s="368"/>
    </row>
    <row r="1828" spans="3:10" x14ac:dyDescent="0.2">
      <c r="C1828" s="368"/>
      <c r="D1828" s="368"/>
      <c r="F1828" s="368"/>
      <c r="G1828" s="368"/>
      <c r="H1828" s="368"/>
      <c r="I1828" s="368"/>
      <c r="J1828" s="368"/>
    </row>
    <row r="1829" spans="3:10" x14ac:dyDescent="0.2">
      <c r="C1829" s="368"/>
      <c r="D1829" s="368"/>
      <c r="F1829" s="368"/>
      <c r="G1829" s="368"/>
      <c r="H1829" s="368"/>
      <c r="I1829" s="368"/>
      <c r="J1829" s="368"/>
    </row>
    <row r="1830" spans="3:10" x14ac:dyDescent="0.2">
      <c r="C1830" s="368"/>
      <c r="D1830" s="368"/>
      <c r="F1830" s="368"/>
      <c r="G1830" s="368"/>
      <c r="H1830" s="368"/>
      <c r="I1830" s="368"/>
      <c r="J1830" s="368"/>
    </row>
    <row r="1831" spans="3:10" x14ac:dyDescent="0.2">
      <c r="C1831" s="368"/>
      <c r="D1831" s="368"/>
      <c r="F1831" s="368"/>
      <c r="G1831" s="368"/>
      <c r="H1831" s="368"/>
      <c r="I1831" s="368"/>
      <c r="J1831" s="368"/>
    </row>
    <row r="1832" spans="3:10" x14ac:dyDescent="0.2">
      <c r="C1832" s="368"/>
      <c r="D1832" s="368"/>
      <c r="F1832" s="368"/>
      <c r="G1832" s="368"/>
      <c r="H1832" s="368"/>
      <c r="I1832" s="368"/>
      <c r="J1832" s="368"/>
    </row>
    <row r="1833" spans="3:10" x14ac:dyDescent="0.2">
      <c r="C1833" s="368"/>
      <c r="D1833" s="368"/>
      <c r="F1833" s="368"/>
      <c r="G1833" s="368"/>
      <c r="H1833" s="368"/>
      <c r="I1833" s="368"/>
      <c r="J1833" s="368"/>
    </row>
    <row r="1834" spans="3:10" x14ac:dyDescent="0.2">
      <c r="C1834" s="368"/>
      <c r="D1834" s="368"/>
      <c r="F1834" s="368"/>
      <c r="G1834" s="368"/>
      <c r="H1834" s="368"/>
      <c r="I1834" s="368"/>
      <c r="J1834" s="368"/>
    </row>
    <row r="1835" spans="3:10" x14ac:dyDescent="0.2">
      <c r="C1835" s="368"/>
      <c r="D1835" s="368"/>
      <c r="F1835" s="368"/>
      <c r="G1835" s="368"/>
      <c r="H1835" s="368"/>
      <c r="I1835" s="368"/>
      <c r="J1835" s="368"/>
    </row>
    <row r="1836" spans="3:10" x14ac:dyDescent="0.2">
      <c r="C1836" s="368"/>
      <c r="D1836" s="368"/>
      <c r="F1836" s="368"/>
      <c r="G1836" s="368"/>
      <c r="H1836" s="368"/>
      <c r="I1836" s="368"/>
      <c r="J1836" s="368"/>
    </row>
    <row r="1837" spans="3:10" x14ac:dyDescent="0.2">
      <c r="C1837" s="368"/>
      <c r="D1837" s="368"/>
      <c r="F1837" s="368"/>
      <c r="G1837" s="368"/>
      <c r="H1837" s="368"/>
      <c r="I1837" s="368"/>
      <c r="J1837" s="368"/>
    </row>
    <row r="1838" spans="3:10" x14ac:dyDescent="0.2">
      <c r="C1838" s="368"/>
      <c r="D1838" s="368"/>
      <c r="F1838" s="368"/>
      <c r="G1838" s="368"/>
      <c r="H1838" s="368"/>
      <c r="I1838" s="368"/>
      <c r="J1838" s="368"/>
    </row>
    <row r="1839" spans="3:10" x14ac:dyDescent="0.2">
      <c r="C1839" s="368"/>
      <c r="D1839" s="368"/>
      <c r="F1839" s="368"/>
      <c r="G1839" s="368"/>
      <c r="H1839" s="368"/>
      <c r="I1839" s="368"/>
      <c r="J1839" s="368"/>
    </row>
    <row r="1840" spans="3:10" x14ac:dyDescent="0.2">
      <c r="C1840" s="368"/>
      <c r="D1840" s="368"/>
      <c r="F1840" s="368"/>
      <c r="G1840" s="368"/>
      <c r="H1840" s="368"/>
      <c r="I1840" s="368"/>
      <c r="J1840" s="368"/>
    </row>
    <row r="1841" spans="3:10" x14ac:dyDescent="0.2">
      <c r="C1841" s="368"/>
      <c r="D1841" s="368"/>
      <c r="F1841" s="368"/>
      <c r="G1841" s="368"/>
      <c r="H1841" s="368"/>
      <c r="I1841" s="368"/>
      <c r="J1841" s="368"/>
    </row>
    <row r="1842" spans="3:10" x14ac:dyDescent="0.2">
      <c r="C1842" s="368"/>
      <c r="D1842" s="368"/>
      <c r="F1842" s="368"/>
      <c r="G1842" s="368"/>
      <c r="H1842" s="368"/>
      <c r="I1842" s="368"/>
      <c r="J1842" s="368"/>
    </row>
    <row r="1843" spans="3:10" x14ac:dyDescent="0.2">
      <c r="C1843" s="368"/>
      <c r="D1843" s="368"/>
      <c r="F1843" s="368"/>
      <c r="G1843" s="368"/>
      <c r="H1843" s="368"/>
      <c r="I1843" s="368"/>
      <c r="J1843" s="368"/>
    </row>
    <row r="1844" spans="3:10" x14ac:dyDescent="0.2">
      <c r="C1844" s="368"/>
      <c r="D1844" s="368"/>
      <c r="F1844" s="368"/>
      <c r="G1844" s="368"/>
      <c r="H1844" s="368"/>
      <c r="I1844" s="368"/>
      <c r="J1844" s="368"/>
    </row>
    <row r="1845" spans="3:10" x14ac:dyDescent="0.2">
      <c r="C1845" s="368"/>
      <c r="D1845" s="368"/>
      <c r="F1845" s="368"/>
      <c r="G1845" s="368"/>
      <c r="H1845" s="368"/>
      <c r="I1845" s="368"/>
      <c r="J1845" s="368"/>
    </row>
    <row r="1846" spans="3:10" x14ac:dyDescent="0.2">
      <c r="C1846" s="368"/>
      <c r="D1846" s="368"/>
      <c r="F1846" s="368"/>
      <c r="G1846" s="368"/>
      <c r="H1846" s="368"/>
      <c r="I1846" s="368"/>
      <c r="J1846" s="368"/>
    </row>
    <row r="1847" spans="3:10" x14ac:dyDescent="0.2">
      <c r="C1847" s="368"/>
      <c r="D1847" s="368"/>
      <c r="F1847" s="368"/>
      <c r="G1847" s="368"/>
      <c r="H1847" s="368"/>
      <c r="I1847" s="368"/>
      <c r="J1847" s="368"/>
    </row>
    <row r="1848" spans="3:10" x14ac:dyDescent="0.2">
      <c r="C1848" s="368"/>
      <c r="D1848" s="368"/>
      <c r="F1848" s="368"/>
      <c r="G1848" s="368"/>
      <c r="H1848" s="368"/>
      <c r="I1848" s="368"/>
      <c r="J1848" s="368"/>
    </row>
    <row r="1849" spans="3:10" x14ac:dyDescent="0.2">
      <c r="C1849" s="368"/>
      <c r="D1849" s="368"/>
      <c r="F1849" s="368"/>
      <c r="G1849" s="368"/>
      <c r="H1849" s="368"/>
      <c r="I1849" s="368"/>
      <c r="J1849" s="368"/>
    </row>
    <row r="1850" spans="3:10" x14ac:dyDescent="0.2">
      <c r="C1850" s="368"/>
      <c r="D1850" s="368"/>
      <c r="F1850" s="368"/>
      <c r="G1850" s="368"/>
      <c r="H1850" s="368"/>
      <c r="I1850" s="368"/>
      <c r="J1850" s="368"/>
    </row>
    <row r="1851" spans="3:10" x14ac:dyDescent="0.2">
      <c r="C1851" s="368"/>
      <c r="D1851" s="368"/>
      <c r="F1851" s="368"/>
      <c r="G1851" s="368"/>
      <c r="H1851" s="368"/>
      <c r="I1851" s="368"/>
      <c r="J1851" s="368"/>
    </row>
    <row r="1852" spans="3:10" x14ac:dyDescent="0.2">
      <c r="C1852" s="368"/>
      <c r="D1852" s="368"/>
      <c r="F1852" s="368"/>
      <c r="G1852" s="368"/>
      <c r="H1852" s="368"/>
      <c r="I1852" s="368"/>
      <c r="J1852" s="368"/>
    </row>
    <row r="1853" spans="3:10" x14ac:dyDescent="0.2">
      <c r="C1853" s="368"/>
      <c r="D1853" s="368"/>
      <c r="F1853" s="368"/>
      <c r="G1853" s="368"/>
      <c r="H1853" s="368"/>
      <c r="I1853" s="368"/>
      <c r="J1853" s="368"/>
    </row>
    <row r="1854" spans="3:10" x14ac:dyDescent="0.2">
      <c r="C1854" s="368"/>
      <c r="D1854" s="368"/>
      <c r="F1854" s="368"/>
      <c r="G1854" s="368"/>
      <c r="H1854" s="368"/>
      <c r="I1854" s="368"/>
      <c r="J1854" s="368"/>
    </row>
    <row r="1855" spans="3:10" x14ac:dyDescent="0.2">
      <c r="C1855" s="368"/>
      <c r="D1855" s="368"/>
      <c r="F1855" s="368"/>
      <c r="G1855" s="368"/>
      <c r="H1855" s="368"/>
      <c r="I1855" s="368"/>
      <c r="J1855" s="368"/>
    </row>
    <row r="1856" spans="3:10" x14ac:dyDescent="0.2">
      <c r="C1856" s="368"/>
      <c r="D1856" s="368"/>
      <c r="F1856" s="368"/>
      <c r="G1856" s="368"/>
      <c r="H1856" s="368"/>
      <c r="I1856" s="368"/>
      <c r="J1856" s="368"/>
    </row>
    <row r="1857" spans="3:10" x14ac:dyDescent="0.2">
      <c r="C1857" s="368"/>
      <c r="D1857" s="368"/>
      <c r="F1857" s="368"/>
      <c r="G1857" s="368"/>
      <c r="H1857" s="368"/>
      <c r="I1857" s="368"/>
      <c r="J1857" s="368"/>
    </row>
    <row r="1858" spans="3:10" x14ac:dyDescent="0.2">
      <c r="C1858" s="368"/>
      <c r="D1858" s="368"/>
      <c r="F1858" s="368"/>
      <c r="G1858" s="368"/>
      <c r="H1858" s="368"/>
      <c r="I1858" s="368"/>
      <c r="J1858" s="368"/>
    </row>
    <row r="1859" spans="3:10" x14ac:dyDescent="0.2">
      <c r="C1859" s="368"/>
      <c r="D1859" s="368"/>
      <c r="F1859" s="368"/>
      <c r="G1859" s="368"/>
      <c r="H1859" s="368"/>
      <c r="I1859" s="368"/>
      <c r="J1859" s="368"/>
    </row>
    <row r="1860" spans="3:10" x14ac:dyDescent="0.2">
      <c r="C1860" s="368"/>
      <c r="D1860" s="368"/>
      <c r="F1860" s="368"/>
      <c r="G1860" s="368"/>
      <c r="H1860" s="368"/>
      <c r="I1860" s="368"/>
      <c r="J1860" s="368"/>
    </row>
    <row r="1861" spans="3:10" x14ac:dyDescent="0.2">
      <c r="C1861" s="368"/>
      <c r="D1861" s="368"/>
      <c r="F1861" s="368"/>
      <c r="G1861" s="368"/>
      <c r="H1861" s="368"/>
      <c r="I1861" s="368"/>
      <c r="J1861" s="368"/>
    </row>
    <row r="1862" spans="3:10" x14ac:dyDescent="0.2">
      <c r="C1862" s="368"/>
      <c r="D1862" s="368"/>
      <c r="F1862" s="368"/>
      <c r="G1862" s="368"/>
      <c r="H1862" s="368"/>
      <c r="I1862" s="368"/>
      <c r="J1862" s="368"/>
    </row>
    <row r="1863" spans="3:10" x14ac:dyDescent="0.2">
      <c r="C1863" s="368"/>
      <c r="D1863" s="368"/>
      <c r="F1863" s="368"/>
      <c r="G1863" s="368"/>
      <c r="H1863" s="368"/>
      <c r="I1863" s="368"/>
      <c r="J1863" s="368"/>
    </row>
    <row r="1864" spans="3:10" x14ac:dyDescent="0.2">
      <c r="C1864" s="368"/>
      <c r="D1864" s="368"/>
      <c r="F1864" s="368"/>
      <c r="G1864" s="368"/>
      <c r="H1864" s="368"/>
      <c r="I1864" s="368"/>
      <c r="J1864" s="368"/>
    </row>
    <row r="1865" spans="3:10" x14ac:dyDescent="0.2">
      <c r="C1865" s="368"/>
      <c r="D1865" s="368"/>
      <c r="F1865" s="368"/>
      <c r="G1865" s="368"/>
      <c r="H1865" s="368"/>
      <c r="I1865" s="368"/>
      <c r="J1865" s="368"/>
    </row>
    <row r="1866" spans="3:10" x14ac:dyDescent="0.2">
      <c r="C1866" s="368"/>
      <c r="D1866" s="368"/>
      <c r="F1866" s="368"/>
      <c r="G1866" s="368"/>
      <c r="H1866" s="368"/>
      <c r="I1866" s="368"/>
      <c r="J1866" s="368"/>
    </row>
    <row r="1867" spans="3:10" x14ac:dyDescent="0.2">
      <c r="C1867" s="368"/>
      <c r="D1867" s="368"/>
      <c r="F1867" s="368"/>
      <c r="G1867" s="368"/>
      <c r="H1867" s="368"/>
      <c r="I1867" s="368"/>
      <c r="J1867" s="368"/>
    </row>
    <row r="1868" spans="3:10" x14ac:dyDescent="0.2">
      <c r="C1868" s="368"/>
      <c r="D1868" s="368"/>
      <c r="F1868" s="368"/>
      <c r="G1868" s="368"/>
      <c r="H1868" s="368"/>
      <c r="I1868" s="368"/>
      <c r="J1868" s="368"/>
    </row>
    <row r="1869" spans="3:10" x14ac:dyDescent="0.2">
      <c r="C1869" s="368"/>
      <c r="D1869" s="368"/>
      <c r="F1869" s="368"/>
      <c r="G1869" s="368"/>
      <c r="H1869" s="368"/>
      <c r="I1869" s="368"/>
      <c r="J1869" s="368"/>
    </row>
    <row r="1870" spans="3:10" x14ac:dyDescent="0.2">
      <c r="C1870" s="368"/>
      <c r="D1870" s="368"/>
      <c r="F1870" s="368"/>
      <c r="G1870" s="368"/>
      <c r="H1870" s="368"/>
      <c r="I1870" s="368"/>
      <c r="J1870" s="368"/>
    </row>
    <row r="1871" spans="3:10" x14ac:dyDescent="0.2">
      <c r="C1871" s="368"/>
      <c r="D1871" s="368"/>
      <c r="F1871" s="368"/>
      <c r="G1871" s="368"/>
      <c r="H1871" s="368"/>
      <c r="I1871" s="368"/>
      <c r="J1871" s="368"/>
    </row>
    <row r="1872" spans="3:10" x14ac:dyDescent="0.2">
      <c r="C1872" s="368"/>
      <c r="D1872" s="368"/>
      <c r="F1872" s="368"/>
      <c r="G1872" s="368"/>
      <c r="H1872" s="368"/>
      <c r="I1872" s="368"/>
      <c r="J1872" s="368"/>
    </row>
    <row r="1873" spans="3:10" x14ac:dyDescent="0.2">
      <c r="C1873" s="368"/>
      <c r="D1873" s="368"/>
      <c r="F1873" s="368"/>
      <c r="G1873" s="368"/>
      <c r="H1873" s="368"/>
      <c r="I1873" s="368"/>
      <c r="J1873" s="368"/>
    </row>
    <row r="1874" spans="3:10" x14ac:dyDescent="0.2">
      <c r="C1874" s="368"/>
      <c r="D1874" s="368"/>
      <c r="F1874" s="368"/>
      <c r="G1874" s="368"/>
      <c r="H1874" s="368"/>
      <c r="I1874" s="368"/>
      <c r="J1874" s="368"/>
    </row>
    <row r="1875" spans="3:10" x14ac:dyDescent="0.2">
      <c r="C1875" s="368"/>
      <c r="D1875" s="368"/>
      <c r="F1875" s="368"/>
      <c r="G1875" s="368"/>
      <c r="H1875" s="368"/>
      <c r="I1875" s="368"/>
      <c r="J1875" s="368"/>
    </row>
    <row r="1876" spans="3:10" x14ac:dyDescent="0.2">
      <c r="C1876" s="368"/>
      <c r="D1876" s="368"/>
      <c r="F1876" s="368"/>
      <c r="G1876" s="368"/>
      <c r="H1876" s="368"/>
      <c r="I1876" s="368"/>
      <c r="J1876" s="368"/>
    </row>
    <row r="1877" spans="3:10" x14ac:dyDescent="0.2">
      <c r="C1877" s="368"/>
      <c r="D1877" s="368"/>
      <c r="F1877" s="368"/>
      <c r="G1877" s="368"/>
      <c r="H1877" s="368"/>
      <c r="I1877" s="368"/>
      <c r="J1877" s="368"/>
    </row>
    <row r="1878" spans="3:10" x14ac:dyDescent="0.2">
      <c r="C1878" s="368"/>
      <c r="D1878" s="368"/>
      <c r="F1878" s="368"/>
      <c r="G1878" s="368"/>
      <c r="H1878" s="368"/>
      <c r="I1878" s="368"/>
      <c r="J1878" s="368"/>
    </row>
    <row r="1879" spans="3:10" x14ac:dyDescent="0.2">
      <c r="C1879" s="368"/>
      <c r="D1879" s="368"/>
      <c r="F1879" s="368"/>
      <c r="G1879" s="368"/>
      <c r="H1879" s="368"/>
      <c r="I1879" s="368"/>
      <c r="J1879" s="368"/>
    </row>
    <row r="1880" spans="3:10" x14ac:dyDescent="0.2">
      <c r="C1880" s="368"/>
      <c r="D1880" s="368"/>
      <c r="F1880" s="368"/>
      <c r="G1880" s="368"/>
      <c r="H1880" s="368"/>
      <c r="I1880" s="368"/>
      <c r="J1880" s="368"/>
    </row>
    <row r="1881" spans="3:10" x14ac:dyDescent="0.2">
      <c r="C1881" s="368"/>
      <c r="D1881" s="368"/>
      <c r="F1881" s="368"/>
      <c r="G1881" s="368"/>
      <c r="H1881" s="368"/>
      <c r="I1881" s="368"/>
      <c r="J1881" s="368"/>
    </row>
    <row r="1882" spans="3:10" x14ac:dyDescent="0.2">
      <c r="C1882" s="368"/>
      <c r="D1882" s="368"/>
      <c r="F1882" s="368"/>
      <c r="G1882" s="368"/>
      <c r="H1882" s="368"/>
      <c r="I1882" s="368"/>
      <c r="J1882" s="368"/>
    </row>
    <row r="1883" spans="3:10" x14ac:dyDescent="0.2">
      <c r="C1883" s="368"/>
      <c r="D1883" s="368"/>
      <c r="F1883" s="368"/>
      <c r="G1883" s="368"/>
      <c r="H1883" s="368"/>
      <c r="I1883" s="368"/>
      <c r="J1883" s="368"/>
    </row>
    <row r="1884" spans="3:10" x14ac:dyDescent="0.2">
      <c r="C1884" s="368"/>
      <c r="D1884" s="368"/>
      <c r="F1884" s="368"/>
      <c r="G1884" s="368"/>
      <c r="H1884" s="368"/>
      <c r="I1884" s="368"/>
      <c r="J1884" s="368"/>
    </row>
    <row r="1885" spans="3:10" x14ac:dyDescent="0.2">
      <c r="C1885" s="368"/>
      <c r="D1885" s="368"/>
      <c r="F1885" s="368"/>
      <c r="G1885" s="368"/>
      <c r="H1885" s="368"/>
      <c r="I1885" s="368"/>
      <c r="J1885" s="368"/>
    </row>
    <row r="1886" spans="3:10" x14ac:dyDescent="0.2">
      <c r="C1886" s="368"/>
      <c r="D1886" s="368"/>
      <c r="F1886" s="368"/>
      <c r="G1886" s="368"/>
      <c r="H1886" s="368"/>
      <c r="I1886" s="368"/>
      <c r="J1886" s="368"/>
    </row>
    <row r="1887" spans="3:10" x14ac:dyDescent="0.2">
      <c r="C1887" s="368"/>
      <c r="D1887" s="368"/>
      <c r="F1887" s="368"/>
      <c r="G1887" s="368"/>
      <c r="H1887" s="368"/>
      <c r="I1887" s="368"/>
      <c r="J1887" s="368"/>
    </row>
    <row r="1888" spans="3:10" x14ac:dyDescent="0.2">
      <c r="C1888" s="368"/>
      <c r="D1888" s="368"/>
      <c r="F1888" s="368"/>
      <c r="G1888" s="368"/>
      <c r="H1888" s="368"/>
      <c r="I1888" s="368"/>
      <c r="J1888" s="368"/>
    </row>
    <row r="1889" spans="3:10" x14ac:dyDescent="0.2">
      <c r="C1889" s="368"/>
      <c r="D1889" s="368"/>
      <c r="F1889" s="368"/>
      <c r="G1889" s="368"/>
      <c r="H1889" s="368"/>
      <c r="I1889" s="368"/>
      <c r="J1889" s="368"/>
    </row>
    <row r="1890" spans="3:10" x14ac:dyDescent="0.2">
      <c r="C1890" s="368"/>
      <c r="D1890" s="368"/>
      <c r="F1890" s="368"/>
      <c r="G1890" s="368"/>
      <c r="H1890" s="368"/>
      <c r="I1890" s="368"/>
      <c r="J1890" s="368"/>
    </row>
    <row r="1891" spans="3:10" x14ac:dyDescent="0.2">
      <c r="C1891" s="368"/>
      <c r="D1891" s="368"/>
      <c r="F1891" s="368"/>
      <c r="G1891" s="368"/>
      <c r="H1891" s="368"/>
      <c r="I1891" s="368"/>
      <c r="J1891" s="368"/>
    </row>
    <row r="1892" spans="3:10" x14ac:dyDescent="0.2">
      <c r="C1892" s="368"/>
      <c r="D1892" s="368"/>
      <c r="F1892" s="368"/>
      <c r="G1892" s="368"/>
      <c r="H1892" s="368"/>
      <c r="I1892" s="368"/>
      <c r="J1892" s="368"/>
    </row>
    <row r="1893" spans="3:10" x14ac:dyDescent="0.2">
      <c r="C1893" s="368"/>
      <c r="D1893" s="368"/>
      <c r="F1893" s="368"/>
      <c r="G1893" s="368"/>
      <c r="H1893" s="368"/>
      <c r="I1893" s="368"/>
      <c r="J1893" s="368"/>
    </row>
    <row r="1894" spans="3:10" x14ac:dyDescent="0.2">
      <c r="C1894" s="368"/>
      <c r="D1894" s="368"/>
      <c r="F1894" s="368"/>
      <c r="G1894" s="368"/>
      <c r="H1894" s="368"/>
      <c r="I1894" s="368"/>
      <c r="J1894" s="368"/>
    </row>
    <row r="1895" spans="3:10" x14ac:dyDescent="0.2">
      <c r="C1895" s="368"/>
      <c r="D1895" s="368"/>
      <c r="F1895" s="368"/>
      <c r="G1895" s="368"/>
      <c r="H1895" s="368"/>
      <c r="I1895" s="368"/>
      <c r="J1895" s="368"/>
    </row>
    <row r="1896" spans="3:10" x14ac:dyDescent="0.2">
      <c r="C1896" s="368"/>
      <c r="D1896" s="368"/>
      <c r="F1896" s="368"/>
      <c r="G1896" s="368"/>
      <c r="H1896" s="368"/>
      <c r="I1896" s="368"/>
      <c r="J1896" s="368"/>
    </row>
    <row r="1897" spans="3:10" x14ac:dyDescent="0.2">
      <c r="C1897" s="368"/>
      <c r="D1897" s="368"/>
      <c r="F1897" s="368"/>
      <c r="G1897" s="368"/>
      <c r="H1897" s="368"/>
      <c r="I1897" s="368"/>
      <c r="J1897" s="368"/>
    </row>
    <row r="1898" spans="3:10" x14ac:dyDescent="0.2">
      <c r="C1898" s="368"/>
      <c r="D1898" s="368"/>
      <c r="F1898" s="368"/>
      <c r="G1898" s="368"/>
      <c r="H1898" s="368"/>
      <c r="I1898" s="368"/>
      <c r="J1898" s="368"/>
    </row>
    <row r="1899" spans="3:10" x14ac:dyDescent="0.2">
      <c r="C1899" s="368"/>
      <c r="D1899" s="368"/>
      <c r="F1899" s="368"/>
      <c r="G1899" s="368"/>
      <c r="H1899" s="368"/>
      <c r="I1899" s="368"/>
      <c r="J1899" s="368"/>
    </row>
    <row r="1900" spans="3:10" x14ac:dyDescent="0.2">
      <c r="C1900" s="368"/>
      <c r="D1900" s="368"/>
      <c r="F1900" s="368"/>
      <c r="G1900" s="368"/>
      <c r="H1900" s="368"/>
      <c r="I1900" s="368"/>
      <c r="J1900" s="368"/>
    </row>
    <row r="1901" spans="3:10" x14ac:dyDescent="0.2">
      <c r="C1901" s="368"/>
      <c r="D1901" s="368"/>
      <c r="F1901" s="368"/>
      <c r="G1901" s="368"/>
      <c r="H1901" s="368"/>
      <c r="I1901" s="368"/>
      <c r="J1901" s="368"/>
    </row>
    <row r="1902" spans="3:10" x14ac:dyDescent="0.2">
      <c r="C1902" s="368"/>
      <c r="D1902" s="368"/>
      <c r="F1902" s="368"/>
      <c r="G1902" s="368"/>
      <c r="H1902" s="368"/>
      <c r="I1902" s="368"/>
      <c r="J1902" s="368"/>
    </row>
    <row r="1903" spans="3:10" x14ac:dyDescent="0.2">
      <c r="C1903" s="368"/>
      <c r="D1903" s="368"/>
      <c r="F1903" s="368"/>
      <c r="G1903" s="368"/>
      <c r="H1903" s="368"/>
      <c r="I1903" s="368"/>
      <c r="J1903" s="368"/>
    </row>
    <row r="1904" spans="3:10" x14ac:dyDescent="0.2">
      <c r="C1904" s="368"/>
      <c r="D1904" s="368"/>
      <c r="F1904" s="368"/>
      <c r="G1904" s="368"/>
      <c r="H1904" s="368"/>
      <c r="I1904" s="368"/>
      <c r="J1904" s="368"/>
    </row>
    <row r="1905" spans="3:10" x14ac:dyDescent="0.2">
      <c r="C1905" s="368"/>
      <c r="D1905" s="368"/>
      <c r="F1905" s="368"/>
      <c r="G1905" s="368"/>
      <c r="H1905" s="368"/>
      <c r="I1905" s="368"/>
      <c r="J1905" s="368"/>
    </row>
    <row r="1906" spans="3:10" x14ac:dyDescent="0.2">
      <c r="C1906" s="368"/>
      <c r="D1906" s="368"/>
      <c r="F1906" s="368"/>
      <c r="G1906" s="368"/>
      <c r="H1906" s="368"/>
      <c r="I1906" s="368"/>
      <c r="J1906" s="368"/>
    </row>
    <row r="1907" spans="3:10" x14ac:dyDescent="0.2">
      <c r="C1907" s="368"/>
      <c r="D1907" s="368"/>
      <c r="F1907" s="368"/>
      <c r="G1907" s="368"/>
      <c r="H1907" s="368"/>
      <c r="I1907" s="368"/>
      <c r="J1907" s="368"/>
    </row>
    <row r="1908" spans="3:10" x14ac:dyDescent="0.2">
      <c r="C1908" s="368"/>
      <c r="D1908" s="368"/>
      <c r="F1908" s="368"/>
      <c r="G1908" s="368"/>
      <c r="H1908" s="368"/>
      <c r="I1908" s="368"/>
      <c r="J1908" s="368"/>
    </row>
    <row r="1909" spans="3:10" x14ac:dyDescent="0.2">
      <c r="C1909" s="368"/>
      <c r="D1909" s="368"/>
      <c r="F1909" s="368"/>
      <c r="G1909" s="368"/>
      <c r="H1909" s="368"/>
      <c r="I1909" s="368"/>
      <c r="J1909" s="368"/>
    </row>
    <row r="1910" spans="3:10" x14ac:dyDescent="0.2">
      <c r="C1910" s="368"/>
      <c r="D1910" s="368"/>
      <c r="F1910" s="368"/>
      <c r="G1910" s="368"/>
      <c r="H1910" s="368"/>
      <c r="I1910" s="368"/>
      <c r="J1910" s="368"/>
    </row>
    <row r="1911" spans="3:10" x14ac:dyDescent="0.2">
      <c r="C1911" s="368"/>
      <c r="D1911" s="368"/>
      <c r="F1911" s="368"/>
      <c r="G1911" s="368"/>
      <c r="H1911" s="368"/>
      <c r="I1911" s="368"/>
      <c r="J1911" s="368"/>
    </row>
    <row r="1912" spans="3:10" x14ac:dyDescent="0.2">
      <c r="C1912" s="368"/>
      <c r="D1912" s="368"/>
      <c r="F1912" s="368"/>
      <c r="G1912" s="368"/>
      <c r="H1912" s="368"/>
      <c r="I1912" s="368"/>
      <c r="J1912" s="368"/>
    </row>
    <row r="1913" spans="3:10" x14ac:dyDescent="0.2">
      <c r="C1913" s="368"/>
      <c r="D1913" s="368"/>
      <c r="F1913" s="368"/>
      <c r="G1913" s="368"/>
      <c r="H1913" s="368"/>
      <c r="I1913" s="368"/>
      <c r="J1913" s="368"/>
    </row>
    <row r="1914" spans="3:10" x14ac:dyDescent="0.2">
      <c r="C1914" s="368"/>
      <c r="D1914" s="368"/>
      <c r="F1914" s="368"/>
      <c r="G1914" s="368"/>
      <c r="H1914" s="368"/>
      <c r="I1914" s="368"/>
      <c r="J1914" s="368"/>
    </row>
    <row r="1915" spans="3:10" x14ac:dyDescent="0.2">
      <c r="C1915" s="368"/>
      <c r="D1915" s="368"/>
      <c r="F1915" s="368"/>
      <c r="G1915" s="368"/>
      <c r="H1915" s="368"/>
      <c r="I1915" s="368"/>
      <c r="J1915" s="368"/>
    </row>
    <row r="1916" spans="3:10" x14ac:dyDescent="0.2">
      <c r="C1916" s="368"/>
      <c r="D1916" s="368"/>
      <c r="F1916" s="368"/>
      <c r="G1916" s="368"/>
      <c r="H1916" s="368"/>
      <c r="I1916" s="368"/>
      <c r="J1916" s="368"/>
    </row>
    <row r="1917" spans="3:10" x14ac:dyDescent="0.2">
      <c r="C1917" s="368"/>
      <c r="D1917" s="368"/>
      <c r="F1917" s="368"/>
      <c r="G1917" s="368"/>
      <c r="H1917" s="368"/>
      <c r="I1917" s="368"/>
      <c r="J1917" s="368"/>
    </row>
    <row r="1918" spans="3:10" x14ac:dyDescent="0.2">
      <c r="C1918" s="368"/>
      <c r="D1918" s="368"/>
      <c r="F1918" s="368"/>
      <c r="G1918" s="368"/>
      <c r="H1918" s="368"/>
      <c r="I1918" s="368"/>
      <c r="J1918" s="368"/>
    </row>
    <row r="1919" spans="3:10" x14ac:dyDescent="0.2">
      <c r="C1919" s="368"/>
      <c r="D1919" s="368"/>
      <c r="F1919" s="368"/>
      <c r="G1919" s="368"/>
      <c r="H1919" s="368"/>
      <c r="I1919" s="368"/>
      <c r="J1919" s="368"/>
    </row>
    <row r="1920" spans="3:10" x14ac:dyDescent="0.2">
      <c r="C1920" s="368"/>
      <c r="D1920" s="368"/>
      <c r="F1920" s="368"/>
      <c r="G1920" s="368"/>
      <c r="H1920" s="368"/>
      <c r="I1920" s="368"/>
      <c r="J1920" s="368"/>
    </row>
    <row r="1921" spans="3:10" x14ac:dyDescent="0.2">
      <c r="C1921" s="368"/>
      <c r="D1921" s="368"/>
      <c r="F1921" s="368"/>
      <c r="G1921" s="368"/>
      <c r="H1921" s="368"/>
      <c r="I1921" s="368"/>
      <c r="J1921" s="368"/>
    </row>
    <row r="1922" spans="3:10" x14ac:dyDescent="0.2">
      <c r="C1922" s="368"/>
      <c r="D1922" s="368"/>
      <c r="F1922" s="368"/>
      <c r="G1922" s="368"/>
      <c r="H1922" s="368"/>
      <c r="I1922" s="368"/>
      <c r="J1922" s="368"/>
    </row>
    <row r="1923" spans="3:10" x14ac:dyDescent="0.2">
      <c r="C1923" s="368"/>
      <c r="D1923" s="368"/>
      <c r="F1923" s="368"/>
      <c r="G1923" s="368"/>
      <c r="H1923" s="368"/>
      <c r="I1923" s="368"/>
      <c r="J1923" s="368"/>
    </row>
    <row r="1924" spans="3:10" x14ac:dyDescent="0.2">
      <c r="C1924" s="368"/>
      <c r="D1924" s="368"/>
      <c r="F1924" s="368"/>
      <c r="G1924" s="368"/>
      <c r="H1924" s="368"/>
      <c r="I1924" s="368"/>
      <c r="J1924" s="368"/>
    </row>
    <row r="1925" spans="3:10" x14ac:dyDescent="0.2">
      <c r="C1925" s="368"/>
      <c r="D1925" s="368"/>
      <c r="F1925" s="368"/>
      <c r="G1925" s="368"/>
      <c r="H1925" s="368"/>
      <c r="I1925" s="368"/>
      <c r="J1925" s="368"/>
    </row>
    <row r="1926" spans="3:10" x14ac:dyDescent="0.2">
      <c r="C1926" s="368"/>
      <c r="D1926" s="368"/>
      <c r="F1926" s="368"/>
      <c r="G1926" s="368"/>
      <c r="H1926" s="368"/>
      <c r="I1926" s="368"/>
      <c r="J1926" s="368"/>
    </row>
    <row r="1927" spans="3:10" x14ac:dyDescent="0.2">
      <c r="C1927" s="368"/>
      <c r="D1927" s="368"/>
      <c r="F1927" s="368"/>
      <c r="G1927" s="368"/>
      <c r="H1927" s="368"/>
      <c r="I1927" s="368"/>
      <c r="J1927" s="368"/>
    </row>
    <row r="1928" spans="3:10" x14ac:dyDescent="0.2">
      <c r="C1928" s="368"/>
      <c r="D1928" s="368"/>
      <c r="F1928" s="368"/>
      <c r="G1928" s="368"/>
      <c r="H1928" s="368"/>
      <c r="I1928" s="368"/>
      <c r="J1928" s="368"/>
    </row>
    <row r="1929" spans="3:10" x14ac:dyDescent="0.2">
      <c r="C1929" s="368"/>
      <c r="D1929" s="368"/>
      <c r="F1929" s="368"/>
      <c r="G1929" s="368"/>
      <c r="H1929" s="368"/>
      <c r="I1929" s="368"/>
      <c r="J1929" s="368"/>
    </row>
    <row r="1930" spans="3:10" x14ac:dyDescent="0.2">
      <c r="C1930" s="368"/>
      <c r="D1930" s="368"/>
      <c r="F1930" s="368"/>
      <c r="G1930" s="368"/>
      <c r="H1930" s="368"/>
      <c r="I1930" s="368"/>
      <c r="J1930" s="368"/>
    </row>
    <row r="1931" spans="3:10" x14ac:dyDescent="0.2">
      <c r="C1931" s="368"/>
      <c r="D1931" s="368"/>
      <c r="F1931" s="368"/>
      <c r="G1931" s="368"/>
      <c r="H1931" s="368"/>
      <c r="I1931" s="368"/>
      <c r="J1931" s="368"/>
    </row>
    <row r="1932" spans="3:10" x14ac:dyDescent="0.2">
      <c r="C1932" s="368"/>
      <c r="D1932" s="368"/>
      <c r="F1932" s="368"/>
      <c r="G1932" s="368"/>
      <c r="H1932" s="368"/>
      <c r="I1932" s="368"/>
      <c r="J1932" s="368"/>
    </row>
    <row r="1933" spans="3:10" x14ac:dyDescent="0.2">
      <c r="C1933" s="368"/>
      <c r="D1933" s="368"/>
      <c r="F1933" s="368"/>
      <c r="G1933" s="368"/>
      <c r="H1933" s="368"/>
      <c r="I1933" s="368"/>
      <c r="J1933" s="368"/>
    </row>
    <row r="1934" spans="3:10" x14ac:dyDescent="0.2">
      <c r="C1934" s="368"/>
      <c r="D1934" s="368"/>
      <c r="F1934" s="368"/>
      <c r="G1934" s="368"/>
      <c r="H1934" s="368"/>
      <c r="I1934" s="368"/>
      <c r="J1934" s="368"/>
    </row>
    <row r="1935" spans="3:10" x14ac:dyDescent="0.2">
      <c r="C1935" s="368"/>
      <c r="D1935" s="368"/>
      <c r="F1935" s="368"/>
      <c r="G1935" s="368"/>
      <c r="H1935" s="368"/>
      <c r="I1935" s="368"/>
      <c r="J1935" s="368"/>
    </row>
    <row r="1936" spans="3:10" x14ac:dyDescent="0.2">
      <c r="C1936" s="368"/>
      <c r="D1936" s="368"/>
      <c r="F1936" s="368"/>
      <c r="G1936" s="368"/>
      <c r="H1936" s="368"/>
      <c r="I1936" s="368"/>
      <c r="J1936" s="368"/>
    </row>
    <row r="1937" spans="3:10" x14ac:dyDescent="0.2">
      <c r="C1937" s="368"/>
      <c r="D1937" s="368"/>
      <c r="F1937" s="368"/>
      <c r="G1937" s="368"/>
      <c r="H1937" s="368"/>
      <c r="I1937" s="368"/>
      <c r="J1937" s="368"/>
    </row>
    <row r="1938" spans="3:10" x14ac:dyDescent="0.2">
      <c r="C1938" s="368"/>
      <c r="D1938" s="368"/>
      <c r="F1938" s="368"/>
      <c r="G1938" s="368"/>
      <c r="H1938" s="368"/>
      <c r="I1938" s="368"/>
      <c r="J1938" s="368"/>
    </row>
    <row r="1939" spans="3:10" x14ac:dyDescent="0.2">
      <c r="C1939" s="368"/>
      <c r="D1939" s="368"/>
      <c r="F1939" s="368"/>
      <c r="G1939" s="368"/>
      <c r="H1939" s="368"/>
      <c r="I1939" s="368"/>
      <c r="J1939" s="368"/>
    </row>
    <row r="1940" spans="3:10" x14ac:dyDescent="0.2">
      <c r="C1940" s="368"/>
      <c r="D1940" s="368"/>
      <c r="F1940" s="368"/>
      <c r="G1940" s="368"/>
      <c r="H1940" s="368"/>
      <c r="I1940" s="368"/>
      <c r="J1940" s="368"/>
    </row>
    <row r="1941" spans="3:10" x14ac:dyDescent="0.2">
      <c r="C1941" s="368"/>
      <c r="D1941" s="368"/>
      <c r="F1941" s="368"/>
      <c r="G1941" s="368"/>
      <c r="H1941" s="368"/>
      <c r="I1941" s="368"/>
      <c r="J1941" s="368"/>
    </row>
    <row r="1942" spans="3:10" x14ac:dyDescent="0.2">
      <c r="C1942" s="368"/>
      <c r="D1942" s="368"/>
      <c r="F1942" s="368"/>
      <c r="G1942" s="368"/>
      <c r="H1942" s="368"/>
      <c r="I1942" s="368"/>
      <c r="J1942" s="368"/>
    </row>
    <row r="1943" spans="3:10" x14ac:dyDescent="0.2">
      <c r="C1943" s="368"/>
      <c r="D1943" s="368"/>
      <c r="F1943" s="368"/>
      <c r="G1943" s="368"/>
      <c r="H1943" s="368"/>
      <c r="I1943" s="368"/>
      <c r="J1943" s="368"/>
    </row>
    <row r="1944" spans="3:10" x14ac:dyDescent="0.2">
      <c r="C1944" s="368"/>
      <c r="D1944" s="368"/>
      <c r="F1944" s="368"/>
      <c r="G1944" s="368"/>
      <c r="H1944" s="368"/>
      <c r="I1944" s="368"/>
      <c r="J1944" s="368"/>
    </row>
    <row r="1945" spans="3:10" x14ac:dyDescent="0.2">
      <c r="C1945" s="368"/>
      <c r="D1945" s="368"/>
      <c r="F1945" s="368"/>
      <c r="G1945" s="368"/>
      <c r="H1945" s="368"/>
      <c r="I1945" s="368"/>
      <c r="J1945" s="368"/>
    </row>
    <row r="1946" spans="3:10" x14ac:dyDescent="0.2">
      <c r="C1946" s="368"/>
      <c r="D1946" s="368"/>
      <c r="F1946" s="368"/>
      <c r="G1946" s="368"/>
      <c r="H1946" s="368"/>
      <c r="I1946" s="368"/>
      <c r="J1946" s="368"/>
    </row>
    <row r="1947" spans="3:10" x14ac:dyDescent="0.2">
      <c r="C1947" s="368"/>
      <c r="D1947" s="368"/>
      <c r="F1947" s="368"/>
      <c r="G1947" s="368"/>
      <c r="H1947" s="368"/>
      <c r="I1947" s="368"/>
      <c r="J1947" s="368"/>
    </row>
    <row r="1948" spans="3:10" x14ac:dyDescent="0.2">
      <c r="C1948" s="368"/>
      <c r="D1948" s="368"/>
      <c r="F1948" s="368"/>
      <c r="G1948" s="368"/>
      <c r="H1948" s="368"/>
      <c r="I1948" s="368"/>
      <c r="J1948" s="368"/>
    </row>
    <row r="1949" spans="3:10" x14ac:dyDescent="0.2">
      <c r="C1949" s="368"/>
      <c r="D1949" s="368"/>
      <c r="F1949" s="368"/>
      <c r="G1949" s="368"/>
      <c r="H1949" s="368"/>
      <c r="I1949" s="368"/>
      <c r="J1949" s="368"/>
    </row>
    <row r="1950" spans="3:10" x14ac:dyDescent="0.2">
      <c r="C1950" s="368"/>
      <c r="D1950" s="368"/>
      <c r="F1950" s="368"/>
      <c r="G1950" s="368"/>
      <c r="H1950" s="368"/>
      <c r="I1950" s="368"/>
      <c r="J1950" s="368"/>
    </row>
    <row r="1951" spans="3:10" x14ac:dyDescent="0.2">
      <c r="C1951" s="368"/>
      <c r="D1951" s="368"/>
      <c r="F1951" s="368"/>
      <c r="G1951" s="368"/>
      <c r="H1951" s="368"/>
      <c r="I1951" s="368"/>
      <c r="J1951" s="368"/>
    </row>
    <row r="1952" spans="3:10" x14ac:dyDescent="0.2">
      <c r="C1952" s="368"/>
      <c r="D1952" s="368"/>
      <c r="F1952" s="368"/>
      <c r="G1952" s="368"/>
      <c r="H1952" s="368"/>
      <c r="I1952" s="368"/>
      <c r="J1952" s="368"/>
    </row>
    <row r="1953" spans="3:10" x14ac:dyDescent="0.2">
      <c r="C1953" s="368"/>
      <c r="D1953" s="368"/>
      <c r="F1953" s="368"/>
      <c r="G1953" s="368"/>
      <c r="H1953" s="368"/>
      <c r="I1953" s="368"/>
      <c r="J1953" s="368"/>
    </row>
    <row r="1954" spans="3:10" x14ac:dyDescent="0.2">
      <c r="C1954" s="368"/>
      <c r="D1954" s="368"/>
      <c r="F1954" s="368"/>
      <c r="G1954" s="368"/>
      <c r="H1954" s="368"/>
      <c r="I1954" s="368"/>
      <c r="J1954" s="368"/>
    </row>
    <row r="1955" spans="3:10" x14ac:dyDescent="0.2">
      <c r="C1955" s="368"/>
      <c r="D1955" s="368"/>
      <c r="F1955" s="368"/>
      <c r="G1955" s="368"/>
      <c r="H1955" s="368"/>
      <c r="I1955" s="368"/>
      <c r="J1955" s="368"/>
    </row>
    <row r="1956" spans="3:10" x14ac:dyDescent="0.2">
      <c r="C1956" s="368"/>
      <c r="D1956" s="368"/>
      <c r="F1956" s="368"/>
      <c r="G1956" s="368"/>
      <c r="H1956" s="368"/>
      <c r="I1956" s="368"/>
      <c r="J1956" s="368"/>
    </row>
    <row r="1957" spans="3:10" x14ac:dyDescent="0.2">
      <c r="C1957" s="368"/>
      <c r="D1957" s="368"/>
      <c r="F1957" s="368"/>
      <c r="G1957" s="368"/>
      <c r="H1957" s="368"/>
      <c r="I1957" s="368"/>
      <c r="J1957" s="368"/>
    </row>
    <row r="1958" spans="3:10" x14ac:dyDescent="0.2">
      <c r="C1958" s="368"/>
      <c r="D1958" s="368"/>
      <c r="F1958" s="368"/>
      <c r="G1958" s="368"/>
      <c r="H1958" s="368"/>
      <c r="I1958" s="368"/>
      <c r="J1958" s="368"/>
    </row>
    <row r="1959" spans="3:10" x14ac:dyDescent="0.2">
      <c r="C1959" s="368"/>
      <c r="D1959" s="368"/>
      <c r="F1959" s="368"/>
      <c r="G1959" s="368"/>
      <c r="H1959" s="368"/>
      <c r="I1959" s="368"/>
      <c r="J1959" s="368"/>
    </row>
    <row r="1960" spans="3:10" x14ac:dyDescent="0.2">
      <c r="C1960" s="368"/>
      <c r="D1960" s="368"/>
      <c r="F1960" s="368"/>
      <c r="G1960" s="368"/>
      <c r="H1960" s="368"/>
      <c r="I1960" s="368"/>
      <c r="J1960" s="368"/>
    </row>
    <row r="1961" spans="3:10" x14ac:dyDescent="0.2">
      <c r="C1961" s="368"/>
      <c r="D1961" s="368"/>
      <c r="F1961" s="368"/>
      <c r="G1961" s="368"/>
      <c r="H1961" s="368"/>
      <c r="I1961" s="368"/>
      <c r="J1961" s="368"/>
    </row>
    <row r="1962" spans="3:10" x14ac:dyDescent="0.2">
      <c r="C1962" s="368"/>
      <c r="D1962" s="368"/>
      <c r="F1962" s="368"/>
      <c r="G1962" s="368"/>
      <c r="H1962" s="368"/>
      <c r="I1962" s="368"/>
      <c r="J1962" s="368"/>
    </row>
    <row r="1963" spans="3:10" x14ac:dyDescent="0.2">
      <c r="C1963" s="368"/>
      <c r="D1963" s="368"/>
      <c r="F1963" s="368"/>
      <c r="G1963" s="368"/>
      <c r="H1963" s="368"/>
      <c r="I1963" s="368"/>
      <c r="J1963" s="368"/>
    </row>
    <row r="1964" spans="3:10" x14ac:dyDescent="0.2">
      <c r="C1964" s="368"/>
      <c r="D1964" s="368"/>
      <c r="F1964" s="368"/>
      <c r="G1964" s="368"/>
      <c r="H1964" s="368"/>
      <c r="I1964" s="368"/>
      <c r="J1964" s="368"/>
    </row>
    <row r="1965" spans="3:10" x14ac:dyDescent="0.2">
      <c r="C1965" s="368"/>
      <c r="D1965" s="368"/>
      <c r="F1965" s="368"/>
      <c r="G1965" s="368"/>
      <c r="H1965" s="368"/>
      <c r="I1965" s="368"/>
      <c r="J1965" s="368"/>
    </row>
    <row r="1966" spans="3:10" x14ac:dyDescent="0.2">
      <c r="C1966" s="368"/>
      <c r="D1966" s="368"/>
      <c r="F1966" s="368"/>
      <c r="G1966" s="368"/>
      <c r="H1966" s="368"/>
      <c r="I1966" s="368"/>
      <c r="J1966" s="368"/>
    </row>
    <row r="1967" spans="3:10" x14ac:dyDescent="0.2">
      <c r="C1967" s="368"/>
      <c r="D1967" s="368"/>
      <c r="F1967" s="368"/>
      <c r="G1967" s="368"/>
      <c r="H1967" s="368"/>
      <c r="I1967" s="368"/>
      <c r="J1967" s="368"/>
    </row>
    <row r="1968" spans="3:10" x14ac:dyDescent="0.2">
      <c r="C1968" s="368"/>
      <c r="D1968" s="368"/>
      <c r="F1968" s="368"/>
      <c r="G1968" s="368"/>
      <c r="H1968" s="368"/>
      <c r="I1968" s="368"/>
      <c r="J1968" s="368"/>
    </row>
    <row r="1969" spans="3:10" x14ac:dyDescent="0.2">
      <c r="C1969" s="368"/>
      <c r="D1969" s="368"/>
      <c r="F1969" s="368"/>
      <c r="G1969" s="368"/>
      <c r="H1969" s="368"/>
      <c r="I1969" s="368"/>
      <c r="J1969" s="368"/>
    </row>
    <row r="1970" spans="3:10" x14ac:dyDescent="0.2">
      <c r="C1970" s="368"/>
      <c r="D1970" s="368"/>
      <c r="F1970" s="368"/>
      <c r="G1970" s="368"/>
      <c r="H1970" s="368"/>
      <c r="I1970" s="368"/>
      <c r="J1970" s="368"/>
    </row>
    <row r="1971" spans="3:10" x14ac:dyDescent="0.2">
      <c r="C1971" s="368"/>
      <c r="D1971" s="368"/>
      <c r="F1971" s="368"/>
      <c r="G1971" s="368"/>
      <c r="H1971" s="368"/>
      <c r="I1971" s="368"/>
      <c r="J1971" s="368"/>
    </row>
    <row r="1972" spans="3:10" x14ac:dyDescent="0.2">
      <c r="C1972" s="368"/>
      <c r="D1972" s="368"/>
      <c r="F1972" s="368"/>
      <c r="G1972" s="368"/>
      <c r="H1972" s="368"/>
      <c r="I1972" s="368"/>
      <c r="J1972" s="368"/>
    </row>
    <row r="1973" spans="3:10" x14ac:dyDescent="0.2">
      <c r="C1973" s="368"/>
      <c r="D1973" s="368"/>
      <c r="F1973" s="368"/>
      <c r="G1973" s="368"/>
      <c r="H1973" s="368"/>
      <c r="I1973" s="368"/>
      <c r="J1973" s="368"/>
    </row>
    <row r="1974" spans="3:10" x14ac:dyDescent="0.2">
      <c r="C1974" s="368"/>
      <c r="D1974" s="368"/>
      <c r="F1974" s="368"/>
      <c r="G1974" s="368"/>
      <c r="H1974" s="368"/>
      <c r="I1974" s="368"/>
      <c r="J1974" s="368"/>
    </row>
    <row r="1975" spans="3:10" x14ac:dyDescent="0.2">
      <c r="C1975" s="368"/>
      <c r="D1975" s="368"/>
      <c r="F1975" s="368"/>
      <c r="G1975" s="368"/>
      <c r="H1975" s="368"/>
      <c r="I1975" s="368"/>
      <c r="J1975" s="368"/>
    </row>
    <row r="1976" spans="3:10" x14ac:dyDescent="0.2">
      <c r="C1976" s="368"/>
      <c r="D1976" s="368"/>
      <c r="F1976" s="368"/>
      <c r="G1976" s="368"/>
      <c r="H1976" s="368"/>
      <c r="I1976" s="368"/>
      <c r="J1976" s="368"/>
    </row>
    <row r="1977" spans="3:10" x14ac:dyDescent="0.2">
      <c r="C1977" s="368"/>
      <c r="D1977" s="368"/>
      <c r="F1977" s="368"/>
      <c r="G1977" s="368"/>
      <c r="H1977" s="368"/>
      <c r="I1977" s="368"/>
      <c r="J1977" s="368"/>
    </row>
    <row r="1978" spans="3:10" x14ac:dyDescent="0.2">
      <c r="C1978" s="368"/>
      <c r="D1978" s="368"/>
      <c r="F1978" s="368"/>
      <c r="G1978" s="368"/>
      <c r="H1978" s="368"/>
      <c r="I1978" s="368"/>
      <c r="J1978" s="368"/>
    </row>
    <row r="1979" spans="3:10" x14ac:dyDescent="0.2">
      <c r="C1979" s="368"/>
      <c r="D1979" s="368"/>
      <c r="F1979" s="368"/>
      <c r="G1979" s="368"/>
      <c r="H1979" s="368"/>
      <c r="I1979" s="368"/>
      <c r="J1979" s="368"/>
    </row>
    <row r="1980" spans="3:10" x14ac:dyDescent="0.2">
      <c r="C1980" s="368"/>
      <c r="D1980" s="368"/>
      <c r="F1980" s="368"/>
      <c r="G1980" s="368"/>
      <c r="H1980" s="368"/>
      <c r="I1980" s="368"/>
      <c r="J1980" s="368"/>
    </row>
    <row r="1981" spans="3:10" x14ac:dyDescent="0.2">
      <c r="C1981" s="368"/>
      <c r="D1981" s="368"/>
      <c r="F1981" s="368"/>
      <c r="G1981" s="368"/>
      <c r="H1981" s="368"/>
      <c r="I1981" s="368"/>
      <c r="J1981" s="368"/>
    </row>
    <row r="1982" spans="3:10" x14ac:dyDescent="0.2">
      <c r="C1982" s="368"/>
      <c r="D1982" s="368"/>
      <c r="F1982" s="368"/>
      <c r="G1982" s="368"/>
      <c r="H1982" s="368"/>
      <c r="I1982" s="368"/>
      <c r="J1982" s="368"/>
    </row>
    <row r="1983" spans="3:10" x14ac:dyDescent="0.2">
      <c r="C1983" s="368"/>
      <c r="D1983" s="368"/>
      <c r="F1983" s="368"/>
      <c r="G1983" s="368"/>
      <c r="H1983" s="368"/>
      <c r="I1983" s="368"/>
      <c r="J1983" s="368"/>
    </row>
    <row r="1984" spans="3:10" x14ac:dyDescent="0.2">
      <c r="C1984" s="368"/>
      <c r="D1984" s="368"/>
      <c r="F1984" s="368"/>
      <c r="G1984" s="368"/>
      <c r="H1984" s="368"/>
      <c r="I1984" s="368"/>
      <c r="J1984" s="368"/>
    </row>
    <row r="1985" spans="3:10" x14ac:dyDescent="0.2">
      <c r="C1985" s="368"/>
      <c r="D1985" s="368"/>
      <c r="F1985" s="368"/>
      <c r="G1985" s="368"/>
      <c r="H1985" s="368"/>
      <c r="I1985" s="368"/>
      <c r="J1985" s="368"/>
    </row>
    <row r="1986" spans="3:10" x14ac:dyDescent="0.2">
      <c r="C1986" s="368"/>
      <c r="D1986" s="368"/>
      <c r="F1986" s="368"/>
      <c r="G1986" s="368"/>
      <c r="H1986" s="368"/>
      <c r="I1986" s="368"/>
      <c r="J1986" s="368"/>
    </row>
    <row r="1987" spans="3:10" x14ac:dyDescent="0.2">
      <c r="C1987" s="368"/>
      <c r="D1987" s="368"/>
      <c r="F1987" s="368"/>
      <c r="G1987" s="368"/>
      <c r="H1987" s="368"/>
      <c r="I1987" s="368"/>
      <c r="J1987" s="368"/>
    </row>
    <row r="1988" spans="3:10" x14ac:dyDescent="0.2">
      <c r="C1988" s="368"/>
      <c r="D1988" s="368"/>
      <c r="F1988" s="368"/>
      <c r="G1988" s="368"/>
      <c r="H1988" s="368"/>
      <c r="I1988" s="368"/>
      <c r="J1988" s="368"/>
    </row>
    <row r="1989" spans="3:10" x14ac:dyDescent="0.2">
      <c r="C1989" s="368"/>
      <c r="D1989" s="368"/>
      <c r="F1989" s="368"/>
      <c r="G1989" s="368"/>
      <c r="H1989" s="368"/>
      <c r="I1989" s="368"/>
      <c r="J1989" s="368"/>
    </row>
    <row r="1990" spans="3:10" x14ac:dyDescent="0.2">
      <c r="C1990" s="368"/>
      <c r="D1990" s="368"/>
      <c r="F1990" s="368"/>
      <c r="G1990" s="368"/>
      <c r="H1990" s="368"/>
      <c r="I1990" s="368"/>
      <c r="J1990" s="368"/>
    </row>
    <row r="1991" spans="3:10" x14ac:dyDescent="0.2">
      <c r="C1991" s="368"/>
      <c r="D1991" s="368"/>
      <c r="F1991" s="368"/>
      <c r="G1991" s="368"/>
      <c r="H1991" s="368"/>
      <c r="I1991" s="368"/>
      <c r="J1991" s="368"/>
    </row>
    <row r="1992" spans="3:10" x14ac:dyDescent="0.2">
      <c r="C1992" s="368"/>
      <c r="D1992" s="368"/>
      <c r="F1992" s="368"/>
      <c r="G1992" s="368"/>
      <c r="H1992" s="368"/>
      <c r="I1992" s="368"/>
      <c r="J1992" s="368"/>
    </row>
    <row r="1993" spans="3:10" x14ac:dyDescent="0.2">
      <c r="C1993" s="368"/>
      <c r="D1993" s="368"/>
      <c r="F1993" s="368"/>
      <c r="G1993" s="368"/>
      <c r="H1993" s="368"/>
      <c r="I1993" s="368"/>
      <c r="J1993" s="368"/>
    </row>
    <row r="1994" spans="3:10" x14ac:dyDescent="0.2">
      <c r="C1994" s="368"/>
      <c r="D1994" s="368"/>
      <c r="F1994" s="368"/>
      <c r="G1994" s="368"/>
      <c r="H1994" s="368"/>
      <c r="I1994" s="368"/>
      <c r="J1994" s="368"/>
    </row>
    <row r="1995" spans="3:10" x14ac:dyDescent="0.2">
      <c r="C1995" s="368"/>
      <c r="D1995" s="368"/>
      <c r="F1995" s="368"/>
      <c r="G1995" s="368"/>
      <c r="H1995" s="368"/>
      <c r="I1995" s="368"/>
      <c r="J1995" s="368"/>
    </row>
    <row r="1996" spans="3:10" x14ac:dyDescent="0.2">
      <c r="C1996" s="368"/>
      <c r="D1996" s="368"/>
      <c r="F1996" s="368"/>
      <c r="G1996" s="368"/>
      <c r="H1996" s="368"/>
      <c r="I1996" s="368"/>
      <c r="J1996" s="368"/>
    </row>
    <row r="1997" spans="3:10" x14ac:dyDescent="0.2">
      <c r="C1997" s="368"/>
      <c r="D1997" s="368"/>
      <c r="F1997" s="368"/>
      <c r="G1997" s="368"/>
      <c r="H1997" s="368"/>
      <c r="I1997" s="368"/>
      <c r="J1997" s="368"/>
    </row>
    <row r="1998" spans="3:10" x14ac:dyDescent="0.2">
      <c r="C1998" s="368"/>
      <c r="D1998" s="368"/>
      <c r="F1998" s="368"/>
      <c r="G1998" s="368"/>
      <c r="H1998" s="368"/>
      <c r="I1998" s="368"/>
      <c r="J1998" s="368"/>
    </row>
    <row r="1999" spans="3:10" x14ac:dyDescent="0.2">
      <c r="C1999" s="368"/>
      <c r="D1999" s="368"/>
      <c r="F1999" s="368"/>
      <c r="G1999" s="368"/>
      <c r="H1999" s="368"/>
      <c r="I1999" s="368"/>
      <c r="J1999" s="368"/>
    </row>
    <row r="2000" spans="3:10" x14ac:dyDescent="0.2">
      <c r="C2000" s="368"/>
      <c r="D2000" s="368"/>
      <c r="F2000" s="368"/>
      <c r="G2000" s="368"/>
      <c r="H2000" s="368"/>
      <c r="I2000" s="368"/>
      <c r="J2000" s="368"/>
    </row>
    <row r="2001" spans="3:10" x14ac:dyDescent="0.2">
      <c r="C2001" s="368"/>
      <c r="D2001" s="368"/>
      <c r="F2001" s="368"/>
      <c r="G2001" s="368"/>
      <c r="H2001" s="368"/>
      <c r="I2001" s="368"/>
      <c r="J2001" s="368"/>
    </row>
    <row r="2002" spans="3:10" x14ac:dyDescent="0.2">
      <c r="C2002" s="368"/>
      <c r="D2002" s="368"/>
      <c r="F2002" s="368"/>
      <c r="G2002" s="368"/>
      <c r="H2002" s="368"/>
      <c r="I2002" s="368"/>
      <c r="J2002" s="368"/>
    </row>
    <row r="2003" spans="3:10" x14ac:dyDescent="0.2">
      <c r="C2003" s="368"/>
      <c r="D2003" s="368"/>
      <c r="F2003" s="368"/>
      <c r="G2003" s="368"/>
      <c r="H2003" s="368"/>
      <c r="I2003" s="368"/>
      <c r="J2003" s="368"/>
    </row>
    <row r="2004" spans="3:10" x14ac:dyDescent="0.2">
      <c r="G2004" s="368"/>
      <c r="H2004" s="368"/>
      <c r="I2004" s="368"/>
      <c r="J2004" s="368"/>
    </row>
    <row r="2005" spans="3:10" x14ac:dyDescent="0.2">
      <c r="G2005" s="368"/>
      <c r="H2005" s="368"/>
      <c r="I2005" s="368"/>
      <c r="J2005" s="368"/>
    </row>
    <row r="2006" spans="3:10" x14ac:dyDescent="0.2">
      <c r="G2006" s="368"/>
      <c r="H2006" s="368"/>
      <c r="I2006" s="368"/>
      <c r="J2006" s="368"/>
    </row>
    <row r="2007" spans="3:10" x14ac:dyDescent="0.2">
      <c r="G2007" s="368"/>
      <c r="H2007" s="368"/>
      <c r="I2007" s="368"/>
      <c r="J2007" s="368"/>
    </row>
    <row r="2008" spans="3:10" x14ac:dyDescent="0.2">
      <c r="G2008" s="368"/>
      <c r="H2008" s="368"/>
      <c r="I2008" s="368"/>
      <c r="J2008" s="368"/>
    </row>
    <row r="2009" spans="3:10" x14ac:dyDescent="0.2">
      <c r="G2009" s="368"/>
      <c r="H2009" s="368"/>
      <c r="I2009" s="368"/>
      <c r="J2009" s="368"/>
    </row>
    <row r="2010" spans="3:10" x14ac:dyDescent="0.2">
      <c r="G2010" s="368"/>
      <c r="H2010" s="368"/>
      <c r="I2010" s="368"/>
      <c r="J2010" s="368"/>
    </row>
    <row r="2011" spans="3:10" x14ac:dyDescent="0.2">
      <c r="G2011" s="368"/>
      <c r="H2011" s="368"/>
      <c r="I2011" s="368"/>
      <c r="J2011" s="368"/>
    </row>
    <row r="2012" spans="3:10" x14ac:dyDescent="0.2">
      <c r="G2012" s="368"/>
      <c r="H2012" s="368"/>
      <c r="I2012" s="368"/>
      <c r="J2012" s="368"/>
    </row>
    <row r="2013" spans="3:10" x14ac:dyDescent="0.2">
      <c r="G2013" s="368"/>
      <c r="H2013" s="368"/>
      <c r="I2013" s="368"/>
      <c r="J2013" s="368"/>
    </row>
    <row r="2014" spans="3:10" x14ac:dyDescent="0.2">
      <c r="G2014" s="368"/>
      <c r="H2014" s="368"/>
      <c r="I2014" s="368"/>
      <c r="J2014" s="368"/>
    </row>
    <row r="2015" spans="3:10" x14ac:dyDescent="0.2">
      <c r="G2015" s="368"/>
      <c r="H2015" s="368"/>
      <c r="I2015" s="368"/>
      <c r="J2015" s="368"/>
    </row>
    <row r="2016" spans="3:10" x14ac:dyDescent="0.2">
      <c r="G2016" s="368"/>
      <c r="H2016" s="368"/>
      <c r="I2016" s="368"/>
      <c r="J2016" s="368"/>
    </row>
    <row r="2017" spans="7:10" x14ac:dyDescent="0.2">
      <c r="G2017" s="368"/>
      <c r="H2017" s="368"/>
      <c r="I2017" s="368"/>
      <c r="J2017" s="368"/>
    </row>
    <row r="2018" spans="7:10" x14ac:dyDescent="0.2">
      <c r="G2018" s="368"/>
      <c r="H2018" s="368"/>
      <c r="I2018" s="368"/>
      <c r="J2018" s="368"/>
    </row>
    <row r="2019" spans="7:10" x14ac:dyDescent="0.2">
      <c r="G2019" s="368"/>
      <c r="H2019" s="368"/>
      <c r="I2019" s="368"/>
      <c r="J2019" s="368"/>
    </row>
    <row r="2020" spans="7:10" x14ac:dyDescent="0.2">
      <c r="G2020" s="368"/>
      <c r="H2020" s="368"/>
      <c r="I2020" s="368"/>
      <c r="J2020" s="368"/>
    </row>
    <row r="2021" spans="7:10" x14ac:dyDescent="0.2">
      <c r="G2021" s="368"/>
      <c r="H2021" s="368"/>
      <c r="I2021" s="368"/>
      <c r="J2021" s="368"/>
    </row>
    <row r="2022" spans="7:10" x14ac:dyDescent="0.2">
      <c r="G2022" s="368"/>
      <c r="H2022" s="368"/>
      <c r="I2022" s="368"/>
      <c r="J2022" s="368"/>
    </row>
    <row r="2023" spans="7:10" x14ac:dyDescent="0.2">
      <c r="G2023" s="368"/>
      <c r="H2023" s="368"/>
      <c r="I2023" s="368"/>
      <c r="J2023" s="368"/>
    </row>
    <row r="2024" spans="7:10" x14ac:dyDescent="0.2">
      <c r="G2024" s="368"/>
      <c r="H2024" s="368"/>
      <c r="I2024" s="368"/>
      <c r="J2024" s="368"/>
    </row>
    <row r="2025" spans="7:10" x14ac:dyDescent="0.2">
      <c r="G2025" s="368"/>
      <c r="H2025" s="368"/>
      <c r="I2025" s="368"/>
      <c r="J2025" s="368"/>
    </row>
    <row r="2026" spans="7:10" x14ac:dyDescent="0.2">
      <c r="G2026" s="368"/>
      <c r="H2026" s="368"/>
      <c r="I2026" s="368"/>
      <c r="J2026" s="368"/>
    </row>
    <row r="2027" spans="7:10" x14ac:dyDescent="0.2">
      <c r="G2027" s="368"/>
      <c r="H2027" s="368"/>
      <c r="I2027" s="368"/>
      <c r="J2027" s="368"/>
    </row>
    <row r="2028" spans="7:10" x14ac:dyDescent="0.2">
      <c r="G2028" s="368"/>
      <c r="H2028" s="368"/>
      <c r="I2028" s="368"/>
      <c r="J2028" s="368"/>
    </row>
    <row r="2029" spans="7:10" x14ac:dyDescent="0.2">
      <c r="G2029" s="368"/>
      <c r="H2029" s="368"/>
      <c r="I2029" s="368"/>
      <c r="J2029" s="368"/>
    </row>
    <row r="2030" spans="7:10" x14ac:dyDescent="0.2">
      <c r="G2030" s="368"/>
      <c r="H2030" s="368"/>
      <c r="I2030" s="368"/>
      <c r="J2030" s="368"/>
    </row>
    <row r="2031" spans="7:10" x14ac:dyDescent="0.2">
      <c r="G2031" s="368"/>
      <c r="H2031" s="368"/>
      <c r="I2031" s="368"/>
      <c r="J2031" s="368"/>
    </row>
    <row r="2032" spans="7:10" x14ac:dyDescent="0.2">
      <c r="G2032" s="368"/>
      <c r="H2032" s="368"/>
      <c r="I2032" s="368"/>
      <c r="J2032" s="368"/>
    </row>
    <row r="2033" spans="7:10" x14ac:dyDescent="0.2">
      <c r="G2033" s="368"/>
      <c r="H2033" s="368"/>
      <c r="I2033" s="368"/>
      <c r="J2033" s="368"/>
    </row>
    <row r="2034" spans="7:10" x14ac:dyDescent="0.2">
      <c r="G2034" s="368"/>
      <c r="H2034" s="368"/>
      <c r="I2034" s="368"/>
      <c r="J2034" s="368"/>
    </row>
    <row r="2035" spans="7:10" x14ac:dyDescent="0.2">
      <c r="G2035" s="368"/>
      <c r="H2035" s="368"/>
      <c r="I2035" s="368"/>
      <c r="J2035" s="368"/>
    </row>
    <row r="2036" spans="7:10" x14ac:dyDescent="0.2">
      <c r="G2036" s="368"/>
      <c r="H2036" s="368"/>
      <c r="I2036" s="368"/>
      <c r="J2036" s="368"/>
    </row>
    <row r="2037" spans="7:10" x14ac:dyDescent="0.2">
      <c r="G2037" s="368"/>
      <c r="H2037" s="368"/>
      <c r="I2037" s="368"/>
      <c r="J2037" s="368"/>
    </row>
    <row r="2038" spans="7:10" x14ac:dyDescent="0.2">
      <c r="G2038" s="368"/>
      <c r="H2038" s="368"/>
      <c r="I2038" s="368"/>
      <c r="J2038" s="368"/>
    </row>
    <row r="2039" spans="7:10" x14ac:dyDescent="0.2">
      <c r="G2039" s="368"/>
      <c r="H2039" s="368"/>
      <c r="I2039" s="368"/>
      <c r="J2039" s="368"/>
    </row>
    <row r="2040" spans="7:10" x14ac:dyDescent="0.2">
      <c r="G2040" s="368"/>
      <c r="H2040" s="368"/>
      <c r="I2040" s="368"/>
      <c r="J2040" s="368"/>
    </row>
    <row r="2041" spans="7:10" x14ac:dyDescent="0.2">
      <c r="G2041" s="368"/>
      <c r="H2041" s="368"/>
      <c r="I2041" s="368"/>
      <c r="J2041" s="368"/>
    </row>
    <row r="2042" spans="7:10" x14ac:dyDescent="0.2">
      <c r="G2042" s="368"/>
      <c r="H2042" s="368"/>
      <c r="I2042" s="368"/>
      <c r="J2042" s="368"/>
    </row>
    <row r="2043" spans="7:10" x14ac:dyDescent="0.2">
      <c r="G2043" s="368"/>
      <c r="H2043" s="368"/>
      <c r="I2043" s="368"/>
      <c r="J2043" s="368"/>
    </row>
    <row r="2044" spans="7:10" x14ac:dyDescent="0.2">
      <c r="G2044" s="368"/>
      <c r="H2044" s="368"/>
      <c r="I2044" s="368"/>
      <c r="J2044" s="368"/>
    </row>
    <row r="2045" spans="7:10" x14ac:dyDescent="0.2">
      <c r="G2045" s="368"/>
      <c r="H2045" s="368"/>
      <c r="I2045" s="368"/>
      <c r="J2045" s="368"/>
    </row>
    <row r="2046" spans="7:10" x14ac:dyDescent="0.2">
      <c r="G2046" s="368"/>
      <c r="H2046" s="368"/>
      <c r="I2046" s="368"/>
      <c r="J2046" s="368"/>
    </row>
    <row r="2047" spans="7:10" x14ac:dyDescent="0.2">
      <c r="G2047" s="368"/>
      <c r="H2047" s="368"/>
      <c r="I2047" s="368"/>
      <c r="J2047" s="368"/>
    </row>
    <row r="2048" spans="7:10" x14ac:dyDescent="0.2">
      <c r="G2048" s="368"/>
      <c r="H2048" s="368"/>
      <c r="I2048" s="368"/>
      <c r="J2048" s="368"/>
    </row>
    <row r="2049" spans="7:10" x14ac:dyDescent="0.2">
      <c r="G2049" s="368"/>
      <c r="H2049" s="368"/>
      <c r="I2049" s="368"/>
      <c r="J2049" s="368"/>
    </row>
    <row r="2050" spans="7:10" x14ac:dyDescent="0.2">
      <c r="G2050" s="368"/>
      <c r="H2050" s="368"/>
      <c r="I2050" s="368"/>
      <c r="J2050" s="368"/>
    </row>
    <row r="2051" spans="7:10" x14ac:dyDescent="0.2">
      <c r="G2051" s="368"/>
      <c r="H2051" s="368"/>
      <c r="I2051" s="368"/>
      <c r="J2051" s="368"/>
    </row>
    <row r="2052" spans="7:10" x14ac:dyDescent="0.2">
      <c r="G2052" s="368"/>
      <c r="H2052" s="368"/>
      <c r="I2052" s="368"/>
      <c r="J2052" s="368"/>
    </row>
    <row r="2053" spans="7:10" x14ac:dyDescent="0.2">
      <c r="G2053" s="368"/>
      <c r="H2053" s="368"/>
      <c r="I2053" s="368"/>
      <c r="J2053" s="368"/>
    </row>
    <row r="2054" spans="7:10" x14ac:dyDescent="0.2">
      <c r="G2054" s="368"/>
      <c r="H2054" s="368"/>
      <c r="I2054" s="368"/>
      <c r="J2054" s="368"/>
    </row>
    <row r="2055" spans="7:10" x14ac:dyDescent="0.2">
      <c r="G2055" s="368"/>
      <c r="H2055" s="368"/>
      <c r="I2055" s="368"/>
      <c r="J2055" s="368"/>
    </row>
    <row r="2056" spans="7:10" x14ac:dyDescent="0.2">
      <c r="G2056" s="368"/>
      <c r="H2056" s="368"/>
      <c r="I2056" s="368"/>
      <c r="J2056" s="368"/>
    </row>
    <row r="2057" spans="7:10" x14ac:dyDescent="0.2">
      <c r="G2057" s="368"/>
      <c r="H2057" s="368"/>
      <c r="I2057" s="368"/>
      <c r="J2057" s="368"/>
    </row>
    <row r="2058" spans="7:10" x14ac:dyDescent="0.2">
      <c r="G2058" s="368"/>
      <c r="H2058" s="368"/>
      <c r="I2058" s="368"/>
      <c r="J2058" s="368"/>
    </row>
    <row r="2059" spans="7:10" x14ac:dyDescent="0.2">
      <c r="G2059" s="368"/>
      <c r="H2059" s="368"/>
      <c r="I2059" s="368"/>
      <c r="J2059" s="368"/>
    </row>
    <row r="2060" spans="7:10" x14ac:dyDescent="0.2">
      <c r="G2060" s="368"/>
      <c r="H2060" s="368"/>
      <c r="I2060" s="368"/>
      <c r="J2060" s="368"/>
    </row>
    <row r="2061" spans="7:10" x14ac:dyDescent="0.2">
      <c r="G2061" s="368"/>
      <c r="H2061" s="368"/>
      <c r="I2061" s="368"/>
      <c r="J2061" s="368"/>
    </row>
    <row r="2062" spans="7:10" x14ac:dyDescent="0.2">
      <c r="G2062" s="368"/>
      <c r="H2062" s="368"/>
      <c r="I2062" s="368"/>
      <c r="J2062" s="368"/>
    </row>
    <row r="2063" spans="7:10" x14ac:dyDescent="0.2">
      <c r="G2063" s="368"/>
      <c r="H2063" s="368"/>
      <c r="I2063" s="368"/>
      <c r="J2063" s="368"/>
    </row>
    <row r="2064" spans="7:10" x14ac:dyDescent="0.2">
      <c r="G2064" s="368"/>
      <c r="H2064" s="368"/>
      <c r="I2064" s="368"/>
      <c r="J2064" s="368"/>
    </row>
    <row r="2065" spans="7:10" x14ac:dyDescent="0.2">
      <c r="G2065" s="368"/>
      <c r="H2065" s="368"/>
      <c r="I2065" s="368"/>
      <c r="J2065" s="368"/>
    </row>
    <row r="2066" spans="7:10" x14ac:dyDescent="0.2">
      <c r="G2066" s="368"/>
      <c r="H2066" s="368"/>
      <c r="I2066" s="368"/>
      <c r="J2066" s="368"/>
    </row>
    <row r="2067" spans="7:10" x14ac:dyDescent="0.2">
      <c r="G2067" s="368"/>
      <c r="H2067" s="368"/>
      <c r="I2067" s="368"/>
      <c r="J2067" s="368"/>
    </row>
    <row r="2068" spans="7:10" x14ac:dyDescent="0.2">
      <c r="G2068" s="368"/>
      <c r="H2068" s="368"/>
      <c r="I2068" s="368"/>
      <c r="J2068" s="368"/>
    </row>
    <row r="2069" spans="7:10" x14ac:dyDescent="0.2">
      <c r="G2069" s="368"/>
      <c r="H2069" s="368"/>
      <c r="I2069" s="368"/>
      <c r="J2069" s="368"/>
    </row>
    <row r="2070" spans="7:10" x14ac:dyDescent="0.2">
      <c r="G2070" s="368"/>
      <c r="H2070" s="368"/>
      <c r="I2070" s="368"/>
      <c r="J2070" s="368"/>
    </row>
    <row r="2071" spans="7:10" x14ac:dyDescent="0.2">
      <c r="G2071" s="368"/>
      <c r="H2071" s="368"/>
      <c r="I2071" s="368"/>
      <c r="J2071" s="368"/>
    </row>
    <row r="2072" spans="7:10" x14ac:dyDescent="0.2">
      <c r="G2072" s="368"/>
      <c r="H2072" s="368"/>
      <c r="I2072" s="368"/>
      <c r="J2072" s="368"/>
    </row>
    <row r="2073" spans="7:10" x14ac:dyDescent="0.2">
      <c r="G2073" s="368"/>
      <c r="H2073" s="368"/>
      <c r="I2073" s="368"/>
      <c r="J2073" s="368"/>
    </row>
    <row r="2074" spans="7:10" x14ac:dyDescent="0.2">
      <c r="G2074" s="368"/>
      <c r="H2074" s="368"/>
      <c r="I2074" s="368"/>
      <c r="J2074" s="368"/>
    </row>
    <row r="2075" spans="7:10" x14ac:dyDescent="0.2">
      <c r="G2075" s="368"/>
      <c r="H2075" s="368"/>
      <c r="I2075" s="368"/>
      <c r="J2075" s="368"/>
    </row>
    <row r="2076" spans="7:10" x14ac:dyDescent="0.2">
      <c r="G2076" s="368"/>
      <c r="H2076" s="368"/>
      <c r="I2076" s="368"/>
      <c r="J2076" s="368"/>
    </row>
    <row r="2077" spans="7:10" x14ac:dyDescent="0.2">
      <c r="G2077" s="368"/>
      <c r="H2077" s="368"/>
      <c r="I2077" s="368"/>
      <c r="J2077" s="368"/>
    </row>
    <row r="2078" spans="7:10" x14ac:dyDescent="0.2">
      <c r="G2078" s="368"/>
      <c r="H2078" s="368"/>
      <c r="I2078" s="368"/>
      <c r="J2078" s="368"/>
    </row>
    <row r="2079" spans="7:10" x14ac:dyDescent="0.2">
      <c r="G2079" s="368"/>
      <c r="H2079" s="368"/>
      <c r="I2079" s="368"/>
      <c r="J2079" s="368"/>
    </row>
    <row r="2080" spans="7:10" x14ac:dyDescent="0.2">
      <c r="G2080" s="368"/>
      <c r="H2080" s="368"/>
      <c r="I2080" s="368"/>
      <c r="J2080" s="368"/>
    </row>
    <row r="2081" spans="7:10" x14ac:dyDescent="0.2">
      <c r="G2081" s="368"/>
      <c r="H2081" s="368"/>
      <c r="I2081" s="368"/>
      <c r="J2081" s="368"/>
    </row>
    <row r="2082" spans="7:10" x14ac:dyDescent="0.2">
      <c r="G2082" s="368"/>
      <c r="H2082" s="368"/>
      <c r="I2082" s="368"/>
      <c r="J2082" s="368"/>
    </row>
    <row r="2083" spans="7:10" x14ac:dyDescent="0.2">
      <c r="G2083" s="368"/>
      <c r="H2083" s="368"/>
      <c r="I2083" s="368"/>
      <c r="J2083" s="368"/>
    </row>
    <row r="2084" spans="7:10" x14ac:dyDescent="0.2">
      <c r="G2084" s="368"/>
      <c r="H2084" s="368"/>
      <c r="I2084" s="368"/>
      <c r="J2084" s="368"/>
    </row>
    <row r="2085" spans="7:10" x14ac:dyDescent="0.2">
      <c r="G2085" s="368"/>
      <c r="H2085" s="368"/>
      <c r="I2085" s="368"/>
      <c r="J2085" s="368"/>
    </row>
    <row r="2086" spans="7:10" x14ac:dyDescent="0.2">
      <c r="G2086" s="368"/>
      <c r="H2086" s="368"/>
      <c r="I2086" s="368"/>
      <c r="J2086" s="368"/>
    </row>
    <row r="2087" spans="7:10" x14ac:dyDescent="0.2">
      <c r="G2087" s="368"/>
      <c r="H2087" s="368"/>
      <c r="I2087" s="368"/>
      <c r="J2087" s="368"/>
    </row>
    <row r="2088" spans="7:10" x14ac:dyDescent="0.2">
      <c r="G2088" s="368"/>
      <c r="H2088" s="368"/>
      <c r="I2088" s="368"/>
      <c r="J2088" s="368"/>
    </row>
    <row r="2089" spans="7:10" x14ac:dyDescent="0.2">
      <c r="G2089" s="368"/>
      <c r="H2089" s="368"/>
      <c r="I2089" s="368"/>
      <c r="J2089" s="368"/>
    </row>
    <row r="2090" spans="7:10" x14ac:dyDescent="0.2">
      <c r="G2090" s="368"/>
      <c r="H2090" s="368"/>
      <c r="I2090" s="368"/>
      <c r="J2090" s="368"/>
    </row>
    <row r="2091" spans="7:10" x14ac:dyDescent="0.2">
      <c r="G2091" s="368"/>
      <c r="H2091" s="368"/>
      <c r="I2091" s="368"/>
      <c r="J2091" s="368"/>
    </row>
    <row r="2092" spans="7:10" x14ac:dyDescent="0.2">
      <c r="G2092" s="368"/>
      <c r="H2092" s="368"/>
      <c r="I2092" s="368"/>
      <c r="J2092" s="368"/>
    </row>
    <row r="2093" spans="7:10" x14ac:dyDescent="0.2">
      <c r="G2093" s="368"/>
      <c r="H2093" s="368"/>
      <c r="I2093" s="368"/>
      <c r="J2093" s="368"/>
    </row>
    <row r="2094" spans="7:10" x14ac:dyDescent="0.2">
      <c r="G2094" s="368"/>
      <c r="H2094" s="368"/>
      <c r="I2094" s="368"/>
      <c r="J2094" s="368"/>
    </row>
    <row r="2095" spans="7:10" x14ac:dyDescent="0.2">
      <c r="G2095" s="368"/>
      <c r="H2095" s="368"/>
      <c r="I2095" s="368"/>
      <c r="J2095" s="368"/>
    </row>
    <row r="2096" spans="7:10" x14ac:dyDescent="0.2">
      <c r="G2096" s="368"/>
      <c r="H2096" s="368"/>
      <c r="I2096" s="368"/>
      <c r="J2096" s="368"/>
    </row>
    <row r="2097" spans="7:10" x14ac:dyDescent="0.2">
      <c r="G2097" s="368"/>
      <c r="H2097" s="368"/>
      <c r="I2097" s="368"/>
      <c r="J2097" s="368"/>
    </row>
    <row r="2098" spans="7:10" x14ac:dyDescent="0.2">
      <c r="G2098" s="368"/>
      <c r="H2098" s="368"/>
      <c r="I2098" s="368"/>
      <c r="J2098" s="368"/>
    </row>
    <row r="2099" spans="7:10" x14ac:dyDescent="0.2">
      <c r="G2099" s="368"/>
      <c r="H2099" s="368"/>
      <c r="I2099" s="368"/>
      <c r="J2099" s="368"/>
    </row>
    <row r="2100" spans="7:10" x14ac:dyDescent="0.2">
      <c r="G2100" s="368"/>
      <c r="H2100" s="368"/>
      <c r="I2100" s="368"/>
      <c r="J2100" s="368"/>
    </row>
    <row r="2101" spans="7:10" x14ac:dyDescent="0.2">
      <c r="G2101" s="368"/>
      <c r="H2101" s="368"/>
      <c r="I2101" s="368"/>
      <c r="J2101" s="368"/>
    </row>
    <row r="2102" spans="7:10" x14ac:dyDescent="0.2">
      <c r="G2102" s="368"/>
      <c r="H2102" s="368"/>
      <c r="I2102" s="368"/>
      <c r="J2102" s="368"/>
    </row>
    <row r="2103" spans="7:10" x14ac:dyDescent="0.2">
      <c r="G2103" s="368"/>
      <c r="H2103" s="368"/>
      <c r="I2103" s="368"/>
      <c r="J2103" s="368"/>
    </row>
    <row r="2104" spans="7:10" x14ac:dyDescent="0.2">
      <c r="G2104" s="368"/>
      <c r="H2104" s="368"/>
      <c r="I2104" s="368"/>
      <c r="J2104" s="368"/>
    </row>
    <row r="2105" spans="7:10" x14ac:dyDescent="0.2">
      <c r="G2105" s="368"/>
      <c r="H2105" s="368"/>
      <c r="I2105" s="368"/>
      <c r="J2105" s="368"/>
    </row>
    <row r="2106" spans="7:10" x14ac:dyDescent="0.2">
      <c r="G2106" s="368"/>
      <c r="H2106" s="368"/>
      <c r="I2106" s="368"/>
      <c r="J2106" s="368"/>
    </row>
    <row r="2107" spans="7:10" x14ac:dyDescent="0.2">
      <c r="G2107" s="368"/>
      <c r="H2107" s="368"/>
      <c r="I2107" s="368"/>
      <c r="J2107" s="368"/>
    </row>
    <row r="2108" spans="7:10" x14ac:dyDescent="0.2">
      <c r="G2108" s="368"/>
      <c r="H2108" s="368"/>
      <c r="I2108" s="368"/>
      <c r="J2108" s="368"/>
    </row>
    <row r="2109" spans="7:10" x14ac:dyDescent="0.2">
      <c r="G2109" s="368"/>
      <c r="H2109" s="368"/>
      <c r="I2109" s="368"/>
      <c r="J2109" s="368"/>
    </row>
    <row r="2110" spans="7:10" x14ac:dyDescent="0.2">
      <c r="G2110" s="368"/>
      <c r="H2110" s="368"/>
      <c r="I2110" s="368"/>
      <c r="J2110" s="368"/>
    </row>
    <row r="2111" spans="7:10" x14ac:dyDescent="0.2">
      <c r="G2111" s="368"/>
      <c r="H2111" s="368"/>
      <c r="I2111" s="368"/>
      <c r="J2111" s="368"/>
    </row>
    <row r="2112" spans="7:10" x14ac:dyDescent="0.2">
      <c r="G2112" s="368"/>
      <c r="H2112" s="368"/>
      <c r="I2112" s="368"/>
      <c r="J2112" s="368"/>
    </row>
    <row r="2113" spans="7:10" x14ac:dyDescent="0.2">
      <c r="G2113" s="368"/>
      <c r="H2113" s="368"/>
      <c r="I2113" s="368"/>
      <c r="J2113" s="368"/>
    </row>
    <row r="2114" spans="7:10" x14ac:dyDescent="0.2">
      <c r="G2114" s="368"/>
      <c r="H2114" s="368"/>
      <c r="I2114" s="368"/>
      <c r="J2114" s="368"/>
    </row>
    <row r="2115" spans="7:10" x14ac:dyDescent="0.2">
      <c r="G2115" s="368"/>
      <c r="H2115" s="368"/>
      <c r="I2115" s="368"/>
      <c r="J2115" s="368"/>
    </row>
    <row r="2116" spans="7:10" x14ac:dyDescent="0.2">
      <c r="G2116" s="368"/>
      <c r="H2116" s="368"/>
      <c r="I2116" s="368"/>
      <c r="J2116" s="368"/>
    </row>
    <row r="2117" spans="7:10" x14ac:dyDescent="0.2">
      <c r="G2117" s="368"/>
      <c r="H2117" s="368"/>
      <c r="I2117" s="368"/>
      <c r="J2117" s="368"/>
    </row>
    <row r="2118" spans="7:10" x14ac:dyDescent="0.2">
      <c r="G2118" s="368"/>
      <c r="H2118" s="368"/>
      <c r="I2118" s="368"/>
      <c r="J2118" s="368"/>
    </row>
    <row r="2119" spans="7:10" x14ac:dyDescent="0.2">
      <c r="G2119" s="368"/>
      <c r="H2119" s="368"/>
      <c r="I2119" s="368"/>
      <c r="J2119" s="368"/>
    </row>
    <row r="2120" spans="7:10" x14ac:dyDescent="0.2">
      <c r="G2120" s="368"/>
      <c r="H2120" s="368"/>
      <c r="I2120" s="368"/>
      <c r="J2120" s="368"/>
    </row>
    <row r="2121" spans="7:10" x14ac:dyDescent="0.2">
      <c r="G2121" s="368"/>
      <c r="H2121" s="368"/>
      <c r="I2121" s="368"/>
      <c r="J2121" s="368"/>
    </row>
    <row r="2122" spans="7:10" x14ac:dyDescent="0.2">
      <c r="G2122" s="368"/>
      <c r="H2122" s="368"/>
      <c r="I2122" s="368"/>
      <c r="J2122" s="368"/>
    </row>
    <row r="2123" spans="7:10" x14ac:dyDescent="0.2">
      <c r="G2123" s="368"/>
      <c r="H2123" s="368"/>
      <c r="I2123" s="368"/>
      <c r="J2123" s="368"/>
    </row>
    <row r="2124" spans="7:10" x14ac:dyDescent="0.2">
      <c r="G2124" s="368"/>
      <c r="H2124" s="368"/>
      <c r="I2124" s="368"/>
      <c r="J2124" s="368"/>
    </row>
    <row r="2125" spans="7:10" x14ac:dyDescent="0.2">
      <c r="G2125" s="368"/>
      <c r="H2125" s="368"/>
      <c r="I2125" s="368"/>
      <c r="J2125" s="368"/>
    </row>
    <row r="2126" spans="7:10" x14ac:dyDescent="0.2">
      <c r="G2126" s="368"/>
      <c r="H2126" s="368"/>
      <c r="I2126" s="368"/>
      <c r="J2126" s="368"/>
    </row>
    <row r="2127" spans="7:10" x14ac:dyDescent="0.2">
      <c r="G2127" s="368"/>
      <c r="H2127" s="368"/>
      <c r="I2127" s="368"/>
      <c r="J2127" s="368"/>
    </row>
    <row r="2128" spans="7:10" x14ac:dyDescent="0.2">
      <c r="G2128" s="368"/>
      <c r="H2128" s="368"/>
      <c r="I2128" s="368"/>
      <c r="J2128" s="368"/>
    </row>
    <row r="2129" spans="7:10" x14ac:dyDescent="0.2">
      <c r="G2129" s="368"/>
      <c r="H2129" s="368"/>
      <c r="I2129" s="368"/>
      <c r="J2129" s="368"/>
    </row>
    <row r="2130" spans="7:10" x14ac:dyDescent="0.2">
      <c r="G2130" s="368"/>
      <c r="H2130" s="368"/>
      <c r="I2130" s="368"/>
      <c r="J2130" s="368"/>
    </row>
    <row r="2131" spans="7:10" x14ac:dyDescent="0.2">
      <c r="G2131" s="368"/>
      <c r="H2131" s="368"/>
      <c r="I2131" s="368"/>
      <c r="J2131" s="368"/>
    </row>
    <row r="2132" spans="7:10" x14ac:dyDescent="0.2">
      <c r="G2132" s="368"/>
      <c r="H2132" s="368"/>
      <c r="I2132" s="368"/>
      <c r="J2132" s="368"/>
    </row>
    <row r="2133" spans="7:10" x14ac:dyDescent="0.2">
      <c r="G2133" s="368"/>
      <c r="H2133" s="368"/>
      <c r="I2133" s="368"/>
      <c r="J2133" s="368"/>
    </row>
    <row r="2134" spans="7:10" x14ac:dyDescent="0.2">
      <c r="G2134" s="368"/>
      <c r="H2134" s="368"/>
      <c r="I2134" s="368"/>
      <c r="J2134" s="368"/>
    </row>
    <row r="2135" spans="7:10" x14ac:dyDescent="0.2">
      <c r="G2135" s="368"/>
      <c r="H2135" s="368"/>
      <c r="I2135" s="368"/>
      <c r="J2135" s="368"/>
    </row>
    <row r="2136" spans="7:10" x14ac:dyDescent="0.2">
      <c r="G2136" s="368"/>
      <c r="H2136" s="368"/>
      <c r="I2136" s="368"/>
      <c r="J2136" s="368"/>
    </row>
    <row r="2137" spans="7:10" x14ac:dyDescent="0.2">
      <c r="G2137" s="368"/>
      <c r="H2137" s="368"/>
      <c r="I2137" s="368"/>
      <c r="J2137" s="368"/>
    </row>
    <row r="2138" spans="7:10" x14ac:dyDescent="0.2">
      <c r="G2138" s="368"/>
      <c r="H2138" s="368"/>
      <c r="I2138" s="368"/>
      <c r="J2138" s="368"/>
    </row>
    <row r="2139" spans="7:10" x14ac:dyDescent="0.2">
      <c r="G2139" s="368"/>
      <c r="H2139" s="368"/>
      <c r="I2139" s="368"/>
      <c r="J2139" s="368"/>
    </row>
    <row r="2140" spans="7:10" x14ac:dyDescent="0.2">
      <c r="G2140" s="368"/>
      <c r="H2140" s="368"/>
      <c r="I2140" s="368"/>
      <c r="J2140" s="368"/>
    </row>
    <row r="2141" spans="7:10" x14ac:dyDescent="0.2">
      <c r="G2141" s="368"/>
      <c r="H2141" s="368"/>
      <c r="I2141" s="368"/>
      <c r="J2141" s="368"/>
    </row>
    <row r="2142" spans="7:10" x14ac:dyDescent="0.2">
      <c r="G2142" s="368"/>
      <c r="H2142" s="368"/>
      <c r="I2142" s="368"/>
      <c r="J2142" s="368"/>
    </row>
    <row r="2143" spans="7:10" x14ac:dyDescent="0.2">
      <c r="G2143" s="368"/>
      <c r="H2143" s="368"/>
      <c r="I2143" s="368"/>
      <c r="J2143" s="368"/>
    </row>
    <row r="2144" spans="7:10" x14ac:dyDescent="0.2">
      <c r="G2144" s="368"/>
      <c r="H2144" s="368"/>
      <c r="I2144" s="368"/>
      <c r="J2144" s="368"/>
    </row>
    <row r="2145" spans="7:10" x14ac:dyDescent="0.2">
      <c r="G2145" s="368"/>
      <c r="H2145" s="368"/>
      <c r="I2145" s="368"/>
      <c r="J2145" s="368"/>
    </row>
    <row r="2146" spans="7:10" x14ac:dyDescent="0.2">
      <c r="G2146" s="368"/>
      <c r="H2146" s="368"/>
      <c r="I2146" s="368"/>
      <c r="J2146" s="368"/>
    </row>
    <row r="2147" spans="7:10" x14ac:dyDescent="0.2">
      <c r="G2147" s="368"/>
      <c r="H2147" s="368"/>
      <c r="I2147" s="368"/>
      <c r="J2147" s="368"/>
    </row>
    <row r="2148" spans="7:10" x14ac:dyDescent="0.2">
      <c r="G2148" s="368"/>
      <c r="H2148" s="368"/>
      <c r="I2148" s="368"/>
      <c r="J2148" s="368"/>
    </row>
    <row r="2149" spans="7:10" x14ac:dyDescent="0.2">
      <c r="G2149" s="368"/>
      <c r="H2149" s="368"/>
      <c r="I2149" s="368"/>
      <c r="J2149" s="368"/>
    </row>
    <row r="2150" spans="7:10" x14ac:dyDescent="0.2">
      <c r="G2150" s="368"/>
      <c r="H2150" s="368"/>
      <c r="I2150" s="368"/>
      <c r="J2150" s="368"/>
    </row>
    <row r="2151" spans="7:10" x14ac:dyDescent="0.2">
      <c r="G2151" s="368"/>
      <c r="H2151" s="368"/>
      <c r="I2151" s="368"/>
      <c r="J2151" s="368"/>
    </row>
    <row r="2152" spans="7:10" x14ac:dyDescent="0.2">
      <c r="G2152" s="368"/>
      <c r="H2152" s="368"/>
      <c r="I2152" s="368"/>
      <c r="J2152" s="368"/>
    </row>
    <row r="2153" spans="7:10" x14ac:dyDescent="0.2">
      <c r="G2153" s="368"/>
      <c r="H2153" s="368"/>
      <c r="I2153" s="368"/>
      <c r="J2153" s="368"/>
    </row>
    <row r="2154" spans="7:10" x14ac:dyDescent="0.2">
      <c r="G2154" s="368"/>
      <c r="H2154" s="368"/>
      <c r="I2154" s="368"/>
      <c r="J2154" s="368"/>
    </row>
    <row r="2155" spans="7:10" x14ac:dyDescent="0.2">
      <c r="G2155" s="368"/>
      <c r="H2155" s="368"/>
      <c r="I2155" s="368"/>
      <c r="J2155" s="368"/>
    </row>
    <row r="2156" spans="7:10" x14ac:dyDescent="0.2">
      <c r="G2156" s="368"/>
      <c r="H2156" s="368"/>
      <c r="I2156" s="368"/>
      <c r="J2156" s="368"/>
    </row>
    <row r="2157" spans="7:10" x14ac:dyDescent="0.2">
      <c r="G2157" s="368"/>
      <c r="H2157" s="368"/>
      <c r="I2157" s="368"/>
      <c r="J2157" s="368"/>
    </row>
    <row r="2158" spans="7:10" x14ac:dyDescent="0.2">
      <c r="G2158" s="368"/>
      <c r="H2158" s="368"/>
      <c r="I2158" s="368"/>
      <c r="J2158" s="368"/>
    </row>
    <row r="2159" spans="7:10" x14ac:dyDescent="0.2">
      <c r="G2159" s="368"/>
      <c r="H2159" s="368"/>
      <c r="I2159" s="368"/>
      <c r="J2159" s="368"/>
    </row>
    <row r="2160" spans="7:10" x14ac:dyDescent="0.2">
      <c r="G2160" s="368"/>
      <c r="H2160" s="368"/>
      <c r="I2160" s="368"/>
      <c r="J2160" s="368"/>
    </row>
    <row r="2161" spans="7:10" x14ac:dyDescent="0.2">
      <c r="G2161" s="368"/>
      <c r="H2161" s="368"/>
      <c r="I2161" s="368"/>
      <c r="J2161" s="368"/>
    </row>
    <row r="2162" spans="7:10" x14ac:dyDescent="0.2">
      <c r="G2162" s="368"/>
      <c r="H2162" s="368"/>
      <c r="I2162" s="368"/>
      <c r="J2162" s="368"/>
    </row>
    <row r="2163" spans="7:10" x14ac:dyDescent="0.2">
      <c r="G2163" s="368"/>
      <c r="H2163" s="368"/>
      <c r="I2163" s="368"/>
      <c r="J2163" s="368"/>
    </row>
    <row r="2164" spans="7:10" x14ac:dyDescent="0.2">
      <c r="G2164" s="368"/>
      <c r="H2164" s="368"/>
      <c r="I2164" s="368"/>
      <c r="J2164" s="368"/>
    </row>
    <row r="2165" spans="7:10" x14ac:dyDescent="0.2">
      <c r="G2165" s="368"/>
      <c r="H2165" s="368"/>
      <c r="I2165" s="368"/>
      <c r="J2165" s="368"/>
    </row>
    <row r="2166" spans="7:10" x14ac:dyDescent="0.2">
      <c r="G2166" s="368"/>
      <c r="H2166" s="368"/>
      <c r="I2166" s="368"/>
      <c r="J2166" s="368"/>
    </row>
    <row r="2167" spans="7:10" x14ac:dyDescent="0.2">
      <c r="G2167" s="368"/>
      <c r="H2167" s="368"/>
      <c r="I2167" s="368"/>
      <c r="J2167" s="368"/>
    </row>
    <row r="2168" spans="7:10" x14ac:dyDescent="0.2">
      <c r="G2168" s="368"/>
      <c r="H2168" s="368"/>
      <c r="I2168" s="368"/>
      <c r="J2168" s="368"/>
    </row>
    <row r="2169" spans="7:10" x14ac:dyDescent="0.2">
      <c r="G2169" s="368"/>
      <c r="H2169" s="368"/>
      <c r="I2169" s="368"/>
      <c r="J2169" s="368"/>
    </row>
    <row r="2170" spans="7:10" x14ac:dyDescent="0.2">
      <c r="G2170" s="368"/>
      <c r="H2170" s="368"/>
      <c r="I2170" s="368"/>
      <c r="J2170" s="368"/>
    </row>
    <row r="2171" spans="7:10" x14ac:dyDescent="0.2">
      <c r="G2171" s="368"/>
      <c r="H2171" s="368"/>
      <c r="I2171" s="368"/>
      <c r="J2171" s="368"/>
    </row>
    <row r="2172" spans="7:10" x14ac:dyDescent="0.2">
      <c r="G2172" s="368"/>
      <c r="H2172" s="368"/>
      <c r="I2172" s="368"/>
      <c r="J2172" s="368"/>
    </row>
    <row r="2173" spans="7:10" x14ac:dyDescent="0.2">
      <c r="G2173" s="368"/>
      <c r="H2173" s="368"/>
      <c r="I2173" s="368"/>
      <c r="J2173" s="368"/>
    </row>
    <row r="2174" spans="7:10" x14ac:dyDescent="0.2">
      <c r="G2174" s="368"/>
      <c r="H2174" s="368"/>
      <c r="I2174" s="368"/>
      <c r="J2174" s="368"/>
    </row>
    <row r="2175" spans="7:10" x14ac:dyDescent="0.2">
      <c r="G2175" s="368"/>
      <c r="H2175" s="368"/>
      <c r="I2175" s="368"/>
      <c r="J2175" s="368"/>
    </row>
    <row r="2176" spans="7:10" x14ac:dyDescent="0.2">
      <c r="G2176" s="368"/>
      <c r="H2176" s="368"/>
      <c r="I2176" s="368"/>
      <c r="J2176" s="368"/>
    </row>
    <row r="2177" spans="7:10" x14ac:dyDescent="0.2">
      <c r="G2177" s="368"/>
      <c r="H2177" s="368"/>
      <c r="I2177" s="368"/>
      <c r="J2177" s="368"/>
    </row>
    <row r="2178" spans="7:10" x14ac:dyDescent="0.2">
      <c r="G2178" s="368"/>
      <c r="H2178" s="368"/>
      <c r="I2178" s="368"/>
      <c r="J2178" s="368"/>
    </row>
    <row r="2179" spans="7:10" x14ac:dyDescent="0.2">
      <c r="G2179" s="368"/>
      <c r="H2179" s="368"/>
      <c r="I2179" s="368"/>
      <c r="J2179" s="368"/>
    </row>
    <row r="2180" spans="7:10" x14ac:dyDescent="0.2">
      <c r="G2180" s="368"/>
      <c r="H2180" s="368"/>
      <c r="I2180" s="368"/>
      <c r="J2180" s="368"/>
    </row>
    <row r="2181" spans="7:10" x14ac:dyDescent="0.2">
      <c r="G2181" s="368"/>
      <c r="H2181" s="368"/>
      <c r="I2181" s="368"/>
      <c r="J2181" s="368"/>
    </row>
    <row r="2182" spans="7:10" x14ac:dyDescent="0.2">
      <c r="G2182" s="368"/>
      <c r="H2182" s="368"/>
      <c r="I2182" s="368"/>
      <c r="J2182" s="368"/>
    </row>
    <row r="2183" spans="7:10" x14ac:dyDescent="0.2">
      <c r="G2183" s="368"/>
      <c r="H2183" s="368"/>
      <c r="I2183" s="368"/>
      <c r="J2183" s="368"/>
    </row>
    <row r="2184" spans="7:10" x14ac:dyDescent="0.2">
      <c r="G2184" s="368"/>
      <c r="H2184" s="368"/>
      <c r="I2184" s="368"/>
      <c r="J2184" s="368"/>
    </row>
    <row r="2185" spans="7:10" x14ac:dyDescent="0.2">
      <c r="G2185" s="368"/>
      <c r="H2185" s="368"/>
      <c r="I2185" s="368"/>
      <c r="J2185" s="368"/>
    </row>
    <row r="2186" spans="7:10" x14ac:dyDescent="0.2">
      <c r="G2186" s="368"/>
      <c r="H2186" s="368"/>
      <c r="I2186" s="368"/>
      <c r="J2186" s="368"/>
    </row>
    <row r="2187" spans="7:10" x14ac:dyDescent="0.2">
      <c r="G2187" s="368"/>
      <c r="H2187" s="368"/>
      <c r="I2187" s="368"/>
      <c r="J2187" s="368"/>
    </row>
    <row r="2188" spans="7:10" x14ac:dyDescent="0.2">
      <c r="G2188" s="368"/>
      <c r="H2188" s="368"/>
      <c r="I2188" s="368"/>
      <c r="J2188" s="368"/>
    </row>
    <row r="2189" spans="7:10" x14ac:dyDescent="0.2">
      <c r="G2189" s="368"/>
      <c r="H2189" s="368"/>
      <c r="I2189" s="368"/>
      <c r="J2189" s="368"/>
    </row>
    <row r="2190" spans="7:10" x14ac:dyDescent="0.2">
      <c r="G2190" s="368"/>
      <c r="H2190" s="368"/>
      <c r="I2190" s="368"/>
      <c r="J2190" s="368"/>
    </row>
    <row r="2191" spans="7:10" x14ac:dyDescent="0.2">
      <c r="G2191" s="368"/>
      <c r="H2191" s="368"/>
      <c r="I2191" s="368"/>
      <c r="J2191" s="368"/>
    </row>
    <row r="2192" spans="7:10" x14ac:dyDescent="0.2">
      <c r="G2192" s="368"/>
      <c r="H2192" s="368"/>
      <c r="I2192" s="368"/>
      <c r="J2192" s="368"/>
    </row>
    <row r="2193" spans="7:10" x14ac:dyDescent="0.2">
      <c r="G2193" s="368"/>
      <c r="H2193" s="368"/>
      <c r="I2193" s="368"/>
      <c r="J2193" s="368"/>
    </row>
    <row r="2194" spans="7:10" x14ac:dyDescent="0.2">
      <c r="G2194" s="368"/>
      <c r="H2194" s="368"/>
      <c r="I2194" s="368"/>
      <c r="J2194" s="368"/>
    </row>
    <row r="2195" spans="7:10" x14ac:dyDescent="0.2">
      <c r="G2195" s="368"/>
      <c r="H2195" s="368"/>
      <c r="I2195" s="368"/>
      <c r="J2195" s="368"/>
    </row>
    <row r="2196" spans="7:10" x14ac:dyDescent="0.2">
      <c r="G2196" s="368"/>
      <c r="H2196" s="368"/>
      <c r="I2196" s="368"/>
      <c r="J2196" s="368"/>
    </row>
    <row r="2197" spans="7:10" x14ac:dyDescent="0.2">
      <c r="G2197" s="368"/>
      <c r="H2197" s="368"/>
      <c r="I2197" s="368"/>
      <c r="J2197" s="368"/>
    </row>
    <row r="2198" spans="7:10" x14ac:dyDescent="0.2">
      <c r="G2198" s="368"/>
      <c r="H2198" s="368"/>
      <c r="I2198" s="368"/>
      <c r="J2198" s="368"/>
    </row>
    <row r="2199" spans="7:10" x14ac:dyDescent="0.2">
      <c r="G2199" s="368"/>
      <c r="H2199" s="368"/>
      <c r="I2199" s="368"/>
      <c r="J2199" s="368"/>
    </row>
    <row r="2200" spans="7:10" x14ac:dyDescent="0.2">
      <c r="G2200" s="368"/>
      <c r="H2200" s="368"/>
      <c r="I2200" s="368"/>
      <c r="J2200" s="368"/>
    </row>
    <row r="2201" spans="7:10" x14ac:dyDescent="0.2">
      <c r="G2201" s="368"/>
      <c r="H2201" s="368"/>
      <c r="I2201" s="368"/>
      <c r="J2201" s="368"/>
    </row>
    <row r="2202" spans="7:10" x14ac:dyDescent="0.2">
      <c r="G2202" s="368"/>
      <c r="H2202" s="368"/>
      <c r="I2202" s="368"/>
      <c r="J2202" s="368"/>
    </row>
    <row r="2203" spans="7:10" x14ac:dyDescent="0.2">
      <c r="G2203" s="368"/>
      <c r="H2203" s="368"/>
      <c r="I2203" s="368"/>
      <c r="J2203" s="368"/>
    </row>
    <row r="2204" spans="7:10" x14ac:dyDescent="0.2">
      <c r="G2204" s="368"/>
      <c r="H2204" s="368"/>
      <c r="I2204" s="368"/>
      <c r="J2204" s="368"/>
    </row>
    <row r="2205" spans="7:10" x14ac:dyDescent="0.2">
      <c r="G2205" s="368"/>
      <c r="H2205" s="368"/>
      <c r="I2205" s="368"/>
      <c r="J2205" s="368"/>
    </row>
    <row r="2206" spans="7:10" x14ac:dyDescent="0.2">
      <c r="G2206" s="368"/>
      <c r="H2206" s="368"/>
      <c r="I2206" s="368"/>
      <c r="J2206" s="368"/>
    </row>
    <row r="2207" spans="7:10" x14ac:dyDescent="0.2">
      <c r="G2207" s="368"/>
      <c r="H2207" s="368"/>
      <c r="I2207" s="368"/>
      <c r="J2207" s="368"/>
    </row>
    <row r="2208" spans="7:10" x14ac:dyDescent="0.2">
      <c r="G2208" s="368"/>
      <c r="H2208" s="368"/>
      <c r="I2208" s="368"/>
      <c r="J2208" s="368"/>
    </row>
    <row r="2209" spans="7:10" x14ac:dyDescent="0.2">
      <c r="G2209" s="368"/>
      <c r="H2209" s="368"/>
      <c r="I2209" s="368"/>
      <c r="J2209" s="368"/>
    </row>
    <row r="2210" spans="7:10" x14ac:dyDescent="0.2">
      <c r="G2210" s="368"/>
      <c r="H2210" s="368"/>
      <c r="I2210" s="368"/>
      <c r="J2210" s="368"/>
    </row>
    <row r="2211" spans="7:10" x14ac:dyDescent="0.2">
      <c r="G2211" s="368"/>
      <c r="H2211" s="368"/>
      <c r="I2211" s="368"/>
      <c r="J2211" s="368"/>
    </row>
    <row r="2212" spans="7:10" x14ac:dyDescent="0.2">
      <c r="G2212" s="368"/>
      <c r="H2212" s="368"/>
      <c r="I2212" s="368"/>
      <c r="J2212" s="368"/>
    </row>
    <row r="2213" spans="7:10" x14ac:dyDescent="0.2">
      <c r="G2213" s="368"/>
      <c r="H2213" s="368"/>
      <c r="I2213" s="368"/>
      <c r="J2213" s="368"/>
    </row>
    <row r="2214" spans="7:10" x14ac:dyDescent="0.2">
      <c r="G2214" s="368"/>
      <c r="H2214" s="368"/>
      <c r="I2214" s="368"/>
      <c r="J2214" s="368"/>
    </row>
    <row r="2215" spans="7:10" x14ac:dyDescent="0.2">
      <c r="G2215" s="368"/>
      <c r="H2215" s="368"/>
      <c r="I2215" s="368"/>
      <c r="J2215" s="368"/>
    </row>
    <row r="2216" spans="7:10" x14ac:dyDescent="0.2">
      <c r="G2216" s="368"/>
      <c r="H2216" s="368"/>
      <c r="I2216" s="368"/>
      <c r="J2216" s="368"/>
    </row>
    <row r="2217" spans="7:10" x14ac:dyDescent="0.2">
      <c r="G2217" s="368"/>
      <c r="H2217" s="368"/>
      <c r="I2217" s="368"/>
      <c r="J2217" s="368"/>
    </row>
    <row r="2218" spans="7:10" x14ac:dyDescent="0.2">
      <c r="G2218" s="368"/>
      <c r="H2218" s="368"/>
      <c r="I2218" s="368"/>
      <c r="J2218" s="368"/>
    </row>
    <row r="2219" spans="7:10" x14ac:dyDescent="0.2">
      <c r="G2219" s="368"/>
      <c r="H2219" s="368"/>
      <c r="I2219" s="368"/>
      <c r="J2219" s="368"/>
    </row>
    <row r="2220" spans="7:10" x14ac:dyDescent="0.2">
      <c r="G2220" s="368"/>
      <c r="H2220" s="368"/>
      <c r="I2220" s="368"/>
      <c r="J2220" s="368"/>
    </row>
    <row r="2221" spans="7:10" x14ac:dyDescent="0.2">
      <c r="G2221" s="368"/>
      <c r="H2221" s="368"/>
      <c r="I2221" s="368"/>
      <c r="J2221" s="368"/>
    </row>
    <row r="2222" spans="7:10" x14ac:dyDescent="0.2">
      <c r="G2222" s="368"/>
      <c r="H2222" s="368"/>
      <c r="I2222" s="368"/>
      <c r="J2222" s="368"/>
    </row>
    <row r="2223" spans="7:10" x14ac:dyDescent="0.2">
      <c r="G2223" s="368"/>
      <c r="H2223" s="368"/>
      <c r="I2223" s="368"/>
      <c r="J2223" s="368"/>
    </row>
    <row r="2224" spans="7:10" x14ac:dyDescent="0.2">
      <c r="G2224" s="368"/>
      <c r="H2224" s="368"/>
      <c r="I2224" s="368"/>
      <c r="J2224" s="368"/>
    </row>
    <row r="2225" spans="7:10" x14ac:dyDescent="0.2">
      <c r="G2225" s="368"/>
      <c r="H2225" s="368"/>
      <c r="I2225" s="368"/>
      <c r="J2225" s="368"/>
    </row>
    <row r="2226" spans="7:10" x14ac:dyDescent="0.2">
      <c r="G2226" s="368"/>
      <c r="H2226" s="368"/>
      <c r="I2226" s="368"/>
      <c r="J2226" s="368"/>
    </row>
    <row r="2227" spans="7:10" x14ac:dyDescent="0.2">
      <c r="G2227" s="368"/>
      <c r="H2227" s="368"/>
      <c r="I2227" s="368"/>
      <c r="J2227" s="368"/>
    </row>
    <row r="2228" spans="7:10" x14ac:dyDescent="0.2">
      <c r="G2228" s="368"/>
      <c r="H2228" s="368"/>
      <c r="I2228" s="368"/>
      <c r="J2228" s="368"/>
    </row>
    <row r="2229" spans="7:10" x14ac:dyDescent="0.2">
      <c r="G2229" s="368"/>
      <c r="H2229" s="368"/>
      <c r="I2229" s="368"/>
      <c r="J2229" s="368"/>
    </row>
    <row r="2230" spans="7:10" x14ac:dyDescent="0.2">
      <c r="G2230" s="368"/>
      <c r="H2230" s="368"/>
      <c r="I2230" s="368"/>
      <c r="J2230" s="368"/>
    </row>
    <row r="2231" spans="7:10" x14ac:dyDescent="0.2">
      <c r="G2231" s="368"/>
      <c r="H2231" s="368"/>
      <c r="I2231" s="368"/>
      <c r="J2231" s="368"/>
    </row>
    <row r="2232" spans="7:10" x14ac:dyDescent="0.2">
      <c r="G2232" s="368"/>
      <c r="H2232" s="368"/>
      <c r="I2232" s="368"/>
      <c r="J2232" s="368"/>
    </row>
    <row r="2233" spans="7:10" x14ac:dyDescent="0.2">
      <c r="G2233" s="368"/>
      <c r="H2233" s="368"/>
      <c r="I2233" s="368"/>
      <c r="J2233" s="368"/>
    </row>
    <row r="2234" spans="7:10" x14ac:dyDescent="0.2">
      <c r="G2234" s="368"/>
      <c r="H2234" s="368"/>
      <c r="I2234" s="368"/>
      <c r="J2234" s="368"/>
    </row>
    <row r="2235" spans="7:10" x14ac:dyDescent="0.2">
      <c r="G2235" s="368"/>
      <c r="H2235" s="368"/>
      <c r="I2235" s="368"/>
      <c r="J2235" s="368"/>
    </row>
    <row r="2236" spans="7:10" x14ac:dyDescent="0.2">
      <c r="G2236" s="368"/>
      <c r="H2236" s="368"/>
      <c r="I2236" s="368"/>
      <c r="J2236" s="368"/>
    </row>
    <row r="2237" spans="7:10" x14ac:dyDescent="0.2">
      <c r="G2237" s="368"/>
      <c r="H2237" s="368"/>
      <c r="I2237" s="368"/>
      <c r="J2237" s="368"/>
    </row>
    <row r="2238" spans="7:10" x14ac:dyDescent="0.2">
      <c r="G2238" s="368"/>
      <c r="H2238" s="368"/>
      <c r="I2238" s="368"/>
      <c r="J2238" s="368"/>
    </row>
    <row r="2239" spans="7:10" x14ac:dyDescent="0.2">
      <c r="G2239" s="368"/>
      <c r="H2239" s="368"/>
      <c r="I2239" s="368"/>
      <c r="J2239" s="368"/>
    </row>
    <row r="2240" spans="7:10" x14ac:dyDescent="0.2">
      <c r="G2240" s="368"/>
      <c r="H2240" s="368"/>
      <c r="I2240" s="368"/>
      <c r="J2240" s="368"/>
    </row>
    <row r="2241" spans="7:10" x14ac:dyDescent="0.2">
      <c r="G2241" s="368"/>
      <c r="H2241" s="368"/>
      <c r="I2241" s="368"/>
      <c r="J2241" s="368"/>
    </row>
    <row r="2242" spans="7:10" x14ac:dyDescent="0.2">
      <c r="G2242" s="368"/>
      <c r="H2242" s="368"/>
      <c r="I2242" s="368"/>
      <c r="J2242" s="368"/>
    </row>
    <row r="2243" spans="7:10" x14ac:dyDescent="0.2">
      <c r="G2243" s="368"/>
      <c r="H2243" s="368"/>
      <c r="I2243" s="368"/>
      <c r="J2243" s="368"/>
    </row>
    <row r="2244" spans="7:10" x14ac:dyDescent="0.2">
      <c r="G2244" s="368"/>
      <c r="H2244" s="368"/>
      <c r="I2244" s="368"/>
      <c r="J2244" s="368"/>
    </row>
    <row r="2245" spans="7:10" x14ac:dyDescent="0.2">
      <c r="G2245" s="368"/>
      <c r="H2245" s="368"/>
      <c r="I2245" s="368"/>
      <c r="J2245" s="368"/>
    </row>
    <row r="2246" spans="7:10" x14ac:dyDescent="0.2">
      <c r="G2246" s="368"/>
      <c r="H2246" s="368"/>
      <c r="I2246" s="368"/>
      <c r="J2246" s="368"/>
    </row>
    <row r="2247" spans="7:10" x14ac:dyDescent="0.2">
      <c r="G2247" s="368"/>
      <c r="H2247" s="368"/>
      <c r="I2247" s="368"/>
      <c r="J2247" s="368"/>
    </row>
    <row r="2248" spans="7:10" x14ac:dyDescent="0.2">
      <c r="G2248" s="368"/>
      <c r="H2248" s="368"/>
      <c r="I2248" s="368"/>
      <c r="J2248" s="368"/>
    </row>
    <row r="2249" spans="7:10" x14ac:dyDescent="0.2">
      <c r="G2249" s="368"/>
      <c r="H2249" s="368"/>
      <c r="I2249" s="368"/>
      <c r="J2249" s="368"/>
    </row>
    <row r="2250" spans="7:10" x14ac:dyDescent="0.2">
      <c r="G2250" s="368"/>
      <c r="H2250" s="368"/>
      <c r="I2250" s="368"/>
      <c r="J2250" s="368"/>
    </row>
    <row r="2251" spans="7:10" x14ac:dyDescent="0.2">
      <c r="G2251" s="368"/>
      <c r="H2251" s="368"/>
      <c r="I2251" s="368"/>
      <c r="J2251" s="368"/>
    </row>
    <row r="2252" spans="7:10" x14ac:dyDescent="0.2">
      <c r="G2252" s="368"/>
      <c r="H2252" s="368"/>
      <c r="I2252" s="368"/>
      <c r="J2252" s="368"/>
    </row>
    <row r="2253" spans="7:10" x14ac:dyDescent="0.2">
      <c r="G2253" s="368"/>
      <c r="H2253" s="368"/>
      <c r="I2253" s="368"/>
      <c r="J2253" s="368"/>
    </row>
    <row r="2254" spans="7:10" x14ac:dyDescent="0.2">
      <c r="G2254" s="368"/>
      <c r="H2254" s="368"/>
      <c r="I2254" s="368"/>
      <c r="J2254" s="368"/>
    </row>
    <row r="2255" spans="7:10" x14ac:dyDescent="0.2">
      <c r="G2255" s="368"/>
      <c r="H2255" s="368"/>
      <c r="I2255" s="368"/>
      <c r="J2255" s="368"/>
    </row>
    <row r="2256" spans="7:10" x14ac:dyDescent="0.2">
      <c r="G2256" s="368"/>
      <c r="H2256" s="368"/>
      <c r="I2256" s="368"/>
      <c r="J2256" s="368"/>
    </row>
    <row r="2257" spans="7:10" x14ac:dyDescent="0.2">
      <c r="G2257" s="368"/>
      <c r="H2257" s="368"/>
      <c r="I2257" s="368"/>
      <c r="J2257" s="368"/>
    </row>
    <row r="2258" spans="7:10" x14ac:dyDescent="0.2">
      <c r="G2258" s="368"/>
      <c r="H2258" s="368"/>
      <c r="I2258" s="368"/>
      <c r="J2258" s="368"/>
    </row>
    <row r="2259" spans="7:10" x14ac:dyDescent="0.2">
      <c r="G2259" s="368"/>
      <c r="H2259" s="368"/>
      <c r="I2259" s="368"/>
      <c r="J2259" s="368"/>
    </row>
    <row r="2260" spans="7:10" x14ac:dyDescent="0.2">
      <c r="G2260" s="368"/>
      <c r="H2260" s="368"/>
      <c r="I2260" s="368"/>
      <c r="J2260" s="368"/>
    </row>
    <row r="2261" spans="7:10" x14ac:dyDescent="0.2">
      <c r="G2261" s="368"/>
      <c r="H2261" s="368"/>
      <c r="I2261" s="368"/>
      <c r="J2261" s="368"/>
    </row>
    <row r="2262" spans="7:10" x14ac:dyDescent="0.2">
      <c r="G2262" s="368"/>
      <c r="H2262" s="368"/>
      <c r="I2262" s="368"/>
      <c r="J2262" s="368"/>
    </row>
    <row r="2263" spans="7:10" x14ac:dyDescent="0.2">
      <c r="G2263" s="368"/>
      <c r="H2263" s="368"/>
      <c r="I2263" s="368"/>
      <c r="J2263" s="368"/>
    </row>
    <row r="2264" spans="7:10" x14ac:dyDescent="0.2">
      <c r="G2264" s="368"/>
      <c r="H2264" s="368"/>
      <c r="I2264" s="368"/>
      <c r="J2264" s="368"/>
    </row>
    <row r="2265" spans="7:10" x14ac:dyDescent="0.2">
      <c r="G2265" s="368"/>
      <c r="H2265" s="368"/>
      <c r="I2265" s="368"/>
      <c r="J2265" s="368"/>
    </row>
    <row r="2266" spans="7:10" x14ac:dyDescent="0.2">
      <c r="G2266" s="368"/>
      <c r="H2266" s="368"/>
      <c r="I2266" s="368"/>
      <c r="J2266" s="368"/>
    </row>
    <row r="2267" spans="7:10" x14ac:dyDescent="0.2">
      <c r="G2267" s="368"/>
      <c r="H2267" s="368"/>
      <c r="I2267" s="368"/>
      <c r="J2267" s="368"/>
    </row>
    <row r="2268" spans="7:10" x14ac:dyDescent="0.2">
      <c r="G2268" s="368"/>
      <c r="H2268" s="368"/>
      <c r="I2268" s="368"/>
      <c r="J2268" s="368"/>
    </row>
    <row r="2269" spans="7:10" x14ac:dyDescent="0.2">
      <c r="G2269" s="368"/>
      <c r="H2269" s="368"/>
      <c r="I2269" s="368"/>
      <c r="J2269" s="368"/>
    </row>
    <row r="2270" spans="7:10" x14ac:dyDescent="0.2">
      <c r="G2270" s="368"/>
      <c r="H2270" s="368"/>
      <c r="I2270" s="368"/>
      <c r="J2270" s="368"/>
    </row>
    <row r="2271" spans="7:10" x14ac:dyDescent="0.2">
      <c r="G2271" s="368"/>
      <c r="H2271" s="368"/>
      <c r="I2271" s="368"/>
      <c r="J2271" s="368"/>
    </row>
    <row r="2272" spans="7:10" x14ac:dyDescent="0.2">
      <c r="G2272" s="368"/>
      <c r="H2272" s="368"/>
      <c r="I2272" s="368"/>
      <c r="J2272" s="368"/>
    </row>
    <row r="2273" spans="7:10" x14ac:dyDescent="0.2">
      <c r="G2273" s="368"/>
      <c r="H2273" s="368"/>
      <c r="I2273" s="368"/>
      <c r="J2273" s="368"/>
    </row>
    <row r="2274" spans="7:10" x14ac:dyDescent="0.2">
      <c r="G2274" s="368"/>
      <c r="H2274" s="368"/>
      <c r="I2274" s="368"/>
      <c r="J2274" s="368"/>
    </row>
    <row r="2275" spans="7:10" x14ac:dyDescent="0.2">
      <c r="G2275" s="368"/>
      <c r="H2275" s="368"/>
      <c r="I2275" s="368"/>
      <c r="J2275" s="368"/>
    </row>
    <row r="2276" spans="7:10" x14ac:dyDescent="0.2">
      <c r="G2276" s="368"/>
      <c r="H2276" s="368"/>
      <c r="I2276" s="368"/>
      <c r="J2276" s="368"/>
    </row>
    <row r="2277" spans="7:10" x14ac:dyDescent="0.2">
      <c r="G2277" s="368"/>
      <c r="H2277" s="368"/>
      <c r="I2277" s="368"/>
      <c r="J2277" s="368"/>
    </row>
    <row r="2278" spans="7:10" x14ac:dyDescent="0.2">
      <c r="G2278" s="368"/>
      <c r="H2278" s="368"/>
      <c r="I2278" s="368"/>
      <c r="J2278" s="368"/>
    </row>
    <row r="2279" spans="7:10" x14ac:dyDescent="0.2">
      <c r="G2279" s="368"/>
      <c r="H2279" s="368"/>
      <c r="I2279" s="368"/>
      <c r="J2279" s="368"/>
    </row>
    <row r="2280" spans="7:10" x14ac:dyDescent="0.2">
      <c r="G2280" s="368"/>
      <c r="H2280" s="368"/>
      <c r="I2280" s="368"/>
      <c r="J2280" s="368"/>
    </row>
    <row r="2281" spans="7:10" x14ac:dyDescent="0.2">
      <c r="G2281" s="368"/>
      <c r="H2281" s="368"/>
      <c r="I2281" s="368"/>
      <c r="J2281" s="368"/>
    </row>
    <row r="2282" spans="7:10" x14ac:dyDescent="0.2">
      <c r="G2282" s="368"/>
      <c r="H2282" s="368"/>
      <c r="I2282" s="368"/>
      <c r="J2282" s="368"/>
    </row>
    <row r="2283" spans="7:10" x14ac:dyDescent="0.2">
      <c r="G2283" s="368"/>
      <c r="H2283" s="368"/>
      <c r="I2283" s="368"/>
      <c r="J2283" s="368"/>
    </row>
    <row r="2284" spans="7:10" x14ac:dyDescent="0.2">
      <c r="G2284" s="368"/>
      <c r="H2284" s="368"/>
      <c r="I2284" s="368"/>
      <c r="J2284" s="368"/>
    </row>
    <row r="2285" spans="7:10" x14ac:dyDescent="0.2">
      <c r="G2285" s="368"/>
      <c r="H2285" s="368"/>
      <c r="I2285" s="368"/>
      <c r="J2285" s="368"/>
    </row>
    <row r="2286" spans="7:10" x14ac:dyDescent="0.2">
      <c r="G2286" s="368"/>
      <c r="H2286" s="368"/>
      <c r="I2286" s="368"/>
      <c r="J2286" s="368"/>
    </row>
    <row r="2287" spans="7:10" x14ac:dyDescent="0.2">
      <c r="G2287" s="368"/>
      <c r="H2287" s="368"/>
      <c r="I2287" s="368"/>
      <c r="J2287" s="368"/>
    </row>
    <row r="2288" spans="7:10" x14ac:dyDescent="0.2">
      <c r="G2288" s="368"/>
      <c r="H2288" s="368"/>
      <c r="I2288" s="368"/>
      <c r="J2288" s="368"/>
    </row>
    <row r="2289" spans="7:10" x14ac:dyDescent="0.2">
      <c r="G2289" s="368"/>
      <c r="H2289" s="368"/>
      <c r="I2289" s="368"/>
      <c r="J2289" s="368"/>
    </row>
    <row r="2290" spans="7:10" x14ac:dyDescent="0.2">
      <c r="G2290" s="368"/>
      <c r="H2290" s="368"/>
      <c r="I2290" s="368"/>
      <c r="J2290" s="368"/>
    </row>
    <row r="2291" spans="7:10" x14ac:dyDescent="0.2">
      <c r="G2291" s="368"/>
      <c r="H2291" s="368"/>
      <c r="I2291" s="368"/>
      <c r="J2291" s="368"/>
    </row>
    <row r="2292" spans="7:10" x14ac:dyDescent="0.2">
      <c r="G2292" s="368"/>
      <c r="H2292" s="368"/>
      <c r="I2292" s="368"/>
      <c r="J2292" s="368"/>
    </row>
    <row r="2293" spans="7:10" x14ac:dyDescent="0.2">
      <c r="G2293" s="368"/>
      <c r="H2293" s="368"/>
      <c r="I2293" s="368"/>
      <c r="J2293" s="368"/>
    </row>
    <row r="2294" spans="7:10" x14ac:dyDescent="0.2">
      <c r="G2294" s="368"/>
      <c r="H2294" s="368"/>
      <c r="I2294" s="368"/>
      <c r="J2294" s="368"/>
    </row>
    <row r="2295" spans="7:10" x14ac:dyDescent="0.2">
      <c r="G2295" s="368"/>
      <c r="H2295" s="368"/>
      <c r="I2295" s="368"/>
      <c r="J2295" s="368"/>
    </row>
    <row r="2296" spans="7:10" x14ac:dyDescent="0.2">
      <c r="G2296" s="368"/>
      <c r="H2296" s="368"/>
      <c r="I2296" s="368"/>
      <c r="J2296" s="368"/>
    </row>
    <row r="2297" spans="7:10" x14ac:dyDescent="0.2">
      <c r="G2297" s="368"/>
      <c r="H2297" s="368"/>
      <c r="I2297" s="368"/>
      <c r="J2297" s="368"/>
    </row>
    <row r="2298" spans="7:10" x14ac:dyDescent="0.2">
      <c r="G2298" s="368"/>
      <c r="H2298" s="368"/>
      <c r="I2298" s="368"/>
      <c r="J2298" s="368"/>
    </row>
    <row r="2299" spans="7:10" x14ac:dyDescent="0.2">
      <c r="G2299" s="368"/>
      <c r="H2299" s="368"/>
      <c r="I2299" s="368"/>
      <c r="J2299" s="368"/>
    </row>
    <row r="2300" spans="7:10" x14ac:dyDescent="0.2">
      <c r="G2300" s="368"/>
      <c r="H2300" s="368"/>
      <c r="I2300" s="368"/>
      <c r="J2300" s="368"/>
    </row>
    <row r="2301" spans="7:10" x14ac:dyDescent="0.2">
      <c r="G2301" s="368"/>
      <c r="H2301" s="368"/>
      <c r="I2301" s="368"/>
      <c r="J2301" s="368"/>
    </row>
    <row r="2302" spans="7:10" x14ac:dyDescent="0.2">
      <c r="G2302" s="368"/>
      <c r="H2302" s="368"/>
      <c r="I2302" s="368"/>
      <c r="J2302" s="368"/>
    </row>
    <row r="2303" spans="7:10" x14ac:dyDescent="0.2">
      <c r="G2303" s="368"/>
      <c r="H2303" s="368"/>
      <c r="I2303" s="368"/>
      <c r="J2303" s="368"/>
    </row>
    <row r="2304" spans="7:10" x14ac:dyDescent="0.2">
      <c r="G2304" s="368"/>
      <c r="H2304" s="368"/>
      <c r="I2304" s="368"/>
      <c r="J2304" s="368"/>
    </row>
    <row r="2305" spans="7:10" x14ac:dyDescent="0.2">
      <c r="G2305" s="368"/>
      <c r="H2305" s="368"/>
      <c r="I2305" s="368"/>
      <c r="J2305" s="368"/>
    </row>
    <row r="2306" spans="7:10" x14ac:dyDescent="0.2">
      <c r="G2306" s="368"/>
      <c r="H2306" s="368"/>
      <c r="I2306" s="368"/>
      <c r="J2306" s="368"/>
    </row>
    <row r="2307" spans="7:10" x14ac:dyDescent="0.2">
      <c r="G2307" s="368"/>
      <c r="H2307" s="368"/>
      <c r="I2307" s="368"/>
      <c r="J2307" s="368"/>
    </row>
    <row r="2308" spans="7:10" x14ac:dyDescent="0.2">
      <c r="G2308" s="368"/>
      <c r="H2308" s="368"/>
      <c r="I2308" s="368"/>
      <c r="J2308" s="368"/>
    </row>
    <row r="2309" spans="7:10" x14ac:dyDescent="0.2">
      <c r="G2309" s="368"/>
      <c r="H2309" s="368"/>
      <c r="I2309" s="368"/>
      <c r="J2309" s="368"/>
    </row>
    <row r="2310" spans="7:10" x14ac:dyDescent="0.2">
      <c r="G2310" s="368"/>
      <c r="H2310" s="368"/>
      <c r="I2310" s="368"/>
      <c r="J2310" s="368"/>
    </row>
    <row r="2311" spans="7:10" x14ac:dyDescent="0.2">
      <c r="G2311" s="368"/>
      <c r="H2311" s="368"/>
      <c r="I2311" s="368"/>
      <c r="J2311" s="368"/>
    </row>
    <row r="2312" spans="7:10" x14ac:dyDescent="0.2">
      <c r="G2312" s="368"/>
      <c r="H2312" s="368"/>
      <c r="I2312" s="368"/>
      <c r="J2312" s="368"/>
    </row>
    <row r="2313" spans="7:10" x14ac:dyDescent="0.2">
      <c r="G2313" s="368"/>
      <c r="H2313" s="368"/>
      <c r="I2313" s="368"/>
      <c r="J2313" s="368"/>
    </row>
    <row r="2314" spans="7:10" x14ac:dyDescent="0.2">
      <c r="G2314" s="368"/>
      <c r="H2314" s="368"/>
      <c r="I2314" s="368"/>
      <c r="J2314" s="368"/>
    </row>
    <row r="2315" spans="7:10" x14ac:dyDescent="0.2">
      <c r="G2315" s="368"/>
      <c r="H2315" s="368"/>
      <c r="I2315" s="368"/>
      <c r="J2315" s="368"/>
    </row>
    <row r="2316" spans="7:10" x14ac:dyDescent="0.2">
      <c r="G2316" s="368"/>
      <c r="H2316" s="368"/>
      <c r="I2316" s="368"/>
      <c r="J2316" s="368"/>
    </row>
    <row r="2317" spans="7:10" x14ac:dyDescent="0.2">
      <c r="G2317" s="368"/>
      <c r="H2317" s="368"/>
      <c r="I2317" s="368"/>
      <c r="J2317" s="368"/>
    </row>
    <row r="2318" spans="7:10" x14ac:dyDescent="0.2">
      <c r="G2318" s="368"/>
      <c r="H2318" s="368"/>
      <c r="I2318" s="368"/>
      <c r="J2318" s="368"/>
    </row>
    <row r="2319" spans="7:10" x14ac:dyDescent="0.2">
      <c r="G2319" s="368"/>
      <c r="H2319" s="368"/>
      <c r="I2319" s="368"/>
      <c r="J2319" s="368"/>
    </row>
    <row r="2320" spans="7:10" x14ac:dyDescent="0.2">
      <c r="G2320" s="368"/>
      <c r="H2320" s="368"/>
      <c r="I2320" s="368"/>
      <c r="J2320" s="368"/>
    </row>
    <row r="2321" spans="7:10" x14ac:dyDescent="0.2">
      <c r="G2321" s="368"/>
      <c r="H2321" s="368"/>
      <c r="I2321" s="368"/>
      <c r="J2321" s="368"/>
    </row>
    <row r="2322" spans="7:10" x14ac:dyDescent="0.2">
      <c r="G2322" s="368"/>
      <c r="H2322" s="368"/>
      <c r="I2322" s="368"/>
      <c r="J2322" s="368"/>
    </row>
    <row r="2323" spans="7:10" x14ac:dyDescent="0.2">
      <c r="G2323" s="368"/>
      <c r="H2323" s="368"/>
      <c r="I2323" s="368"/>
      <c r="J2323" s="368"/>
    </row>
    <row r="2324" spans="7:10" x14ac:dyDescent="0.2">
      <c r="G2324" s="368"/>
      <c r="H2324" s="368"/>
      <c r="I2324" s="368"/>
      <c r="J2324" s="368"/>
    </row>
    <row r="2325" spans="7:10" x14ac:dyDescent="0.2">
      <c r="G2325" s="368"/>
      <c r="H2325" s="368"/>
      <c r="I2325" s="368"/>
      <c r="J2325" s="368"/>
    </row>
    <row r="2326" spans="7:10" x14ac:dyDescent="0.2">
      <c r="G2326" s="368"/>
      <c r="H2326" s="368"/>
      <c r="I2326" s="368"/>
      <c r="J2326" s="368"/>
    </row>
    <row r="2327" spans="7:10" x14ac:dyDescent="0.2">
      <c r="G2327" s="368"/>
      <c r="H2327" s="368"/>
      <c r="I2327" s="368"/>
      <c r="J2327" s="368"/>
    </row>
    <row r="2328" spans="7:10" x14ac:dyDescent="0.2">
      <c r="G2328" s="368"/>
      <c r="H2328" s="368"/>
      <c r="I2328" s="368"/>
      <c r="J2328" s="368"/>
    </row>
    <row r="2329" spans="7:10" x14ac:dyDescent="0.2">
      <c r="G2329" s="368"/>
      <c r="H2329" s="368"/>
      <c r="I2329" s="368"/>
      <c r="J2329" s="368"/>
    </row>
    <row r="2330" spans="7:10" x14ac:dyDescent="0.2">
      <c r="G2330" s="368"/>
      <c r="H2330" s="368"/>
      <c r="I2330" s="368"/>
      <c r="J2330" s="368"/>
    </row>
    <row r="2331" spans="7:10" x14ac:dyDescent="0.2">
      <c r="G2331" s="368"/>
      <c r="H2331" s="368"/>
      <c r="I2331" s="368"/>
      <c r="J2331" s="368"/>
    </row>
    <row r="2332" spans="7:10" x14ac:dyDescent="0.2">
      <c r="G2332" s="368"/>
      <c r="H2332" s="368"/>
      <c r="I2332" s="368"/>
      <c r="J2332" s="368"/>
    </row>
    <row r="2333" spans="7:10" x14ac:dyDescent="0.2">
      <c r="G2333" s="368"/>
      <c r="H2333" s="368"/>
      <c r="I2333" s="368"/>
      <c r="J2333" s="368"/>
    </row>
    <row r="2334" spans="7:10" x14ac:dyDescent="0.2">
      <c r="G2334" s="368"/>
      <c r="H2334" s="368"/>
      <c r="I2334" s="368"/>
      <c r="J2334" s="368"/>
    </row>
    <row r="2335" spans="7:10" x14ac:dyDescent="0.2">
      <c r="G2335" s="368"/>
      <c r="H2335" s="368"/>
      <c r="I2335" s="368"/>
      <c r="J2335" s="368"/>
    </row>
    <row r="2336" spans="7:10" x14ac:dyDescent="0.2">
      <c r="G2336" s="368"/>
      <c r="H2336" s="368"/>
      <c r="I2336" s="368"/>
      <c r="J2336" s="368"/>
    </row>
    <row r="2337" spans="7:10" x14ac:dyDescent="0.2">
      <c r="G2337" s="368"/>
      <c r="H2337" s="368"/>
      <c r="I2337" s="368"/>
      <c r="J2337" s="368"/>
    </row>
    <row r="2338" spans="7:10" x14ac:dyDescent="0.2">
      <c r="G2338" s="368"/>
      <c r="H2338" s="368"/>
      <c r="I2338" s="368"/>
      <c r="J2338" s="368"/>
    </row>
    <row r="2339" spans="7:10" x14ac:dyDescent="0.2">
      <c r="G2339" s="368"/>
      <c r="H2339" s="368"/>
      <c r="I2339" s="368"/>
      <c r="J2339" s="368"/>
    </row>
    <row r="2340" spans="7:10" x14ac:dyDescent="0.2">
      <c r="G2340" s="368"/>
      <c r="H2340" s="368"/>
      <c r="I2340" s="368"/>
      <c r="J2340" s="368"/>
    </row>
    <row r="2341" spans="7:10" x14ac:dyDescent="0.2">
      <c r="G2341" s="368"/>
      <c r="H2341" s="368"/>
      <c r="I2341" s="368"/>
      <c r="J2341" s="368"/>
    </row>
    <row r="2342" spans="7:10" x14ac:dyDescent="0.2">
      <c r="G2342" s="368"/>
      <c r="H2342" s="368"/>
      <c r="I2342" s="368"/>
      <c r="J2342" s="368"/>
    </row>
    <row r="2343" spans="7:10" x14ac:dyDescent="0.2">
      <c r="G2343" s="368"/>
      <c r="H2343" s="368"/>
      <c r="I2343" s="368"/>
      <c r="J2343" s="368"/>
    </row>
    <row r="2344" spans="7:10" x14ac:dyDescent="0.2">
      <c r="G2344" s="368"/>
      <c r="H2344" s="368"/>
      <c r="I2344" s="368"/>
      <c r="J2344" s="368"/>
    </row>
    <row r="2345" spans="7:10" x14ac:dyDescent="0.2">
      <c r="G2345" s="368"/>
      <c r="H2345" s="368"/>
      <c r="I2345" s="368"/>
      <c r="J2345" s="368"/>
    </row>
    <row r="2346" spans="7:10" x14ac:dyDescent="0.2">
      <c r="G2346" s="368"/>
      <c r="H2346" s="368"/>
      <c r="I2346" s="368"/>
      <c r="J2346" s="368"/>
    </row>
    <row r="2347" spans="7:10" x14ac:dyDescent="0.2">
      <c r="G2347" s="368"/>
      <c r="H2347" s="368"/>
      <c r="I2347" s="368"/>
      <c r="J2347" s="368"/>
    </row>
    <row r="2348" spans="7:10" x14ac:dyDescent="0.2">
      <c r="G2348" s="368"/>
      <c r="H2348" s="368"/>
      <c r="I2348" s="368"/>
      <c r="J2348" s="368"/>
    </row>
    <row r="2349" spans="7:10" x14ac:dyDescent="0.2">
      <c r="G2349" s="368"/>
      <c r="H2349" s="368"/>
      <c r="I2349" s="368"/>
      <c r="J2349" s="368"/>
    </row>
    <row r="2350" spans="7:10" x14ac:dyDescent="0.2">
      <c r="G2350" s="368"/>
      <c r="H2350" s="368"/>
      <c r="I2350" s="368"/>
      <c r="J2350" s="368"/>
    </row>
    <row r="2351" spans="7:10" x14ac:dyDescent="0.2">
      <c r="G2351" s="368"/>
      <c r="H2351" s="368"/>
      <c r="I2351" s="368"/>
      <c r="J2351" s="368"/>
    </row>
    <row r="2352" spans="7:10" x14ac:dyDescent="0.2">
      <c r="G2352" s="368"/>
      <c r="H2352" s="368"/>
      <c r="I2352" s="368"/>
      <c r="J2352" s="368"/>
    </row>
    <row r="2353" spans="7:10" x14ac:dyDescent="0.2">
      <c r="G2353" s="368"/>
      <c r="H2353" s="368"/>
      <c r="I2353" s="368"/>
      <c r="J2353" s="368"/>
    </row>
    <row r="2354" spans="7:10" x14ac:dyDescent="0.2">
      <c r="G2354" s="368"/>
      <c r="H2354" s="368"/>
      <c r="I2354" s="368"/>
      <c r="J2354" s="368"/>
    </row>
    <row r="2355" spans="7:10" x14ac:dyDescent="0.2">
      <c r="G2355" s="368"/>
      <c r="H2355" s="368"/>
      <c r="I2355" s="368"/>
      <c r="J2355" s="368"/>
    </row>
    <row r="2356" spans="7:10" x14ac:dyDescent="0.2">
      <c r="G2356" s="368"/>
      <c r="H2356" s="368"/>
      <c r="I2356" s="368"/>
      <c r="J2356" s="368"/>
    </row>
    <row r="2357" spans="7:10" x14ac:dyDescent="0.2">
      <c r="G2357" s="368"/>
      <c r="H2357" s="368"/>
      <c r="I2357" s="368"/>
      <c r="J2357" s="368"/>
    </row>
    <row r="2358" spans="7:10" x14ac:dyDescent="0.2">
      <c r="G2358" s="368"/>
      <c r="H2358" s="368"/>
      <c r="I2358" s="368"/>
      <c r="J2358" s="368"/>
    </row>
    <row r="2359" spans="7:10" x14ac:dyDescent="0.2">
      <c r="G2359" s="368"/>
      <c r="H2359" s="368"/>
      <c r="I2359" s="368"/>
      <c r="J2359" s="368"/>
    </row>
    <row r="2360" spans="7:10" x14ac:dyDescent="0.2">
      <c r="G2360" s="368"/>
      <c r="H2360" s="368"/>
      <c r="I2360" s="368"/>
      <c r="J2360" s="368"/>
    </row>
    <row r="2361" spans="7:10" x14ac:dyDescent="0.2">
      <c r="G2361" s="368"/>
      <c r="H2361" s="368"/>
      <c r="I2361" s="368"/>
      <c r="J2361" s="368"/>
    </row>
    <row r="2362" spans="7:10" x14ac:dyDescent="0.2">
      <c r="G2362" s="368"/>
      <c r="H2362" s="368"/>
      <c r="I2362" s="368"/>
      <c r="J2362" s="368"/>
    </row>
    <row r="2363" spans="7:10" x14ac:dyDescent="0.2">
      <c r="G2363" s="368"/>
      <c r="H2363" s="368"/>
      <c r="I2363" s="368"/>
      <c r="J2363" s="368"/>
    </row>
    <row r="2364" spans="7:10" x14ac:dyDescent="0.2">
      <c r="G2364" s="368"/>
      <c r="H2364" s="368"/>
      <c r="I2364" s="368"/>
      <c r="J2364" s="368"/>
    </row>
    <row r="2365" spans="7:10" x14ac:dyDescent="0.2">
      <c r="G2365" s="368"/>
      <c r="H2365" s="368"/>
      <c r="I2365" s="368"/>
      <c r="J2365" s="368"/>
    </row>
    <row r="2366" spans="7:10" x14ac:dyDescent="0.2">
      <c r="G2366" s="368"/>
      <c r="H2366" s="368"/>
      <c r="I2366" s="368"/>
      <c r="J2366" s="368"/>
    </row>
    <row r="2367" spans="7:10" x14ac:dyDescent="0.2">
      <c r="G2367" s="368"/>
      <c r="H2367" s="368"/>
      <c r="I2367" s="368"/>
      <c r="J2367" s="368"/>
    </row>
    <row r="2368" spans="7:10" x14ac:dyDescent="0.2">
      <c r="G2368" s="368"/>
      <c r="H2368" s="368"/>
      <c r="I2368" s="368"/>
      <c r="J2368" s="368"/>
    </row>
    <row r="2369" spans="7:10" x14ac:dyDescent="0.2">
      <c r="G2369" s="368"/>
      <c r="H2369" s="368"/>
      <c r="I2369" s="368"/>
      <c r="J2369" s="368"/>
    </row>
    <row r="2370" spans="7:10" x14ac:dyDescent="0.2">
      <c r="G2370" s="368"/>
      <c r="H2370" s="368"/>
      <c r="I2370" s="368"/>
      <c r="J2370" s="368"/>
    </row>
    <row r="2371" spans="7:10" x14ac:dyDescent="0.2">
      <c r="G2371" s="368"/>
      <c r="H2371" s="368"/>
      <c r="I2371" s="368"/>
      <c r="J2371" s="368"/>
    </row>
    <row r="2372" spans="7:10" x14ac:dyDescent="0.2">
      <c r="G2372" s="368"/>
      <c r="H2372" s="368"/>
      <c r="I2372" s="368"/>
      <c r="J2372" s="368"/>
    </row>
    <row r="2373" spans="7:10" x14ac:dyDescent="0.2">
      <c r="G2373" s="368"/>
      <c r="H2373" s="368"/>
      <c r="I2373" s="368"/>
      <c r="J2373" s="368"/>
    </row>
    <row r="2374" spans="7:10" x14ac:dyDescent="0.2">
      <c r="G2374" s="368"/>
      <c r="H2374" s="368"/>
      <c r="I2374" s="368"/>
      <c r="J2374" s="368"/>
    </row>
    <row r="2375" spans="7:10" x14ac:dyDescent="0.2">
      <c r="G2375" s="368"/>
      <c r="H2375" s="368"/>
      <c r="I2375" s="368"/>
      <c r="J2375" s="368"/>
    </row>
    <row r="2376" spans="7:10" x14ac:dyDescent="0.2">
      <c r="G2376" s="368"/>
      <c r="H2376" s="368"/>
      <c r="I2376" s="368"/>
      <c r="J2376" s="368"/>
    </row>
    <row r="2377" spans="7:10" x14ac:dyDescent="0.2">
      <c r="G2377" s="368"/>
      <c r="H2377" s="368"/>
      <c r="I2377" s="368"/>
      <c r="J2377" s="368"/>
    </row>
    <row r="2378" spans="7:10" x14ac:dyDescent="0.2">
      <c r="G2378" s="368"/>
      <c r="H2378" s="368"/>
      <c r="I2378" s="368"/>
      <c r="J2378" s="368"/>
    </row>
    <row r="2379" spans="7:10" x14ac:dyDescent="0.2">
      <c r="G2379" s="368"/>
      <c r="H2379" s="368"/>
      <c r="I2379" s="368"/>
      <c r="J2379" s="368"/>
    </row>
    <row r="2380" spans="7:10" x14ac:dyDescent="0.2">
      <c r="G2380" s="368"/>
      <c r="H2380" s="368"/>
      <c r="I2380" s="368"/>
      <c r="J2380" s="368"/>
    </row>
    <row r="2381" spans="7:10" x14ac:dyDescent="0.2">
      <c r="G2381" s="368"/>
      <c r="H2381" s="368"/>
      <c r="I2381" s="368"/>
      <c r="J2381" s="368"/>
    </row>
    <row r="2382" spans="7:10" x14ac:dyDescent="0.2">
      <c r="G2382" s="368"/>
      <c r="H2382" s="368"/>
      <c r="I2382" s="368"/>
      <c r="J2382" s="368"/>
    </row>
    <row r="2383" spans="7:10" x14ac:dyDescent="0.2">
      <c r="G2383" s="368"/>
      <c r="H2383" s="368"/>
      <c r="I2383" s="368"/>
      <c r="J2383" s="368"/>
    </row>
    <row r="2384" spans="7:10" x14ac:dyDescent="0.2">
      <c r="G2384" s="368"/>
      <c r="H2384" s="368"/>
      <c r="I2384" s="368"/>
      <c r="J2384" s="368"/>
    </row>
    <row r="2385" spans="7:10" x14ac:dyDescent="0.2">
      <c r="G2385" s="368"/>
      <c r="H2385" s="368"/>
      <c r="I2385" s="368"/>
      <c r="J2385" s="368"/>
    </row>
    <row r="2386" spans="7:10" x14ac:dyDescent="0.2">
      <c r="G2386" s="368"/>
      <c r="H2386" s="368"/>
      <c r="I2386" s="368"/>
      <c r="J2386" s="368"/>
    </row>
    <row r="2387" spans="7:10" x14ac:dyDescent="0.2">
      <c r="G2387" s="368"/>
      <c r="H2387" s="368"/>
      <c r="I2387" s="368"/>
      <c r="J2387" s="368"/>
    </row>
    <row r="2388" spans="7:10" x14ac:dyDescent="0.2">
      <c r="G2388" s="368"/>
      <c r="H2388" s="368"/>
      <c r="I2388" s="368"/>
      <c r="J2388" s="368"/>
    </row>
    <row r="2389" spans="7:10" x14ac:dyDescent="0.2">
      <c r="G2389" s="368"/>
      <c r="H2389" s="368"/>
      <c r="I2389" s="368"/>
      <c r="J2389" s="368"/>
    </row>
    <row r="2390" spans="7:10" x14ac:dyDescent="0.2">
      <c r="G2390" s="368"/>
      <c r="H2390" s="368"/>
      <c r="I2390" s="368"/>
      <c r="J2390" s="368"/>
    </row>
    <row r="2391" spans="7:10" x14ac:dyDescent="0.2">
      <c r="G2391" s="368"/>
      <c r="H2391" s="368"/>
      <c r="I2391" s="368"/>
      <c r="J2391" s="368"/>
    </row>
    <row r="2392" spans="7:10" x14ac:dyDescent="0.2">
      <c r="G2392" s="368"/>
      <c r="H2392" s="368"/>
      <c r="I2392" s="368"/>
      <c r="J2392" s="368"/>
    </row>
    <row r="2393" spans="7:10" x14ac:dyDescent="0.2">
      <c r="G2393" s="368"/>
      <c r="H2393" s="368"/>
      <c r="I2393" s="368"/>
      <c r="J2393" s="368"/>
    </row>
    <row r="2394" spans="7:10" x14ac:dyDescent="0.2">
      <c r="G2394" s="368"/>
      <c r="H2394" s="368"/>
      <c r="I2394" s="368"/>
      <c r="J2394" s="368"/>
    </row>
    <row r="2395" spans="7:10" x14ac:dyDescent="0.2">
      <c r="G2395" s="368"/>
      <c r="H2395" s="368"/>
      <c r="I2395" s="368"/>
      <c r="J2395" s="368"/>
    </row>
    <row r="2396" spans="7:10" x14ac:dyDescent="0.2">
      <c r="G2396" s="368"/>
      <c r="H2396" s="368"/>
      <c r="I2396" s="368"/>
      <c r="J2396" s="368"/>
    </row>
    <row r="2397" spans="7:10" x14ac:dyDescent="0.2">
      <c r="G2397" s="368"/>
      <c r="H2397" s="368"/>
      <c r="I2397" s="368"/>
      <c r="J2397" s="368"/>
    </row>
    <row r="2398" spans="7:10" x14ac:dyDescent="0.2">
      <c r="G2398" s="368"/>
      <c r="H2398" s="368"/>
      <c r="I2398" s="368"/>
      <c r="J2398" s="368"/>
    </row>
    <row r="2399" spans="7:10" x14ac:dyDescent="0.2">
      <c r="G2399" s="368"/>
      <c r="H2399" s="368"/>
      <c r="I2399" s="368"/>
      <c r="J2399" s="368"/>
    </row>
    <row r="2400" spans="7:10" x14ac:dyDescent="0.2">
      <c r="G2400" s="368"/>
      <c r="H2400" s="368"/>
      <c r="I2400" s="368"/>
      <c r="J2400" s="368"/>
    </row>
    <row r="2401" spans="7:10" x14ac:dyDescent="0.2">
      <c r="G2401" s="368"/>
      <c r="H2401" s="368"/>
      <c r="I2401" s="368"/>
      <c r="J2401" s="368"/>
    </row>
    <row r="2402" spans="7:10" x14ac:dyDescent="0.2">
      <c r="G2402" s="368"/>
      <c r="H2402" s="368"/>
      <c r="I2402" s="368"/>
      <c r="J2402" s="368"/>
    </row>
    <row r="2403" spans="7:10" x14ac:dyDescent="0.2">
      <c r="G2403" s="368"/>
      <c r="H2403" s="368"/>
      <c r="I2403" s="368"/>
      <c r="J2403" s="368"/>
    </row>
    <row r="2404" spans="7:10" x14ac:dyDescent="0.2">
      <c r="G2404" s="368"/>
      <c r="H2404" s="368"/>
      <c r="I2404" s="368"/>
      <c r="J2404" s="368"/>
    </row>
    <row r="2405" spans="7:10" x14ac:dyDescent="0.2">
      <c r="G2405" s="368"/>
      <c r="H2405" s="368"/>
      <c r="I2405" s="368"/>
      <c r="J2405" s="368"/>
    </row>
    <row r="2406" spans="7:10" x14ac:dyDescent="0.2">
      <c r="G2406" s="368"/>
      <c r="H2406" s="368"/>
      <c r="I2406" s="368"/>
      <c r="J2406" s="368"/>
    </row>
    <row r="2407" spans="7:10" x14ac:dyDescent="0.2">
      <c r="G2407" s="368"/>
      <c r="H2407" s="368"/>
      <c r="I2407" s="368"/>
      <c r="J2407" s="368"/>
    </row>
    <row r="2408" spans="7:10" x14ac:dyDescent="0.2">
      <c r="G2408" s="368"/>
      <c r="H2408" s="368"/>
      <c r="I2408" s="368"/>
      <c r="J2408" s="368"/>
    </row>
    <row r="2409" spans="7:10" x14ac:dyDescent="0.2">
      <c r="G2409" s="368"/>
      <c r="H2409" s="368"/>
      <c r="I2409" s="368"/>
      <c r="J2409" s="368"/>
    </row>
    <row r="2410" spans="7:10" x14ac:dyDescent="0.2">
      <c r="G2410" s="368"/>
      <c r="H2410" s="368"/>
      <c r="I2410" s="368"/>
      <c r="J2410" s="368"/>
    </row>
    <row r="2411" spans="7:10" x14ac:dyDescent="0.2">
      <c r="G2411" s="368"/>
      <c r="H2411" s="368"/>
      <c r="I2411" s="368"/>
      <c r="J2411" s="368"/>
    </row>
    <row r="2412" spans="7:10" x14ac:dyDescent="0.2">
      <c r="G2412" s="368"/>
      <c r="H2412" s="368"/>
      <c r="I2412" s="368"/>
      <c r="J2412" s="368"/>
    </row>
    <row r="2413" spans="7:10" x14ac:dyDescent="0.2">
      <c r="G2413" s="368"/>
      <c r="H2413" s="368"/>
      <c r="I2413" s="368"/>
      <c r="J2413" s="368"/>
    </row>
    <row r="2414" spans="7:10" x14ac:dyDescent="0.2">
      <c r="G2414" s="368"/>
      <c r="H2414" s="368"/>
      <c r="I2414" s="368"/>
      <c r="J2414" s="368"/>
    </row>
    <row r="2415" spans="7:10" x14ac:dyDescent="0.2">
      <c r="G2415" s="368"/>
      <c r="H2415" s="368"/>
      <c r="I2415" s="368"/>
      <c r="J2415" s="368"/>
    </row>
    <row r="2416" spans="7:10" x14ac:dyDescent="0.2">
      <c r="G2416" s="368"/>
      <c r="H2416" s="368"/>
      <c r="I2416" s="368"/>
      <c r="J2416" s="368"/>
    </row>
    <row r="2417" spans="7:10" x14ac:dyDescent="0.2">
      <c r="G2417" s="368"/>
      <c r="H2417" s="368"/>
      <c r="I2417" s="368"/>
      <c r="J2417" s="368"/>
    </row>
    <row r="2418" spans="7:10" x14ac:dyDescent="0.2">
      <c r="G2418" s="368"/>
      <c r="H2418" s="368"/>
      <c r="I2418" s="368"/>
      <c r="J2418" s="368"/>
    </row>
    <row r="2419" spans="7:10" x14ac:dyDescent="0.2">
      <c r="G2419" s="368"/>
      <c r="H2419" s="368"/>
      <c r="I2419" s="368"/>
      <c r="J2419" s="368"/>
    </row>
    <row r="2420" spans="7:10" x14ac:dyDescent="0.2">
      <c r="G2420" s="368"/>
      <c r="H2420" s="368"/>
      <c r="I2420" s="368"/>
      <c r="J2420" s="368"/>
    </row>
    <row r="2421" spans="7:10" x14ac:dyDescent="0.2">
      <c r="G2421" s="368"/>
      <c r="H2421" s="368"/>
      <c r="I2421" s="368"/>
      <c r="J2421" s="368"/>
    </row>
    <row r="2422" spans="7:10" x14ac:dyDescent="0.2">
      <c r="G2422" s="368"/>
      <c r="H2422" s="368"/>
      <c r="I2422" s="368"/>
      <c r="J2422" s="368"/>
    </row>
    <row r="2423" spans="7:10" x14ac:dyDescent="0.2">
      <c r="G2423" s="368"/>
      <c r="H2423" s="368"/>
      <c r="I2423" s="368"/>
      <c r="J2423" s="368"/>
    </row>
    <row r="2424" spans="7:10" x14ac:dyDescent="0.2">
      <c r="G2424" s="368"/>
      <c r="H2424" s="368"/>
      <c r="I2424" s="368"/>
      <c r="J2424" s="368"/>
    </row>
    <row r="2425" spans="7:10" x14ac:dyDescent="0.2">
      <c r="G2425" s="368"/>
      <c r="H2425" s="368"/>
      <c r="I2425" s="368"/>
      <c r="J2425" s="368"/>
    </row>
    <row r="2426" spans="7:10" x14ac:dyDescent="0.2">
      <c r="G2426" s="368"/>
      <c r="H2426" s="368"/>
      <c r="I2426" s="368"/>
      <c r="J2426" s="368"/>
    </row>
    <row r="2427" spans="7:10" x14ac:dyDescent="0.2">
      <c r="G2427" s="368"/>
      <c r="H2427" s="368"/>
      <c r="I2427" s="368"/>
      <c r="J2427" s="368"/>
    </row>
    <row r="2428" spans="7:10" x14ac:dyDescent="0.2">
      <c r="G2428" s="368"/>
      <c r="H2428" s="368"/>
      <c r="I2428" s="368"/>
      <c r="J2428" s="368"/>
    </row>
    <row r="2429" spans="7:10" x14ac:dyDescent="0.2">
      <c r="G2429" s="368"/>
      <c r="H2429" s="368"/>
      <c r="I2429" s="368"/>
      <c r="J2429" s="368"/>
    </row>
    <row r="2430" spans="7:10" x14ac:dyDescent="0.2">
      <c r="G2430" s="368"/>
      <c r="H2430" s="368"/>
      <c r="I2430" s="368"/>
      <c r="J2430" s="368"/>
    </row>
    <row r="2431" spans="7:10" x14ac:dyDescent="0.2">
      <c r="G2431" s="368"/>
      <c r="H2431" s="368"/>
      <c r="I2431" s="368"/>
      <c r="J2431" s="368"/>
    </row>
    <row r="2432" spans="7:10" x14ac:dyDescent="0.2">
      <c r="G2432" s="368"/>
      <c r="H2432" s="368"/>
      <c r="I2432" s="368"/>
      <c r="J2432" s="368"/>
    </row>
    <row r="2433" spans="7:10" x14ac:dyDescent="0.2">
      <c r="G2433" s="368"/>
      <c r="H2433" s="368"/>
      <c r="I2433" s="368"/>
      <c r="J2433" s="368"/>
    </row>
    <row r="2434" spans="7:10" x14ac:dyDescent="0.2">
      <c r="G2434" s="368"/>
      <c r="H2434" s="368"/>
      <c r="I2434" s="368"/>
      <c r="J2434" s="368"/>
    </row>
    <row r="2435" spans="7:10" x14ac:dyDescent="0.2">
      <c r="G2435" s="368"/>
      <c r="H2435" s="368"/>
      <c r="I2435" s="368"/>
      <c r="J2435" s="368"/>
    </row>
    <row r="2436" spans="7:10" x14ac:dyDescent="0.2">
      <c r="G2436" s="368"/>
      <c r="H2436" s="368"/>
      <c r="I2436" s="368"/>
      <c r="J2436" s="368"/>
    </row>
    <row r="2437" spans="7:10" x14ac:dyDescent="0.2">
      <c r="G2437" s="368"/>
      <c r="H2437" s="368"/>
      <c r="I2437" s="368"/>
      <c r="J2437" s="368"/>
    </row>
    <row r="2438" spans="7:10" x14ac:dyDescent="0.2">
      <c r="G2438" s="368"/>
      <c r="H2438" s="368"/>
      <c r="I2438" s="368"/>
      <c r="J2438" s="368"/>
    </row>
    <row r="2439" spans="7:10" x14ac:dyDescent="0.2">
      <c r="G2439" s="368"/>
      <c r="H2439" s="368"/>
      <c r="I2439" s="368"/>
      <c r="J2439" s="368"/>
    </row>
    <row r="2440" spans="7:10" x14ac:dyDescent="0.2">
      <c r="G2440" s="368"/>
      <c r="H2440" s="368"/>
      <c r="I2440" s="368"/>
      <c r="J2440" s="368"/>
    </row>
    <row r="2441" spans="7:10" x14ac:dyDescent="0.2">
      <c r="G2441" s="368"/>
      <c r="H2441" s="368"/>
      <c r="I2441" s="368"/>
      <c r="J2441" s="368"/>
    </row>
    <row r="2442" spans="7:10" x14ac:dyDescent="0.2">
      <c r="G2442" s="368"/>
      <c r="H2442" s="368"/>
      <c r="I2442" s="368"/>
      <c r="J2442" s="368"/>
    </row>
    <row r="2443" spans="7:10" x14ac:dyDescent="0.2">
      <c r="G2443" s="368"/>
      <c r="H2443" s="368"/>
      <c r="I2443" s="368"/>
      <c r="J2443" s="368"/>
    </row>
    <row r="2444" spans="7:10" x14ac:dyDescent="0.2">
      <c r="G2444" s="368"/>
      <c r="H2444" s="368"/>
      <c r="I2444" s="368"/>
      <c r="J2444" s="368"/>
    </row>
    <row r="2445" spans="7:10" x14ac:dyDescent="0.2">
      <c r="G2445" s="368"/>
      <c r="H2445" s="368"/>
      <c r="I2445" s="368"/>
      <c r="J2445" s="368"/>
    </row>
    <row r="2446" spans="7:10" x14ac:dyDescent="0.2">
      <c r="G2446" s="368"/>
      <c r="H2446" s="368"/>
      <c r="I2446" s="368"/>
      <c r="J2446" s="368"/>
    </row>
    <row r="2447" spans="7:10" x14ac:dyDescent="0.2">
      <c r="G2447" s="368"/>
      <c r="H2447" s="368"/>
      <c r="I2447" s="368"/>
      <c r="J2447" s="368"/>
    </row>
    <row r="2448" spans="7:10" x14ac:dyDescent="0.2">
      <c r="G2448" s="368"/>
      <c r="H2448" s="368"/>
      <c r="I2448" s="368"/>
      <c r="J2448" s="368"/>
    </row>
    <row r="2449" spans="7:10" x14ac:dyDescent="0.2">
      <c r="G2449" s="368"/>
      <c r="H2449" s="368"/>
      <c r="I2449" s="368"/>
      <c r="J2449" s="368"/>
    </row>
    <row r="2450" spans="7:10" x14ac:dyDescent="0.2">
      <c r="G2450" s="368"/>
      <c r="H2450" s="368"/>
      <c r="I2450" s="368"/>
      <c r="J2450" s="368"/>
    </row>
    <row r="2451" spans="7:10" x14ac:dyDescent="0.2">
      <c r="G2451" s="368"/>
      <c r="H2451" s="368"/>
      <c r="I2451" s="368"/>
      <c r="J2451" s="368"/>
    </row>
    <row r="2452" spans="7:10" x14ac:dyDescent="0.2">
      <c r="G2452" s="368"/>
      <c r="H2452" s="368"/>
      <c r="I2452" s="368"/>
      <c r="J2452" s="368"/>
    </row>
    <row r="2453" spans="7:10" x14ac:dyDescent="0.2">
      <c r="G2453" s="368"/>
      <c r="H2453" s="368"/>
      <c r="I2453" s="368"/>
      <c r="J2453" s="368"/>
    </row>
    <row r="2454" spans="7:10" x14ac:dyDescent="0.2">
      <c r="G2454" s="368"/>
      <c r="H2454" s="368"/>
      <c r="I2454" s="368"/>
      <c r="J2454" s="368"/>
    </row>
    <row r="2455" spans="7:10" x14ac:dyDescent="0.2">
      <c r="G2455" s="368"/>
      <c r="H2455" s="368"/>
      <c r="I2455" s="368"/>
      <c r="J2455" s="368"/>
    </row>
    <row r="2456" spans="7:10" x14ac:dyDescent="0.2">
      <c r="G2456" s="368"/>
      <c r="H2456" s="368"/>
      <c r="I2456" s="368"/>
      <c r="J2456" s="368"/>
    </row>
    <row r="2457" spans="7:10" x14ac:dyDescent="0.2">
      <c r="G2457" s="368"/>
      <c r="H2457" s="368"/>
      <c r="I2457" s="368"/>
      <c r="J2457" s="368"/>
    </row>
    <row r="2458" spans="7:10" x14ac:dyDescent="0.2">
      <c r="G2458" s="368"/>
      <c r="H2458" s="368"/>
      <c r="I2458" s="368"/>
      <c r="J2458" s="368"/>
    </row>
    <row r="2459" spans="7:10" x14ac:dyDescent="0.2">
      <c r="G2459" s="368"/>
      <c r="H2459" s="368"/>
      <c r="I2459" s="368"/>
      <c r="J2459" s="368"/>
    </row>
    <row r="2460" spans="7:10" x14ac:dyDescent="0.2">
      <c r="G2460" s="368"/>
      <c r="H2460" s="368"/>
      <c r="I2460" s="368"/>
      <c r="J2460" s="368"/>
    </row>
    <row r="2461" spans="7:10" x14ac:dyDescent="0.2">
      <c r="G2461" s="368"/>
      <c r="H2461" s="368"/>
      <c r="I2461" s="368"/>
      <c r="J2461" s="368"/>
    </row>
    <row r="2462" spans="7:10" x14ac:dyDescent="0.2">
      <c r="G2462" s="368"/>
      <c r="H2462" s="368"/>
      <c r="I2462" s="368"/>
      <c r="J2462" s="368"/>
    </row>
    <row r="2463" spans="7:10" x14ac:dyDescent="0.2">
      <c r="G2463" s="368"/>
      <c r="H2463" s="368"/>
      <c r="I2463" s="368"/>
      <c r="J2463" s="368"/>
    </row>
    <row r="2464" spans="7:10" x14ac:dyDescent="0.2">
      <c r="G2464" s="368"/>
      <c r="H2464" s="368"/>
      <c r="I2464" s="368"/>
      <c r="J2464" s="368"/>
    </row>
    <row r="2465" spans="7:10" x14ac:dyDescent="0.2">
      <c r="G2465" s="368"/>
      <c r="H2465" s="368"/>
      <c r="I2465" s="368"/>
      <c r="J2465" s="368"/>
    </row>
    <row r="2466" spans="7:10" x14ac:dyDescent="0.2">
      <c r="G2466" s="368"/>
      <c r="H2466" s="368"/>
      <c r="I2466" s="368"/>
      <c r="J2466" s="368"/>
    </row>
    <row r="2467" spans="7:10" x14ac:dyDescent="0.2">
      <c r="G2467" s="368"/>
      <c r="H2467" s="368"/>
      <c r="I2467" s="368"/>
      <c r="J2467" s="368"/>
    </row>
    <row r="2468" spans="7:10" x14ac:dyDescent="0.2">
      <c r="G2468" s="368"/>
      <c r="H2468" s="368"/>
      <c r="I2468" s="368"/>
      <c r="J2468" s="368"/>
    </row>
    <row r="2469" spans="7:10" x14ac:dyDescent="0.2">
      <c r="G2469" s="368"/>
      <c r="H2469" s="368"/>
      <c r="I2469" s="368"/>
      <c r="J2469" s="368"/>
    </row>
    <row r="2470" spans="7:10" x14ac:dyDescent="0.2">
      <c r="G2470" s="368"/>
      <c r="H2470" s="368"/>
      <c r="I2470" s="368"/>
      <c r="J2470" s="368"/>
    </row>
    <row r="2471" spans="7:10" x14ac:dyDescent="0.2">
      <c r="G2471" s="368"/>
      <c r="H2471" s="368"/>
      <c r="I2471" s="368"/>
      <c r="J2471" s="368"/>
    </row>
    <row r="2472" spans="7:10" x14ac:dyDescent="0.2">
      <c r="G2472" s="368"/>
      <c r="H2472" s="368"/>
      <c r="I2472" s="368"/>
      <c r="J2472" s="368"/>
    </row>
    <row r="2473" spans="7:10" x14ac:dyDescent="0.2">
      <c r="G2473" s="368"/>
      <c r="H2473" s="368"/>
      <c r="I2473" s="368"/>
      <c r="J2473" s="368"/>
    </row>
    <row r="2474" spans="7:10" x14ac:dyDescent="0.2">
      <c r="G2474" s="368"/>
      <c r="H2474" s="368"/>
      <c r="I2474" s="368"/>
      <c r="J2474" s="368"/>
    </row>
    <row r="2475" spans="7:10" x14ac:dyDescent="0.2">
      <c r="G2475" s="368"/>
      <c r="H2475" s="368"/>
      <c r="I2475" s="368"/>
      <c r="J2475" s="368"/>
    </row>
    <row r="2476" spans="7:10" x14ac:dyDescent="0.2">
      <c r="G2476" s="368"/>
      <c r="H2476" s="368"/>
      <c r="I2476" s="368"/>
      <c r="J2476" s="368"/>
    </row>
    <row r="2477" spans="7:10" x14ac:dyDescent="0.2">
      <c r="G2477" s="368"/>
      <c r="H2477" s="368"/>
      <c r="I2477" s="368"/>
      <c r="J2477" s="368"/>
    </row>
    <row r="2478" spans="7:10" x14ac:dyDescent="0.2">
      <c r="G2478" s="368"/>
      <c r="H2478" s="368"/>
      <c r="I2478" s="368"/>
      <c r="J2478" s="368"/>
    </row>
    <row r="2479" spans="7:10" x14ac:dyDescent="0.2">
      <c r="G2479" s="368"/>
      <c r="H2479" s="368"/>
      <c r="I2479" s="368"/>
      <c r="J2479" s="368"/>
    </row>
    <row r="2480" spans="7:10" x14ac:dyDescent="0.2">
      <c r="G2480" s="368"/>
      <c r="H2480" s="368"/>
      <c r="I2480" s="368"/>
      <c r="J2480" s="368"/>
    </row>
    <row r="2481" spans="7:10" x14ac:dyDescent="0.2">
      <c r="G2481" s="368"/>
      <c r="H2481" s="368"/>
      <c r="I2481" s="368"/>
      <c r="J2481" s="368"/>
    </row>
    <row r="2482" spans="7:10" x14ac:dyDescent="0.2">
      <c r="G2482" s="368"/>
      <c r="H2482" s="368"/>
      <c r="I2482" s="368"/>
      <c r="J2482" s="368"/>
    </row>
    <row r="2483" spans="7:10" x14ac:dyDescent="0.2">
      <c r="G2483" s="368"/>
      <c r="H2483" s="368"/>
      <c r="I2483" s="368"/>
      <c r="J2483" s="368"/>
    </row>
    <row r="2484" spans="7:10" x14ac:dyDescent="0.2">
      <c r="G2484" s="368"/>
      <c r="H2484" s="368"/>
      <c r="I2484" s="368"/>
      <c r="J2484" s="368"/>
    </row>
    <row r="2485" spans="7:10" x14ac:dyDescent="0.2">
      <c r="G2485" s="368"/>
      <c r="H2485" s="368"/>
      <c r="I2485" s="368"/>
      <c r="J2485" s="368"/>
    </row>
    <row r="2486" spans="7:10" x14ac:dyDescent="0.2">
      <c r="G2486" s="368"/>
      <c r="H2486" s="368"/>
      <c r="I2486" s="368"/>
      <c r="J2486" s="368"/>
    </row>
    <row r="2487" spans="7:10" x14ac:dyDescent="0.2">
      <c r="G2487" s="368"/>
      <c r="H2487" s="368"/>
      <c r="I2487" s="368"/>
      <c r="J2487" s="368"/>
    </row>
    <row r="2488" spans="7:10" x14ac:dyDescent="0.2">
      <c r="G2488" s="368"/>
      <c r="H2488" s="368"/>
      <c r="I2488" s="368"/>
      <c r="J2488" s="368"/>
    </row>
    <row r="2489" spans="7:10" x14ac:dyDescent="0.2">
      <c r="G2489" s="368"/>
      <c r="H2489" s="368"/>
      <c r="I2489" s="368"/>
      <c r="J2489" s="368"/>
    </row>
    <row r="2490" spans="7:10" x14ac:dyDescent="0.2">
      <c r="G2490" s="368"/>
      <c r="H2490" s="368"/>
      <c r="I2490" s="368"/>
      <c r="J2490" s="368"/>
    </row>
    <row r="2491" spans="7:10" x14ac:dyDescent="0.2">
      <c r="G2491" s="368"/>
      <c r="H2491" s="368"/>
      <c r="I2491" s="368"/>
      <c r="J2491" s="368"/>
    </row>
    <row r="2492" spans="7:10" x14ac:dyDescent="0.2">
      <c r="G2492" s="368"/>
      <c r="H2492" s="368"/>
      <c r="I2492" s="368"/>
      <c r="J2492" s="368"/>
    </row>
    <row r="2493" spans="7:10" x14ac:dyDescent="0.2">
      <c r="G2493" s="368"/>
      <c r="H2493" s="368"/>
      <c r="I2493" s="368"/>
      <c r="J2493" s="368"/>
    </row>
    <row r="2494" spans="7:10" x14ac:dyDescent="0.2">
      <c r="G2494" s="368"/>
      <c r="H2494" s="368"/>
      <c r="I2494" s="368"/>
      <c r="J2494" s="368"/>
    </row>
    <row r="2495" spans="7:10" x14ac:dyDescent="0.2">
      <c r="G2495" s="368"/>
      <c r="H2495" s="368"/>
      <c r="I2495" s="368"/>
      <c r="J2495" s="368"/>
    </row>
    <row r="2496" spans="7:10" x14ac:dyDescent="0.2">
      <c r="G2496" s="368"/>
      <c r="H2496" s="368"/>
      <c r="I2496" s="368"/>
      <c r="J2496" s="368"/>
    </row>
    <row r="2497" spans="7:10" x14ac:dyDescent="0.2">
      <c r="G2497" s="368"/>
      <c r="H2497" s="368"/>
      <c r="I2497" s="368"/>
      <c r="J2497" s="368"/>
    </row>
    <row r="2498" spans="7:10" x14ac:dyDescent="0.2">
      <c r="G2498" s="368"/>
      <c r="H2498" s="368"/>
      <c r="I2498" s="368"/>
      <c r="J2498" s="368"/>
    </row>
    <row r="2499" spans="7:10" x14ac:dyDescent="0.2">
      <c r="G2499" s="368"/>
      <c r="H2499" s="368"/>
      <c r="I2499" s="368"/>
      <c r="J2499" s="368"/>
    </row>
    <row r="2500" spans="7:10" x14ac:dyDescent="0.2">
      <c r="G2500" s="368"/>
      <c r="H2500" s="368"/>
      <c r="I2500" s="368"/>
      <c r="J2500" s="368"/>
    </row>
    <row r="2501" spans="7:10" x14ac:dyDescent="0.2">
      <c r="G2501" s="368"/>
      <c r="H2501" s="368"/>
      <c r="I2501" s="368"/>
      <c r="J2501" s="368"/>
    </row>
    <row r="2502" spans="7:10" x14ac:dyDescent="0.2">
      <c r="G2502" s="368"/>
      <c r="H2502" s="368"/>
      <c r="I2502" s="368"/>
      <c r="J2502" s="368"/>
    </row>
    <row r="2503" spans="7:10" x14ac:dyDescent="0.2">
      <c r="G2503" s="368"/>
      <c r="H2503" s="368"/>
      <c r="I2503" s="368"/>
      <c r="J2503" s="368"/>
    </row>
    <row r="2504" spans="7:10" x14ac:dyDescent="0.2">
      <c r="G2504" s="368"/>
      <c r="H2504" s="368"/>
      <c r="I2504" s="368"/>
      <c r="J2504" s="368"/>
    </row>
    <row r="2505" spans="7:10" x14ac:dyDescent="0.2">
      <c r="G2505" s="368"/>
      <c r="H2505" s="368"/>
      <c r="I2505" s="368"/>
      <c r="J2505" s="368"/>
    </row>
    <row r="2506" spans="7:10" x14ac:dyDescent="0.2">
      <c r="G2506" s="368"/>
      <c r="H2506" s="368"/>
      <c r="I2506" s="368"/>
      <c r="J2506" s="368"/>
    </row>
    <row r="2507" spans="7:10" x14ac:dyDescent="0.2">
      <c r="G2507" s="368"/>
      <c r="H2507" s="368"/>
      <c r="I2507" s="368"/>
      <c r="J2507" s="368"/>
    </row>
    <row r="2508" spans="7:10" x14ac:dyDescent="0.2">
      <c r="G2508" s="368"/>
      <c r="H2508" s="368"/>
      <c r="I2508" s="368"/>
      <c r="J2508" s="368"/>
    </row>
    <row r="2509" spans="7:10" x14ac:dyDescent="0.2">
      <c r="G2509" s="368"/>
      <c r="H2509" s="368"/>
      <c r="I2509" s="368"/>
      <c r="J2509" s="368"/>
    </row>
    <row r="2510" spans="7:10" x14ac:dyDescent="0.2">
      <c r="G2510" s="368"/>
      <c r="H2510" s="368"/>
      <c r="I2510" s="368"/>
      <c r="J2510" s="368"/>
    </row>
    <row r="2511" spans="7:10" x14ac:dyDescent="0.2">
      <c r="G2511" s="368"/>
      <c r="H2511" s="368"/>
      <c r="I2511" s="368"/>
      <c r="J2511" s="368"/>
    </row>
    <row r="2512" spans="7:10" x14ac:dyDescent="0.2">
      <c r="G2512" s="368"/>
      <c r="H2512" s="368"/>
      <c r="I2512" s="368"/>
      <c r="J2512" s="368"/>
    </row>
    <row r="2513" spans="7:10" x14ac:dyDescent="0.2">
      <c r="G2513" s="368"/>
      <c r="H2513" s="368"/>
      <c r="I2513" s="368"/>
      <c r="J2513" s="368"/>
    </row>
    <row r="2514" spans="7:10" x14ac:dyDescent="0.2">
      <c r="G2514" s="368"/>
      <c r="H2514" s="368"/>
      <c r="I2514" s="368"/>
      <c r="J2514" s="368"/>
    </row>
    <row r="2515" spans="7:10" x14ac:dyDescent="0.2">
      <c r="G2515" s="368"/>
      <c r="H2515" s="368"/>
      <c r="I2515" s="368"/>
      <c r="J2515" s="368"/>
    </row>
    <row r="2516" spans="7:10" x14ac:dyDescent="0.2">
      <c r="G2516" s="368"/>
      <c r="H2516" s="368"/>
      <c r="I2516" s="368"/>
      <c r="J2516" s="368"/>
    </row>
    <row r="2517" spans="7:10" x14ac:dyDescent="0.2">
      <c r="G2517" s="368"/>
      <c r="H2517" s="368"/>
      <c r="I2517" s="368"/>
      <c r="J2517" s="368"/>
    </row>
    <row r="2518" spans="7:10" x14ac:dyDescent="0.2">
      <c r="G2518" s="368"/>
      <c r="H2518" s="368"/>
      <c r="I2518" s="368"/>
      <c r="J2518" s="368"/>
    </row>
    <row r="2519" spans="7:10" x14ac:dyDescent="0.2">
      <c r="G2519" s="368"/>
      <c r="H2519" s="368"/>
      <c r="I2519" s="368"/>
      <c r="J2519" s="368"/>
    </row>
    <row r="2520" spans="7:10" x14ac:dyDescent="0.2">
      <c r="G2520" s="368"/>
      <c r="H2520" s="368"/>
      <c r="I2520" s="368"/>
      <c r="J2520" s="368"/>
    </row>
    <row r="2521" spans="7:10" x14ac:dyDescent="0.2">
      <c r="G2521" s="368"/>
      <c r="H2521" s="368"/>
      <c r="I2521" s="368"/>
      <c r="J2521" s="368"/>
    </row>
    <row r="2522" spans="7:10" x14ac:dyDescent="0.2">
      <c r="G2522" s="368"/>
      <c r="H2522" s="368"/>
      <c r="I2522" s="368"/>
      <c r="J2522" s="368"/>
    </row>
    <row r="2523" spans="7:10" x14ac:dyDescent="0.2">
      <c r="G2523" s="368"/>
      <c r="H2523" s="368"/>
      <c r="I2523" s="368"/>
      <c r="J2523" s="368"/>
    </row>
    <row r="2524" spans="7:10" x14ac:dyDescent="0.2">
      <c r="G2524" s="368"/>
      <c r="H2524" s="368"/>
      <c r="I2524" s="368"/>
      <c r="J2524" s="368"/>
    </row>
    <row r="2525" spans="7:10" x14ac:dyDescent="0.2">
      <c r="G2525" s="368"/>
      <c r="H2525" s="368"/>
      <c r="I2525" s="368"/>
      <c r="J2525" s="368"/>
    </row>
    <row r="2526" spans="7:10" x14ac:dyDescent="0.2">
      <c r="G2526" s="368"/>
      <c r="H2526" s="368"/>
      <c r="I2526" s="368"/>
      <c r="J2526" s="368"/>
    </row>
    <row r="2527" spans="7:10" x14ac:dyDescent="0.2">
      <c r="G2527" s="368"/>
      <c r="H2527" s="368"/>
      <c r="I2527" s="368"/>
      <c r="J2527" s="368"/>
    </row>
    <row r="2528" spans="7:10" x14ac:dyDescent="0.2">
      <c r="G2528" s="368"/>
      <c r="H2528" s="368"/>
      <c r="I2528" s="368"/>
      <c r="J2528" s="368"/>
    </row>
    <row r="2529" spans="7:10" x14ac:dyDescent="0.2">
      <c r="G2529" s="368"/>
      <c r="H2529" s="368"/>
      <c r="I2529" s="368"/>
      <c r="J2529" s="368"/>
    </row>
    <row r="2530" spans="7:10" x14ac:dyDescent="0.2">
      <c r="G2530" s="368"/>
      <c r="H2530" s="368"/>
      <c r="I2530" s="368"/>
      <c r="J2530" s="368"/>
    </row>
    <row r="2531" spans="7:10" x14ac:dyDescent="0.2">
      <c r="G2531" s="368"/>
      <c r="H2531" s="368"/>
      <c r="I2531" s="368"/>
      <c r="J2531" s="368"/>
    </row>
    <row r="2532" spans="7:10" x14ac:dyDescent="0.2">
      <c r="G2532" s="368"/>
      <c r="H2532" s="368"/>
      <c r="I2532" s="368"/>
      <c r="J2532" s="368"/>
    </row>
    <row r="2533" spans="7:10" x14ac:dyDescent="0.2">
      <c r="G2533" s="368"/>
      <c r="H2533" s="368"/>
      <c r="I2533" s="368"/>
      <c r="J2533" s="368"/>
    </row>
    <row r="2534" spans="7:10" x14ac:dyDescent="0.2">
      <c r="G2534" s="368"/>
      <c r="H2534" s="368"/>
      <c r="I2534" s="368"/>
      <c r="J2534" s="368"/>
    </row>
    <row r="2535" spans="7:10" x14ac:dyDescent="0.2">
      <c r="G2535" s="368"/>
      <c r="H2535" s="368"/>
      <c r="I2535" s="368"/>
      <c r="J2535" s="368"/>
    </row>
    <row r="2536" spans="7:10" x14ac:dyDescent="0.2">
      <c r="G2536" s="368"/>
      <c r="H2536" s="368"/>
      <c r="I2536" s="368"/>
      <c r="J2536" s="368"/>
    </row>
    <row r="2537" spans="7:10" x14ac:dyDescent="0.2">
      <c r="G2537" s="368"/>
      <c r="H2537" s="368"/>
      <c r="I2537" s="368"/>
      <c r="J2537" s="368"/>
    </row>
    <row r="2538" spans="7:10" x14ac:dyDescent="0.2">
      <c r="G2538" s="368"/>
      <c r="H2538" s="368"/>
      <c r="I2538" s="368"/>
      <c r="J2538" s="368"/>
    </row>
    <row r="2539" spans="7:10" x14ac:dyDescent="0.2">
      <c r="G2539" s="368"/>
      <c r="H2539" s="368"/>
      <c r="I2539" s="368"/>
      <c r="J2539" s="368"/>
    </row>
    <row r="2540" spans="7:10" x14ac:dyDescent="0.2">
      <c r="G2540" s="368"/>
      <c r="H2540" s="368"/>
      <c r="I2540" s="368"/>
      <c r="J2540" s="368"/>
    </row>
    <row r="2541" spans="7:10" x14ac:dyDescent="0.2">
      <c r="G2541" s="368"/>
      <c r="H2541" s="368"/>
      <c r="I2541" s="368"/>
      <c r="J2541" s="368"/>
    </row>
    <row r="2542" spans="7:10" x14ac:dyDescent="0.2">
      <c r="G2542" s="368"/>
      <c r="H2542" s="368"/>
      <c r="I2542" s="368"/>
      <c r="J2542" s="368"/>
    </row>
    <row r="2543" spans="7:10" x14ac:dyDescent="0.2">
      <c r="G2543" s="368"/>
      <c r="H2543" s="368"/>
      <c r="I2543" s="368"/>
      <c r="J2543" s="368"/>
    </row>
    <row r="2544" spans="7:10" x14ac:dyDescent="0.2">
      <c r="G2544" s="368"/>
      <c r="H2544" s="368"/>
      <c r="I2544" s="368"/>
      <c r="J2544" s="368"/>
    </row>
    <row r="2545" spans="7:10" x14ac:dyDescent="0.2">
      <c r="G2545" s="368"/>
      <c r="H2545" s="368"/>
      <c r="I2545" s="368"/>
      <c r="J2545" s="368"/>
    </row>
    <row r="2546" spans="7:10" x14ac:dyDescent="0.2">
      <c r="G2546" s="368"/>
      <c r="H2546" s="368"/>
      <c r="I2546" s="368"/>
      <c r="J2546" s="368"/>
    </row>
    <row r="2547" spans="7:10" x14ac:dyDescent="0.2">
      <c r="G2547" s="368"/>
      <c r="H2547" s="368"/>
      <c r="I2547" s="368"/>
      <c r="J2547" s="368"/>
    </row>
    <row r="2548" spans="7:10" x14ac:dyDescent="0.2">
      <c r="G2548" s="368"/>
      <c r="H2548" s="368"/>
      <c r="I2548" s="368"/>
      <c r="J2548" s="368"/>
    </row>
    <row r="2549" spans="7:10" x14ac:dyDescent="0.2">
      <c r="G2549" s="368"/>
      <c r="H2549" s="368"/>
      <c r="I2549" s="368"/>
      <c r="J2549" s="368"/>
    </row>
    <row r="2550" spans="7:10" x14ac:dyDescent="0.2">
      <c r="G2550" s="368"/>
      <c r="H2550" s="368"/>
      <c r="I2550" s="368"/>
      <c r="J2550" s="368"/>
    </row>
    <row r="2551" spans="7:10" x14ac:dyDescent="0.2">
      <c r="G2551" s="368"/>
      <c r="H2551" s="368"/>
      <c r="I2551" s="368"/>
      <c r="J2551" s="368"/>
    </row>
    <row r="2552" spans="7:10" x14ac:dyDescent="0.2">
      <c r="G2552" s="368"/>
      <c r="H2552" s="368"/>
      <c r="I2552" s="368"/>
      <c r="J2552" s="368"/>
    </row>
    <row r="2553" spans="7:10" x14ac:dyDescent="0.2">
      <c r="G2553" s="368"/>
      <c r="H2553" s="368"/>
      <c r="I2553" s="368"/>
      <c r="J2553" s="368"/>
    </row>
    <row r="2554" spans="7:10" x14ac:dyDescent="0.2">
      <c r="G2554" s="368"/>
      <c r="H2554" s="368"/>
      <c r="I2554" s="368"/>
      <c r="J2554" s="368"/>
    </row>
    <row r="2555" spans="7:10" x14ac:dyDescent="0.2">
      <c r="G2555" s="368"/>
      <c r="H2555" s="368"/>
      <c r="I2555" s="368"/>
      <c r="J2555" s="368"/>
    </row>
    <row r="2556" spans="7:10" x14ac:dyDescent="0.2">
      <c r="G2556" s="368"/>
      <c r="H2556" s="368"/>
      <c r="I2556" s="368"/>
      <c r="J2556" s="368"/>
    </row>
    <row r="2557" spans="7:10" x14ac:dyDescent="0.2">
      <c r="G2557" s="368"/>
      <c r="H2557" s="368"/>
      <c r="I2557" s="368"/>
      <c r="J2557" s="368"/>
    </row>
    <row r="2558" spans="7:10" x14ac:dyDescent="0.2">
      <c r="G2558" s="368"/>
      <c r="H2558" s="368"/>
      <c r="I2558" s="368"/>
      <c r="J2558" s="368"/>
    </row>
    <row r="2559" spans="7:10" x14ac:dyDescent="0.2">
      <c r="G2559" s="368"/>
      <c r="H2559" s="368"/>
      <c r="I2559" s="368"/>
      <c r="J2559" s="368"/>
    </row>
    <row r="2560" spans="7:10" x14ac:dyDescent="0.2">
      <c r="G2560" s="368"/>
      <c r="H2560" s="368"/>
      <c r="I2560" s="368"/>
      <c r="J2560" s="368"/>
    </row>
    <row r="2561" spans="7:10" x14ac:dyDescent="0.2">
      <c r="G2561" s="368"/>
      <c r="H2561" s="368"/>
      <c r="I2561" s="368"/>
      <c r="J2561" s="368"/>
    </row>
    <row r="2562" spans="7:10" x14ac:dyDescent="0.2">
      <c r="G2562" s="368"/>
      <c r="H2562" s="368"/>
      <c r="I2562" s="368"/>
      <c r="J2562" s="368"/>
    </row>
    <row r="2563" spans="7:10" x14ac:dyDescent="0.2">
      <c r="G2563" s="368"/>
      <c r="H2563" s="368"/>
      <c r="I2563" s="368"/>
      <c r="J2563" s="368"/>
    </row>
    <row r="2564" spans="7:10" x14ac:dyDescent="0.2">
      <c r="G2564" s="368"/>
      <c r="H2564" s="368"/>
      <c r="I2564" s="368"/>
      <c r="J2564" s="368"/>
    </row>
    <row r="2565" spans="7:10" x14ac:dyDescent="0.2">
      <c r="G2565" s="368"/>
      <c r="H2565" s="368"/>
      <c r="I2565" s="368"/>
      <c r="J2565" s="368"/>
    </row>
    <row r="2566" spans="7:10" x14ac:dyDescent="0.2">
      <c r="G2566" s="368"/>
      <c r="H2566" s="368"/>
      <c r="I2566" s="368"/>
      <c r="J2566" s="368"/>
    </row>
    <row r="2567" spans="7:10" x14ac:dyDescent="0.2">
      <c r="G2567" s="368"/>
      <c r="H2567" s="368"/>
      <c r="I2567" s="368"/>
      <c r="J2567" s="368"/>
    </row>
    <row r="2568" spans="7:10" x14ac:dyDescent="0.2">
      <c r="G2568" s="368"/>
      <c r="H2568" s="368"/>
      <c r="I2568" s="368"/>
      <c r="J2568" s="368"/>
    </row>
    <row r="2569" spans="7:10" x14ac:dyDescent="0.2">
      <c r="G2569" s="368"/>
      <c r="H2569" s="368"/>
      <c r="I2569" s="368"/>
      <c r="J2569" s="368"/>
    </row>
    <row r="2570" spans="7:10" x14ac:dyDescent="0.2">
      <c r="G2570" s="368"/>
      <c r="H2570" s="368"/>
      <c r="I2570" s="368"/>
      <c r="J2570" s="368"/>
    </row>
    <row r="2571" spans="7:10" x14ac:dyDescent="0.2">
      <c r="G2571" s="368"/>
      <c r="H2571" s="368"/>
      <c r="I2571" s="368"/>
      <c r="J2571" s="368"/>
    </row>
    <row r="2572" spans="7:10" x14ac:dyDescent="0.2">
      <c r="G2572" s="368"/>
      <c r="H2572" s="368"/>
      <c r="I2572" s="368"/>
      <c r="J2572" s="368"/>
    </row>
    <row r="2573" spans="7:10" x14ac:dyDescent="0.2">
      <c r="G2573" s="368"/>
      <c r="H2573" s="368"/>
      <c r="I2573" s="368"/>
      <c r="J2573" s="368"/>
    </row>
    <row r="2574" spans="7:10" x14ac:dyDescent="0.2">
      <c r="G2574" s="368"/>
      <c r="H2574" s="368"/>
      <c r="I2574" s="368"/>
      <c r="J2574" s="368"/>
    </row>
    <row r="2575" spans="7:10" x14ac:dyDescent="0.2">
      <c r="G2575" s="368"/>
      <c r="H2575" s="368"/>
      <c r="I2575" s="368"/>
      <c r="J2575" s="368"/>
    </row>
    <row r="2576" spans="7:10" x14ac:dyDescent="0.2">
      <c r="G2576" s="368"/>
      <c r="H2576" s="368"/>
      <c r="I2576" s="368"/>
      <c r="J2576" s="368"/>
    </row>
    <row r="2577" spans="7:10" x14ac:dyDescent="0.2">
      <c r="G2577" s="368"/>
      <c r="H2577" s="368"/>
      <c r="I2577" s="368"/>
      <c r="J2577" s="368"/>
    </row>
    <row r="2578" spans="7:10" x14ac:dyDescent="0.2">
      <c r="G2578" s="368"/>
      <c r="H2578" s="368"/>
      <c r="I2578" s="368"/>
      <c r="J2578" s="368"/>
    </row>
    <row r="2579" spans="7:10" x14ac:dyDescent="0.2">
      <c r="G2579" s="368"/>
      <c r="H2579" s="368"/>
      <c r="I2579" s="368"/>
      <c r="J2579" s="368"/>
    </row>
    <row r="2580" spans="7:10" x14ac:dyDescent="0.2">
      <c r="G2580" s="368"/>
      <c r="H2580" s="368"/>
      <c r="I2580" s="368"/>
      <c r="J2580" s="368"/>
    </row>
    <row r="2581" spans="7:10" x14ac:dyDescent="0.2">
      <c r="G2581" s="368"/>
      <c r="H2581" s="368"/>
      <c r="I2581" s="368"/>
      <c r="J2581" s="368"/>
    </row>
    <row r="2582" spans="7:10" x14ac:dyDescent="0.2">
      <c r="G2582" s="368"/>
      <c r="H2582" s="368"/>
      <c r="I2582" s="368"/>
      <c r="J2582" s="368"/>
    </row>
    <row r="2583" spans="7:10" x14ac:dyDescent="0.2">
      <c r="G2583" s="368"/>
      <c r="H2583" s="368"/>
      <c r="I2583" s="368"/>
      <c r="J2583" s="368"/>
    </row>
    <row r="2584" spans="7:10" x14ac:dyDescent="0.2">
      <c r="G2584" s="368"/>
      <c r="H2584" s="368"/>
      <c r="I2584" s="368"/>
      <c r="J2584" s="368"/>
    </row>
    <row r="2585" spans="7:10" x14ac:dyDescent="0.2">
      <c r="G2585" s="368"/>
      <c r="H2585" s="368"/>
      <c r="I2585" s="368"/>
      <c r="J2585" s="368"/>
    </row>
    <row r="2586" spans="7:10" x14ac:dyDescent="0.2">
      <c r="G2586" s="368"/>
      <c r="H2586" s="368"/>
      <c r="I2586" s="368"/>
      <c r="J2586" s="368"/>
    </row>
    <row r="2587" spans="7:10" x14ac:dyDescent="0.2">
      <c r="G2587" s="368"/>
      <c r="H2587" s="368"/>
      <c r="I2587" s="368"/>
      <c r="J2587" s="368"/>
    </row>
    <row r="2588" spans="7:10" x14ac:dyDescent="0.2">
      <c r="G2588" s="368"/>
      <c r="H2588" s="368"/>
      <c r="I2588" s="368"/>
      <c r="J2588" s="368"/>
    </row>
    <row r="2589" spans="7:10" x14ac:dyDescent="0.2">
      <c r="G2589" s="368"/>
      <c r="H2589" s="368"/>
      <c r="I2589" s="368"/>
      <c r="J2589" s="368"/>
    </row>
    <row r="2590" spans="7:10" x14ac:dyDescent="0.2">
      <c r="G2590" s="368"/>
      <c r="H2590" s="368"/>
      <c r="I2590" s="368"/>
      <c r="J2590" s="368"/>
    </row>
    <row r="2591" spans="7:10" x14ac:dyDescent="0.2">
      <c r="G2591" s="368"/>
      <c r="H2591" s="368"/>
      <c r="I2591" s="368"/>
      <c r="J2591" s="368"/>
    </row>
    <row r="2592" spans="7:10" x14ac:dyDescent="0.2">
      <c r="G2592" s="368"/>
      <c r="H2592" s="368"/>
      <c r="I2592" s="368"/>
      <c r="J2592" s="368"/>
    </row>
    <row r="2593" spans="7:10" x14ac:dyDescent="0.2">
      <c r="G2593" s="368"/>
      <c r="H2593" s="368"/>
      <c r="I2593" s="368"/>
      <c r="J2593" s="368"/>
    </row>
    <row r="2594" spans="7:10" x14ac:dyDescent="0.2">
      <c r="G2594" s="368"/>
      <c r="H2594" s="368"/>
      <c r="I2594" s="368"/>
      <c r="J2594" s="368"/>
    </row>
    <row r="2595" spans="7:10" x14ac:dyDescent="0.2">
      <c r="G2595" s="368"/>
      <c r="H2595" s="368"/>
      <c r="I2595" s="368"/>
      <c r="J2595" s="368"/>
    </row>
    <row r="2596" spans="7:10" x14ac:dyDescent="0.2">
      <c r="G2596" s="368"/>
      <c r="H2596" s="368"/>
      <c r="I2596" s="368"/>
      <c r="J2596" s="368"/>
    </row>
    <row r="2597" spans="7:10" x14ac:dyDescent="0.2">
      <c r="G2597" s="368"/>
      <c r="H2597" s="368"/>
      <c r="I2597" s="368"/>
      <c r="J2597" s="368"/>
    </row>
    <row r="2598" spans="7:10" x14ac:dyDescent="0.2">
      <c r="G2598" s="368"/>
      <c r="H2598" s="368"/>
      <c r="I2598" s="368"/>
      <c r="J2598" s="368"/>
    </row>
    <row r="2599" spans="7:10" x14ac:dyDescent="0.2">
      <c r="G2599" s="368"/>
      <c r="H2599" s="368"/>
      <c r="I2599" s="368"/>
      <c r="J2599" s="368"/>
    </row>
    <row r="2600" spans="7:10" x14ac:dyDescent="0.2">
      <c r="G2600" s="368"/>
      <c r="H2600" s="368"/>
      <c r="I2600" s="368"/>
      <c r="J2600" s="368"/>
    </row>
    <row r="2601" spans="7:10" x14ac:dyDescent="0.2">
      <c r="G2601" s="368"/>
      <c r="H2601" s="368"/>
      <c r="I2601" s="368"/>
      <c r="J2601" s="368"/>
    </row>
    <row r="2602" spans="7:10" x14ac:dyDescent="0.2">
      <c r="G2602" s="368"/>
      <c r="H2602" s="368"/>
      <c r="I2602" s="368"/>
      <c r="J2602" s="368"/>
    </row>
    <row r="2603" spans="7:10" x14ac:dyDescent="0.2">
      <c r="G2603" s="368"/>
      <c r="H2603" s="368"/>
      <c r="I2603" s="368"/>
      <c r="J2603" s="368"/>
    </row>
    <row r="2604" spans="7:10" x14ac:dyDescent="0.2">
      <c r="G2604" s="368"/>
      <c r="H2604" s="368"/>
      <c r="I2604" s="368"/>
      <c r="J2604" s="368"/>
    </row>
    <row r="2605" spans="7:10" x14ac:dyDescent="0.2">
      <c r="G2605" s="368"/>
      <c r="H2605" s="368"/>
      <c r="I2605" s="368"/>
      <c r="J2605" s="368"/>
    </row>
    <row r="2606" spans="7:10" x14ac:dyDescent="0.2">
      <c r="G2606" s="368"/>
      <c r="H2606" s="368"/>
      <c r="I2606" s="368"/>
      <c r="J2606" s="368"/>
    </row>
    <row r="2607" spans="7:10" x14ac:dyDescent="0.2">
      <c r="G2607" s="368"/>
      <c r="H2607" s="368"/>
      <c r="I2607" s="368"/>
      <c r="J2607" s="368"/>
    </row>
    <row r="2608" spans="7:10" x14ac:dyDescent="0.2">
      <c r="G2608" s="368"/>
      <c r="H2608" s="368"/>
      <c r="I2608" s="368"/>
      <c r="J2608" s="368"/>
    </row>
    <row r="2609" spans="7:10" x14ac:dyDescent="0.2">
      <c r="G2609" s="368"/>
      <c r="H2609" s="368"/>
      <c r="I2609" s="368"/>
      <c r="J2609" s="368"/>
    </row>
    <row r="2610" spans="7:10" x14ac:dyDescent="0.2">
      <c r="G2610" s="368"/>
      <c r="H2610" s="368"/>
      <c r="I2610" s="368"/>
      <c r="J2610" s="368"/>
    </row>
    <row r="2611" spans="7:10" x14ac:dyDescent="0.2">
      <c r="G2611" s="368"/>
      <c r="H2611" s="368"/>
      <c r="I2611" s="368"/>
      <c r="J2611" s="368"/>
    </row>
    <row r="2612" spans="7:10" x14ac:dyDescent="0.2">
      <c r="G2612" s="368"/>
      <c r="H2612" s="368"/>
      <c r="I2612" s="368"/>
      <c r="J2612" s="368"/>
    </row>
    <row r="2613" spans="7:10" x14ac:dyDescent="0.2">
      <c r="G2613" s="368"/>
      <c r="H2613" s="368"/>
      <c r="I2613" s="368"/>
      <c r="J2613" s="368"/>
    </row>
    <row r="2614" spans="7:10" x14ac:dyDescent="0.2">
      <c r="G2614" s="368"/>
      <c r="H2614" s="368"/>
      <c r="I2614" s="368"/>
      <c r="J2614" s="368"/>
    </row>
    <row r="2615" spans="7:10" x14ac:dyDescent="0.2">
      <c r="G2615" s="368"/>
      <c r="H2615" s="368"/>
      <c r="I2615" s="368"/>
      <c r="J2615" s="368"/>
    </row>
    <row r="2616" spans="7:10" x14ac:dyDescent="0.2">
      <c r="G2616" s="368"/>
      <c r="H2616" s="368"/>
      <c r="I2616" s="368"/>
      <c r="J2616" s="368"/>
    </row>
    <row r="2617" spans="7:10" x14ac:dyDescent="0.2">
      <c r="G2617" s="368"/>
      <c r="H2617" s="368"/>
      <c r="I2617" s="368"/>
      <c r="J2617" s="368"/>
    </row>
    <row r="2618" spans="7:10" x14ac:dyDescent="0.2">
      <c r="G2618" s="368"/>
      <c r="H2618" s="368"/>
      <c r="I2618" s="368"/>
      <c r="J2618" s="368"/>
    </row>
    <row r="2619" spans="7:10" x14ac:dyDescent="0.2">
      <c r="G2619" s="368"/>
      <c r="H2619" s="368"/>
      <c r="I2619" s="368"/>
      <c r="J2619" s="368"/>
    </row>
    <row r="2620" spans="7:10" x14ac:dyDescent="0.2">
      <c r="G2620" s="368"/>
      <c r="H2620" s="368"/>
      <c r="I2620" s="368"/>
      <c r="J2620" s="368"/>
    </row>
    <row r="2621" spans="7:10" x14ac:dyDescent="0.2">
      <c r="G2621" s="368"/>
      <c r="H2621" s="368"/>
      <c r="I2621" s="368"/>
      <c r="J2621" s="368"/>
    </row>
    <row r="2622" spans="7:10" x14ac:dyDescent="0.2">
      <c r="G2622" s="368"/>
      <c r="H2622" s="368"/>
      <c r="I2622" s="368"/>
      <c r="J2622" s="368"/>
    </row>
    <row r="2623" spans="7:10" x14ac:dyDescent="0.2">
      <c r="G2623" s="368"/>
      <c r="H2623" s="368"/>
      <c r="I2623" s="368"/>
      <c r="J2623" s="368"/>
    </row>
    <row r="2624" spans="7:10" x14ac:dyDescent="0.2">
      <c r="G2624" s="368"/>
      <c r="H2624" s="368"/>
      <c r="I2624" s="368"/>
      <c r="J2624" s="368"/>
    </row>
    <row r="2625" spans="7:10" x14ac:dyDescent="0.2">
      <c r="G2625" s="368"/>
      <c r="H2625" s="368"/>
      <c r="I2625" s="368"/>
      <c r="J2625" s="368"/>
    </row>
    <row r="2626" spans="7:10" x14ac:dyDescent="0.2">
      <c r="G2626" s="368"/>
      <c r="H2626" s="368"/>
      <c r="I2626" s="368"/>
      <c r="J2626" s="368"/>
    </row>
    <row r="2627" spans="7:10" x14ac:dyDescent="0.2">
      <c r="G2627" s="368"/>
      <c r="H2627" s="368"/>
      <c r="I2627" s="368"/>
      <c r="J2627" s="368"/>
    </row>
    <row r="2628" spans="7:10" x14ac:dyDescent="0.2">
      <c r="G2628" s="368"/>
      <c r="H2628" s="368"/>
      <c r="I2628" s="368"/>
      <c r="J2628" s="368"/>
    </row>
    <row r="2629" spans="7:10" x14ac:dyDescent="0.2">
      <c r="G2629" s="368"/>
      <c r="H2629" s="368"/>
      <c r="I2629" s="368"/>
      <c r="J2629" s="368"/>
    </row>
    <row r="2630" spans="7:10" x14ac:dyDescent="0.2">
      <c r="G2630" s="368"/>
      <c r="H2630" s="368"/>
      <c r="I2630" s="368"/>
      <c r="J2630" s="368"/>
    </row>
    <row r="2631" spans="7:10" x14ac:dyDescent="0.2">
      <c r="G2631" s="368"/>
      <c r="H2631" s="368"/>
      <c r="I2631" s="368"/>
      <c r="J2631" s="368"/>
    </row>
    <row r="2632" spans="7:10" x14ac:dyDescent="0.2">
      <c r="G2632" s="368"/>
      <c r="H2632" s="368"/>
      <c r="I2632" s="368"/>
      <c r="J2632" s="368"/>
    </row>
    <row r="2633" spans="7:10" x14ac:dyDescent="0.2">
      <c r="G2633" s="368"/>
      <c r="H2633" s="368"/>
      <c r="I2633" s="368"/>
      <c r="J2633" s="368"/>
    </row>
    <row r="2634" spans="7:10" x14ac:dyDescent="0.2">
      <c r="G2634" s="368"/>
      <c r="H2634" s="368"/>
      <c r="I2634" s="368"/>
      <c r="J2634" s="368"/>
    </row>
    <row r="2635" spans="7:10" x14ac:dyDescent="0.2">
      <c r="G2635" s="368"/>
      <c r="H2635" s="368"/>
      <c r="I2635" s="368"/>
      <c r="J2635" s="368"/>
    </row>
    <row r="2636" spans="7:10" x14ac:dyDescent="0.2">
      <c r="G2636" s="368"/>
      <c r="H2636" s="368"/>
      <c r="I2636" s="368"/>
      <c r="J2636" s="368"/>
    </row>
    <row r="2637" spans="7:10" x14ac:dyDescent="0.2">
      <c r="G2637" s="368"/>
      <c r="H2637" s="368"/>
      <c r="I2637" s="368"/>
      <c r="J2637" s="368"/>
    </row>
    <row r="2638" spans="7:10" x14ac:dyDescent="0.2">
      <c r="G2638" s="368"/>
      <c r="H2638" s="368"/>
      <c r="I2638" s="368"/>
      <c r="J2638" s="368"/>
    </row>
    <row r="2639" spans="7:10" x14ac:dyDescent="0.2">
      <c r="G2639" s="368"/>
      <c r="H2639" s="368"/>
      <c r="I2639" s="368"/>
      <c r="J2639" s="368"/>
    </row>
    <row r="2640" spans="7:10" x14ac:dyDescent="0.2">
      <c r="G2640" s="368"/>
      <c r="H2640" s="368"/>
      <c r="I2640" s="368"/>
      <c r="J2640" s="368"/>
    </row>
    <row r="2641" spans="7:10" x14ac:dyDescent="0.2">
      <c r="G2641" s="368"/>
      <c r="H2641" s="368"/>
      <c r="I2641" s="368"/>
      <c r="J2641" s="368"/>
    </row>
    <row r="2642" spans="7:10" x14ac:dyDescent="0.2">
      <c r="G2642" s="368"/>
      <c r="H2642" s="368"/>
      <c r="I2642" s="368"/>
      <c r="J2642" s="368"/>
    </row>
    <row r="2643" spans="7:10" x14ac:dyDescent="0.2">
      <c r="G2643" s="368"/>
      <c r="H2643" s="368"/>
      <c r="I2643" s="368"/>
      <c r="J2643" s="368"/>
    </row>
    <row r="2644" spans="7:10" x14ac:dyDescent="0.2">
      <c r="G2644" s="368"/>
      <c r="H2644" s="368"/>
      <c r="I2644" s="368"/>
      <c r="J2644" s="368"/>
    </row>
    <row r="2645" spans="7:10" x14ac:dyDescent="0.2">
      <c r="G2645" s="368"/>
      <c r="H2645" s="368"/>
      <c r="I2645" s="368"/>
      <c r="J2645" s="368"/>
    </row>
    <row r="2646" spans="7:10" x14ac:dyDescent="0.2">
      <c r="G2646" s="368"/>
      <c r="H2646" s="368"/>
      <c r="I2646" s="368"/>
      <c r="J2646" s="368"/>
    </row>
    <row r="2647" spans="7:10" x14ac:dyDescent="0.2">
      <c r="G2647" s="368"/>
      <c r="H2647" s="368"/>
      <c r="I2647" s="368"/>
      <c r="J2647" s="368"/>
    </row>
    <row r="2648" spans="7:10" x14ac:dyDescent="0.2">
      <c r="G2648" s="368"/>
      <c r="H2648" s="368"/>
      <c r="I2648" s="368"/>
      <c r="J2648" s="368"/>
    </row>
    <row r="2649" spans="7:10" x14ac:dyDescent="0.2">
      <c r="G2649" s="368"/>
      <c r="H2649" s="368"/>
      <c r="I2649" s="368"/>
      <c r="J2649" s="368"/>
    </row>
    <row r="2650" spans="7:10" x14ac:dyDescent="0.2">
      <c r="G2650" s="368"/>
      <c r="H2650" s="368"/>
      <c r="I2650" s="368"/>
      <c r="J2650" s="368"/>
    </row>
    <row r="2651" spans="7:10" x14ac:dyDescent="0.2">
      <c r="G2651" s="368"/>
      <c r="H2651" s="368"/>
      <c r="I2651" s="368"/>
      <c r="J2651" s="368"/>
    </row>
    <row r="2652" spans="7:10" x14ac:dyDescent="0.2">
      <c r="G2652" s="368"/>
      <c r="H2652" s="368"/>
      <c r="I2652" s="368"/>
      <c r="J2652" s="368"/>
    </row>
    <row r="2653" spans="7:10" x14ac:dyDescent="0.2">
      <c r="G2653" s="368"/>
      <c r="H2653" s="368"/>
      <c r="I2653" s="368"/>
      <c r="J2653" s="368"/>
    </row>
    <row r="2654" spans="7:10" x14ac:dyDescent="0.2">
      <c r="G2654" s="368"/>
      <c r="H2654" s="368"/>
      <c r="I2654" s="368"/>
      <c r="J2654" s="368"/>
    </row>
    <row r="2655" spans="7:10" x14ac:dyDescent="0.2">
      <c r="G2655" s="368"/>
      <c r="H2655" s="368"/>
      <c r="I2655" s="368"/>
      <c r="J2655" s="368"/>
    </row>
    <row r="2656" spans="7:10" x14ac:dyDescent="0.2">
      <c r="G2656" s="368"/>
      <c r="H2656" s="368"/>
      <c r="I2656" s="368"/>
      <c r="J2656" s="368"/>
    </row>
    <row r="2657" spans="7:10" x14ac:dyDescent="0.2">
      <c r="G2657" s="368"/>
      <c r="H2657" s="368"/>
      <c r="I2657" s="368"/>
      <c r="J2657" s="368"/>
    </row>
    <row r="2658" spans="7:10" x14ac:dyDescent="0.2">
      <c r="G2658" s="368"/>
      <c r="H2658" s="368"/>
      <c r="I2658" s="368"/>
      <c r="J2658" s="368"/>
    </row>
    <row r="2659" spans="7:10" x14ac:dyDescent="0.2">
      <c r="G2659" s="368"/>
      <c r="H2659" s="368"/>
      <c r="I2659" s="368"/>
      <c r="J2659" s="368"/>
    </row>
    <row r="2660" spans="7:10" x14ac:dyDescent="0.2">
      <c r="G2660" s="368"/>
      <c r="H2660" s="368"/>
      <c r="I2660" s="368"/>
      <c r="J2660" s="368"/>
    </row>
    <row r="2661" spans="7:10" x14ac:dyDescent="0.2">
      <c r="G2661" s="368"/>
      <c r="H2661" s="368"/>
      <c r="I2661" s="368"/>
      <c r="J2661" s="368"/>
    </row>
    <row r="2662" spans="7:10" x14ac:dyDescent="0.2">
      <c r="G2662" s="368"/>
      <c r="H2662" s="368"/>
      <c r="I2662" s="368"/>
      <c r="J2662" s="368"/>
    </row>
    <row r="2663" spans="7:10" x14ac:dyDescent="0.2">
      <c r="G2663" s="368"/>
      <c r="H2663" s="368"/>
      <c r="I2663" s="368"/>
      <c r="J2663" s="368"/>
    </row>
    <row r="2664" spans="7:10" x14ac:dyDescent="0.2">
      <c r="G2664" s="368"/>
      <c r="H2664" s="368"/>
      <c r="I2664" s="368"/>
      <c r="J2664" s="368"/>
    </row>
    <row r="2665" spans="7:10" x14ac:dyDescent="0.2">
      <c r="G2665" s="368"/>
      <c r="H2665" s="368"/>
      <c r="I2665" s="368"/>
      <c r="J2665" s="368"/>
    </row>
    <row r="2666" spans="7:10" x14ac:dyDescent="0.2">
      <c r="G2666" s="368"/>
      <c r="H2666" s="368"/>
      <c r="I2666" s="368"/>
      <c r="J2666" s="368"/>
    </row>
    <row r="2667" spans="7:10" x14ac:dyDescent="0.2">
      <c r="G2667" s="368"/>
      <c r="H2667" s="368"/>
      <c r="I2667" s="368"/>
      <c r="J2667" s="368"/>
    </row>
    <row r="2668" spans="7:10" x14ac:dyDescent="0.2">
      <c r="G2668" s="368"/>
      <c r="H2668" s="368"/>
      <c r="I2668" s="368"/>
      <c r="J2668" s="368"/>
    </row>
    <row r="2669" spans="7:10" x14ac:dyDescent="0.2">
      <c r="G2669" s="368"/>
      <c r="H2669" s="368"/>
      <c r="I2669" s="368"/>
      <c r="J2669" s="368"/>
    </row>
    <row r="2670" spans="7:10" x14ac:dyDescent="0.2">
      <c r="G2670" s="368"/>
      <c r="H2670" s="368"/>
      <c r="I2670" s="368"/>
      <c r="J2670" s="368"/>
    </row>
    <row r="2671" spans="7:10" x14ac:dyDescent="0.2">
      <c r="G2671" s="368"/>
      <c r="H2671" s="368"/>
      <c r="I2671" s="368"/>
      <c r="J2671" s="368"/>
    </row>
    <row r="2672" spans="7:10" x14ac:dyDescent="0.2">
      <c r="G2672" s="368"/>
      <c r="H2672" s="368"/>
      <c r="I2672" s="368"/>
      <c r="J2672" s="368"/>
    </row>
    <row r="2673" spans="7:10" x14ac:dyDescent="0.2">
      <c r="G2673" s="368"/>
      <c r="H2673" s="368"/>
      <c r="I2673" s="368"/>
      <c r="J2673" s="368"/>
    </row>
    <row r="2674" spans="7:10" x14ac:dyDescent="0.2">
      <c r="G2674" s="368"/>
      <c r="H2674" s="368"/>
      <c r="I2674" s="368"/>
      <c r="J2674" s="368"/>
    </row>
    <row r="2675" spans="7:10" x14ac:dyDescent="0.2">
      <c r="G2675" s="368"/>
      <c r="H2675" s="368"/>
      <c r="I2675" s="368"/>
      <c r="J2675" s="368"/>
    </row>
    <row r="2676" spans="7:10" x14ac:dyDescent="0.2">
      <c r="G2676" s="368"/>
      <c r="H2676" s="368"/>
      <c r="I2676" s="368"/>
      <c r="J2676" s="368"/>
    </row>
    <row r="2677" spans="7:10" x14ac:dyDescent="0.2">
      <c r="G2677" s="368"/>
      <c r="H2677" s="368"/>
      <c r="I2677" s="368"/>
      <c r="J2677" s="368"/>
    </row>
    <row r="2678" spans="7:10" x14ac:dyDescent="0.2">
      <c r="G2678" s="368"/>
      <c r="H2678" s="368"/>
      <c r="I2678" s="368"/>
      <c r="J2678" s="368"/>
    </row>
    <row r="2679" spans="7:10" x14ac:dyDescent="0.2">
      <c r="G2679" s="368"/>
      <c r="H2679" s="368"/>
      <c r="I2679" s="368"/>
      <c r="J2679" s="368"/>
    </row>
    <row r="2680" spans="7:10" x14ac:dyDescent="0.2">
      <c r="G2680" s="368"/>
      <c r="H2680" s="368"/>
      <c r="I2680" s="368"/>
      <c r="J2680" s="368"/>
    </row>
    <row r="2681" spans="7:10" x14ac:dyDescent="0.2">
      <c r="G2681" s="368"/>
      <c r="H2681" s="368"/>
      <c r="I2681" s="368"/>
      <c r="J2681" s="368"/>
    </row>
    <row r="2682" spans="7:10" x14ac:dyDescent="0.2">
      <c r="G2682" s="368"/>
      <c r="H2682" s="368"/>
      <c r="I2682" s="368"/>
      <c r="J2682" s="368"/>
    </row>
    <row r="2683" spans="7:10" x14ac:dyDescent="0.2">
      <c r="G2683" s="368"/>
      <c r="H2683" s="368"/>
      <c r="I2683" s="368"/>
      <c r="J2683" s="368"/>
    </row>
    <row r="2684" spans="7:10" x14ac:dyDescent="0.2">
      <c r="G2684" s="368"/>
      <c r="H2684" s="368"/>
      <c r="I2684" s="368"/>
      <c r="J2684" s="368"/>
    </row>
    <row r="2685" spans="7:10" x14ac:dyDescent="0.2">
      <c r="G2685" s="368"/>
      <c r="H2685" s="368"/>
      <c r="I2685" s="368"/>
      <c r="J2685" s="368"/>
    </row>
    <row r="2686" spans="7:10" x14ac:dyDescent="0.2">
      <c r="G2686" s="368"/>
      <c r="H2686" s="368"/>
      <c r="I2686" s="368"/>
      <c r="J2686" s="368"/>
    </row>
    <row r="2687" spans="7:10" x14ac:dyDescent="0.2">
      <c r="G2687" s="368"/>
      <c r="H2687" s="368"/>
      <c r="I2687" s="368"/>
      <c r="J2687" s="368"/>
    </row>
    <row r="2688" spans="7:10" x14ac:dyDescent="0.2">
      <c r="G2688" s="368"/>
      <c r="H2688" s="368"/>
      <c r="I2688" s="368"/>
      <c r="J2688" s="368"/>
    </row>
    <row r="2689" spans="7:10" x14ac:dyDescent="0.2">
      <c r="G2689" s="368"/>
      <c r="H2689" s="368"/>
      <c r="I2689" s="368"/>
      <c r="J2689" s="368"/>
    </row>
    <row r="2690" spans="7:10" x14ac:dyDescent="0.2">
      <c r="G2690" s="368"/>
      <c r="H2690" s="368"/>
      <c r="I2690" s="368"/>
      <c r="J2690" s="368"/>
    </row>
    <row r="2691" spans="7:10" x14ac:dyDescent="0.2">
      <c r="G2691" s="368"/>
      <c r="H2691" s="368"/>
      <c r="I2691" s="368"/>
      <c r="J2691" s="368"/>
    </row>
    <row r="2692" spans="7:10" x14ac:dyDescent="0.2">
      <c r="G2692" s="368"/>
      <c r="H2692" s="368"/>
      <c r="I2692" s="368"/>
      <c r="J2692" s="368"/>
    </row>
    <row r="2693" spans="7:10" x14ac:dyDescent="0.2">
      <c r="G2693" s="368"/>
      <c r="H2693" s="368"/>
      <c r="I2693" s="368"/>
      <c r="J2693" s="368"/>
    </row>
    <row r="2694" spans="7:10" x14ac:dyDescent="0.2">
      <c r="G2694" s="368"/>
      <c r="H2694" s="368"/>
      <c r="I2694" s="368"/>
      <c r="J2694" s="368"/>
    </row>
    <row r="2695" spans="7:10" x14ac:dyDescent="0.2">
      <c r="G2695" s="368"/>
      <c r="H2695" s="368"/>
      <c r="I2695" s="368"/>
      <c r="J2695" s="368"/>
    </row>
    <row r="2696" spans="7:10" x14ac:dyDescent="0.2">
      <c r="G2696" s="368"/>
      <c r="H2696" s="368"/>
      <c r="I2696" s="368"/>
      <c r="J2696" s="368"/>
    </row>
    <row r="2697" spans="7:10" x14ac:dyDescent="0.2">
      <c r="G2697" s="368"/>
      <c r="H2697" s="368"/>
      <c r="I2697" s="368"/>
      <c r="J2697" s="368"/>
    </row>
    <row r="2698" spans="7:10" x14ac:dyDescent="0.2">
      <c r="G2698" s="368"/>
      <c r="H2698" s="368"/>
      <c r="I2698" s="368"/>
      <c r="J2698" s="368"/>
    </row>
    <row r="2699" spans="7:10" x14ac:dyDescent="0.2">
      <c r="G2699" s="368"/>
      <c r="H2699" s="368"/>
      <c r="I2699" s="368"/>
      <c r="J2699" s="368"/>
    </row>
    <row r="2700" spans="7:10" x14ac:dyDescent="0.2">
      <c r="G2700" s="368"/>
      <c r="H2700" s="368"/>
      <c r="I2700" s="368"/>
      <c r="J2700" s="368"/>
    </row>
    <row r="2701" spans="7:10" x14ac:dyDescent="0.2">
      <c r="G2701" s="368"/>
      <c r="H2701" s="368"/>
      <c r="I2701" s="368"/>
      <c r="J2701" s="368"/>
    </row>
    <row r="2702" spans="7:10" x14ac:dyDescent="0.2">
      <c r="G2702" s="368"/>
      <c r="H2702" s="368"/>
      <c r="I2702" s="368"/>
      <c r="J2702" s="368"/>
    </row>
    <row r="2703" spans="7:10" x14ac:dyDescent="0.2">
      <c r="G2703" s="368"/>
      <c r="H2703" s="368"/>
      <c r="I2703" s="368"/>
      <c r="J2703" s="368"/>
    </row>
    <row r="2704" spans="7:10" x14ac:dyDescent="0.2">
      <c r="G2704" s="368"/>
      <c r="H2704" s="368"/>
      <c r="I2704" s="368"/>
      <c r="J2704" s="368"/>
    </row>
    <row r="2705" spans="7:10" x14ac:dyDescent="0.2">
      <c r="G2705" s="368"/>
      <c r="H2705" s="368"/>
      <c r="I2705" s="368"/>
      <c r="J2705" s="368"/>
    </row>
    <row r="2706" spans="7:10" x14ac:dyDescent="0.2">
      <c r="G2706" s="368"/>
      <c r="H2706" s="368"/>
      <c r="I2706" s="368"/>
      <c r="J2706" s="368"/>
    </row>
    <row r="2707" spans="7:10" x14ac:dyDescent="0.2">
      <c r="G2707" s="368"/>
      <c r="H2707" s="368"/>
      <c r="I2707" s="368"/>
      <c r="J2707" s="368"/>
    </row>
    <row r="2708" spans="7:10" x14ac:dyDescent="0.2">
      <c r="G2708" s="368"/>
      <c r="H2708" s="368"/>
      <c r="I2708" s="368"/>
      <c r="J2708" s="368"/>
    </row>
    <row r="2709" spans="7:10" x14ac:dyDescent="0.2">
      <c r="G2709" s="368"/>
      <c r="H2709" s="368"/>
      <c r="I2709" s="368"/>
      <c r="J2709" s="368"/>
    </row>
    <row r="2710" spans="7:10" x14ac:dyDescent="0.2">
      <c r="G2710" s="368"/>
      <c r="H2710" s="368"/>
      <c r="I2710" s="368"/>
      <c r="J2710" s="368"/>
    </row>
    <row r="2711" spans="7:10" x14ac:dyDescent="0.2">
      <c r="G2711" s="368"/>
      <c r="H2711" s="368"/>
      <c r="I2711" s="368"/>
      <c r="J2711" s="368"/>
    </row>
    <row r="2712" spans="7:10" x14ac:dyDescent="0.2">
      <c r="G2712" s="368"/>
      <c r="H2712" s="368"/>
      <c r="I2712" s="368"/>
      <c r="J2712" s="368"/>
    </row>
    <row r="2713" spans="7:10" x14ac:dyDescent="0.2">
      <c r="G2713" s="368"/>
      <c r="H2713" s="368"/>
      <c r="I2713" s="368"/>
      <c r="J2713" s="368"/>
    </row>
    <row r="2714" spans="7:10" x14ac:dyDescent="0.2">
      <c r="G2714" s="368"/>
      <c r="H2714" s="368"/>
      <c r="I2714" s="368"/>
      <c r="J2714" s="368"/>
    </row>
    <row r="2715" spans="7:10" x14ac:dyDescent="0.2">
      <c r="G2715" s="368"/>
      <c r="H2715" s="368"/>
      <c r="I2715" s="368"/>
      <c r="J2715" s="368"/>
    </row>
    <row r="2716" spans="7:10" x14ac:dyDescent="0.2">
      <c r="G2716" s="368"/>
      <c r="H2716" s="368"/>
      <c r="I2716" s="368"/>
      <c r="J2716" s="368"/>
    </row>
    <row r="2717" spans="7:10" x14ac:dyDescent="0.2">
      <c r="G2717" s="368"/>
      <c r="H2717" s="368"/>
      <c r="I2717" s="368"/>
      <c r="J2717" s="368"/>
    </row>
    <row r="2718" spans="7:10" x14ac:dyDescent="0.2">
      <c r="G2718" s="368"/>
      <c r="H2718" s="368"/>
      <c r="I2718" s="368"/>
      <c r="J2718" s="368"/>
    </row>
    <row r="2719" spans="7:10" x14ac:dyDescent="0.2">
      <c r="G2719" s="368"/>
      <c r="H2719" s="368"/>
      <c r="I2719" s="368"/>
      <c r="J2719" s="368"/>
    </row>
    <row r="2720" spans="7:10" x14ac:dyDescent="0.2">
      <c r="G2720" s="368"/>
      <c r="H2720" s="368"/>
      <c r="I2720" s="368"/>
      <c r="J2720" s="368"/>
    </row>
    <row r="2721" spans="7:10" x14ac:dyDescent="0.2">
      <c r="G2721" s="368"/>
      <c r="H2721" s="368"/>
      <c r="I2721" s="368"/>
      <c r="J2721" s="368"/>
    </row>
    <row r="2722" spans="7:10" x14ac:dyDescent="0.2">
      <c r="G2722" s="368"/>
      <c r="H2722" s="368"/>
      <c r="I2722" s="368"/>
      <c r="J2722" s="368"/>
    </row>
    <row r="2723" spans="7:10" x14ac:dyDescent="0.2">
      <c r="G2723" s="368"/>
      <c r="H2723" s="368"/>
      <c r="I2723" s="368"/>
      <c r="J2723" s="368"/>
    </row>
    <row r="2724" spans="7:10" x14ac:dyDescent="0.2">
      <c r="G2724" s="368"/>
      <c r="H2724" s="368"/>
      <c r="I2724" s="368"/>
      <c r="J2724" s="368"/>
    </row>
    <row r="2725" spans="7:10" x14ac:dyDescent="0.2">
      <c r="G2725" s="368"/>
      <c r="H2725" s="368"/>
      <c r="I2725" s="368"/>
      <c r="J2725" s="368"/>
    </row>
    <row r="2726" spans="7:10" x14ac:dyDescent="0.2">
      <c r="G2726" s="368"/>
      <c r="H2726" s="368"/>
      <c r="I2726" s="368"/>
      <c r="J2726" s="368"/>
    </row>
    <row r="2727" spans="7:10" x14ac:dyDescent="0.2">
      <c r="G2727" s="368"/>
      <c r="H2727" s="368"/>
      <c r="I2727" s="368"/>
      <c r="J2727" s="368"/>
    </row>
    <row r="2728" spans="7:10" x14ac:dyDescent="0.2">
      <c r="G2728" s="368"/>
      <c r="H2728" s="368"/>
      <c r="I2728" s="368"/>
      <c r="J2728" s="368"/>
    </row>
    <row r="2729" spans="7:10" x14ac:dyDescent="0.2">
      <c r="G2729" s="368"/>
      <c r="H2729" s="368"/>
      <c r="I2729" s="368"/>
      <c r="J2729" s="368"/>
    </row>
    <row r="2730" spans="7:10" x14ac:dyDescent="0.2">
      <c r="G2730" s="368"/>
      <c r="H2730" s="368"/>
      <c r="I2730" s="368"/>
      <c r="J2730" s="368"/>
    </row>
    <row r="2731" spans="7:10" x14ac:dyDescent="0.2">
      <c r="G2731" s="368"/>
      <c r="H2731" s="368"/>
      <c r="I2731" s="368"/>
      <c r="J2731" s="368"/>
    </row>
    <row r="2732" spans="7:10" x14ac:dyDescent="0.2">
      <c r="G2732" s="368"/>
      <c r="H2732" s="368"/>
      <c r="I2732" s="368"/>
      <c r="J2732" s="368"/>
    </row>
    <row r="2733" spans="7:10" x14ac:dyDescent="0.2">
      <c r="G2733" s="368"/>
      <c r="H2733" s="368"/>
      <c r="I2733" s="368"/>
      <c r="J2733" s="368"/>
    </row>
    <row r="2734" spans="7:10" x14ac:dyDescent="0.2">
      <c r="G2734" s="368"/>
      <c r="H2734" s="368"/>
      <c r="I2734" s="368"/>
      <c r="J2734" s="368"/>
    </row>
    <row r="2735" spans="7:10" x14ac:dyDescent="0.2">
      <c r="G2735" s="368"/>
      <c r="H2735" s="368"/>
      <c r="I2735" s="368"/>
      <c r="J2735" s="368"/>
    </row>
    <row r="2736" spans="7:10" x14ac:dyDescent="0.2">
      <c r="G2736" s="368"/>
      <c r="H2736" s="368"/>
      <c r="I2736" s="368"/>
      <c r="J2736" s="368"/>
    </row>
    <row r="2737" spans="7:10" x14ac:dyDescent="0.2">
      <c r="G2737" s="368"/>
      <c r="H2737" s="368"/>
      <c r="I2737" s="368"/>
      <c r="J2737" s="368"/>
    </row>
    <row r="2738" spans="7:10" x14ac:dyDescent="0.2">
      <c r="G2738" s="368"/>
      <c r="H2738" s="368"/>
      <c r="I2738" s="368"/>
      <c r="J2738" s="368"/>
    </row>
    <row r="2739" spans="7:10" x14ac:dyDescent="0.2">
      <c r="G2739" s="368"/>
      <c r="H2739" s="368"/>
      <c r="I2739" s="368"/>
      <c r="J2739" s="368"/>
    </row>
    <row r="2740" spans="7:10" x14ac:dyDescent="0.2">
      <c r="G2740" s="368"/>
      <c r="H2740" s="368"/>
      <c r="I2740" s="368"/>
      <c r="J2740" s="368"/>
    </row>
    <row r="2741" spans="7:10" x14ac:dyDescent="0.2">
      <c r="G2741" s="368"/>
      <c r="H2741" s="368"/>
      <c r="I2741" s="368"/>
      <c r="J2741" s="368"/>
    </row>
    <row r="2742" spans="7:10" x14ac:dyDescent="0.2">
      <c r="G2742" s="368"/>
      <c r="H2742" s="368"/>
      <c r="I2742" s="368"/>
      <c r="J2742" s="368"/>
    </row>
    <row r="2743" spans="7:10" x14ac:dyDescent="0.2">
      <c r="G2743" s="368"/>
      <c r="H2743" s="368"/>
      <c r="I2743" s="368"/>
      <c r="J2743" s="368"/>
    </row>
    <row r="2744" spans="7:10" x14ac:dyDescent="0.2">
      <c r="G2744" s="368"/>
      <c r="H2744" s="368"/>
      <c r="I2744" s="368"/>
      <c r="J2744" s="368"/>
    </row>
    <row r="2745" spans="7:10" x14ac:dyDescent="0.2">
      <c r="G2745" s="368"/>
      <c r="H2745" s="368"/>
      <c r="I2745" s="368"/>
      <c r="J2745" s="368"/>
    </row>
    <row r="2746" spans="7:10" x14ac:dyDescent="0.2">
      <c r="G2746" s="368"/>
      <c r="H2746" s="368"/>
      <c r="I2746" s="368"/>
      <c r="J2746" s="368"/>
    </row>
    <row r="2747" spans="7:10" x14ac:dyDescent="0.2">
      <c r="G2747" s="368"/>
      <c r="H2747" s="368"/>
      <c r="I2747" s="368"/>
      <c r="J2747" s="368"/>
    </row>
    <row r="2748" spans="7:10" x14ac:dyDescent="0.2">
      <c r="G2748" s="368"/>
      <c r="H2748" s="368"/>
      <c r="I2748" s="368"/>
      <c r="J2748" s="368"/>
    </row>
    <row r="2749" spans="7:10" x14ac:dyDescent="0.2">
      <c r="G2749" s="368"/>
      <c r="H2749" s="368"/>
      <c r="I2749" s="368"/>
      <c r="J2749" s="368"/>
    </row>
    <row r="2750" spans="7:10" x14ac:dyDescent="0.2">
      <c r="G2750" s="368"/>
      <c r="H2750" s="368"/>
      <c r="I2750" s="368"/>
      <c r="J2750" s="368"/>
    </row>
    <row r="2751" spans="7:10" x14ac:dyDescent="0.2">
      <c r="G2751" s="368"/>
      <c r="H2751" s="368"/>
      <c r="I2751" s="368"/>
      <c r="J2751" s="368"/>
    </row>
    <row r="2752" spans="7:10" x14ac:dyDescent="0.2">
      <c r="G2752" s="368"/>
      <c r="H2752" s="368"/>
      <c r="I2752" s="368"/>
      <c r="J2752" s="368"/>
    </row>
    <row r="2753" spans="7:10" x14ac:dyDescent="0.2">
      <c r="G2753" s="368"/>
      <c r="H2753" s="368"/>
      <c r="I2753" s="368"/>
      <c r="J2753" s="368"/>
    </row>
    <row r="2754" spans="7:10" x14ac:dyDescent="0.2">
      <c r="G2754" s="368"/>
      <c r="H2754" s="368"/>
      <c r="I2754" s="368"/>
      <c r="J2754" s="368"/>
    </row>
    <row r="2755" spans="7:10" x14ac:dyDescent="0.2">
      <c r="G2755" s="368"/>
      <c r="H2755" s="368"/>
      <c r="I2755" s="368"/>
      <c r="J2755" s="368"/>
    </row>
    <row r="2756" spans="7:10" x14ac:dyDescent="0.2">
      <c r="G2756" s="368"/>
      <c r="H2756" s="368"/>
      <c r="I2756" s="368"/>
      <c r="J2756" s="368"/>
    </row>
    <row r="2757" spans="7:10" x14ac:dyDescent="0.2">
      <c r="G2757" s="368"/>
      <c r="H2757" s="368"/>
      <c r="I2757" s="368"/>
      <c r="J2757" s="368"/>
    </row>
    <row r="2758" spans="7:10" x14ac:dyDescent="0.2">
      <c r="G2758" s="368"/>
      <c r="H2758" s="368"/>
      <c r="I2758" s="368"/>
      <c r="J2758" s="368"/>
    </row>
    <row r="2759" spans="7:10" x14ac:dyDescent="0.2">
      <c r="G2759" s="368"/>
      <c r="H2759" s="368"/>
      <c r="I2759" s="368"/>
      <c r="J2759" s="368"/>
    </row>
    <row r="2760" spans="7:10" x14ac:dyDescent="0.2">
      <c r="G2760" s="368"/>
      <c r="H2760" s="368"/>
      <c r="I2760" s="368"/>
      <c r="J2760" s="368"/>
    </row>
    <row r="2761" spans="7:10" x14ac:dyDescent="0.2">
      <c r="G2761" s="368"/>
      <c r="H2761" s="368"/>
      <c r="I2761" s="368"/>
      <c r="J2761" s="368"/>
    </row>
    <row r="2762" spans="7:10" x14ac:dyDescent="0.2">
      <c r="G2762" s="368"/>
      <c r="H2762" s="368"/>
      <c r="I2762" s="368"/>
      <c r="J2762" s="368"/>
    </row>
    <row r="2763" spans="7:10" x14ac:dyDescent="0.2">
      <c r="G2763" s="368"/>
      <c r="H2763" s="368"/>
      <c r="I2763" s="368"/>
      <c r="J2763" s="368"/>
    </row>
    <row r="2764" spans="7:10" x14ac:dyDescent="0.2">
      <c r="G2764" s="368"/>
      <c r="H2764" s="368"/>
      <c r="I2764" s="368"/>
      <c r="J2764" s="368"/>
    </row>
    <row r="2765" spans="7:10" x14ac:dyDescent="0.2">
      <c r="G2765" s="368"/>
      <c r="H2765" s="368"/>
      <c r="I2765" s="368"/>
      <c r="J2765" s="368"/>
    </row>
    <row r="2766" spans="7:10" x14ac:dyDescent="0.2">
      <c r="G2766" s="368"/>
      <c r="H2766" s="368"/>
      <c r="I2766" s="368"/>
      <c r="J2766" s="368"/>
    </row>
    <row r="2767" spans="7:10" x14ac:dyDescent="0.2">
      <c r="G2767" s="368"/>
      <c r="H2767" s="368"/>
      <c r="I2767" s="368"/>
      <c r="J2767" s="368"/>
    </row>
    <row r="2768" spans="7:10" x14ac:dyDescent="0.2">
      <c r="G2768" s="368"/>
      <c r="H2768" s="368"/>
      <c r="I2768" s="368"/>
      <c r="J2768" s="368"/>
    </row>
    <row r="2769" spans="7:10" x14ac:dyDescent="0.2">
      <c r="G2769" s="368"/>
      <c r="H2769" s="368"/>
      <c r="I2769" s="368"/>
      <c r="J2769" s="368"/>
    </row>
    <row r="2770" spans="7:10" x14ac:dyDescent="0.2">
      <c r="G2770" s="368"/>
      <c r="H2770" s="368"/>
      <c r="I2770" s="368"/>
      <c r="J2770" s="368"/>
    </row>
    <row r="2771" spans="7:10" x14ac:dyDescent="0.2">
      <c r="G2771" s="368"/>
      <c r="H2771" s="368"/>
      <c r="I2771" s="368"/>
      <c r="J2771" s="368"/>
    </row>
    <row r="2772" spans="7:10" x14ac:dyDescent="0.2">
      <c r="G2772" s="368"/>
      <c r="H2772" s="368"/>
      <c r="I2772" s="368"/>
      <c r="J2772" s="368"/>
    </row>
    <row r="2773" spans="7:10" x14ac:dyDescent="0.2">
      <c r="G2773" s="368"/>
      <c r="H2773" s="368"/>
      <c r="I2773" s="368"/>
      <c r="J2773" s="368"/>
    </row>
    <row r="2774" spans="7:10" x14ac:dyDescent="0.2">
      <c r="G2774" s="368"/>
      <c r="H2774" s="368"/>
      <c r="I2774" s="368"/>
      <c r="J2774" s="368"/>
    </row>
    <row r="2775" spans="7:10" x14ac:dyDescent="0.2">
      <c r="G2775" s="368"/>
      <c r="H2775" s="368"/>
      <c r="I2775" s="368"/>
      <c r="J2775" s="368"/>
    </row>
    <row r="2776" spans="7:10" x14ac:dyDescent="0.2">
      <c r="G2776" s="368"/>
      <c r="H2776" s="368"/>
      <c r="I2776" s="368"/>
      <c r="J2776" s="368"/>
    </row>
    <row r="2777" spans="7:10" x14ac:dyDescent="0.2">
      <c r="G2777" s="368"/>
      <c r="H2777" s="368"/>
      <c r="I2777" s="368"/>
      <c r="J2777" s="368"/>
    </row>
    <row r="2778" spans="7:10" x14ac:dyDescent="0.2">
      <c r="G2778" s="368"/>
      <c r="H2778" s="368"/>
      <c r="I2778" s="368"/>
      <c r="J2778" s="368"/>
    </row>
    <row r="2779" spans="7:10" x14ac:dyDescent="0.2">
      <c r="G2779" s="368"/>
      <c r="H2779" s="368"/>
      <c r="I2779" s="368"/>
      <c r="J2779" s="368"/>
    </row>
    <row r="2780" spans="7:10" x14ac:dyDescent="0.2">
      <c r="G2780" s="368"/>
      <c r="H2780" s="368"/>
      <c r="I2780" s="368"/>
      <c r="J2780" s="368"/>
    </row>
    <row r="2781" spans="7:10" x14ac:dyDescent="0.2">
      <c r="G2781" s="368"/>
      <c r="H2781" s="368"/>
      <c r="I2781" s="368"/>
      <c r="J2781" s="368"/>
    </row>
    <row r="2782" spans="7:10" x14ac:dyDescent="0.2">
      <c r="G2782" s="368"/>
      <c r="H2782" s="368"/>
      <c r="I2782" s="368"/>
      <c r="J2782" s="368"/>
    </row>
    <row r="2783" spans="7:10" x14ac:dyDescent="0.2">
      <c r="G2783" s="368"/>
      <c r="H2783" s="368"/>
      <c r="I2783" s="368"/>
      <c r="J2783" s="368"/>
    </row>
    <row r="2784" spans="7:10" x14ac:dyDescent="0.2">
      <c r="G2784" s="368"/>
      <c r="H2784" s="368"/>
      <c r="I2784" s="368"/>
      <c r="J2784" s="368"/>
    </row>
    <row r="2785" spans="7:10" x14ac:dyDescent="0.2">
      <c r="G2785" s="368"/>
      <c r="H2785" s="368"/>
      <c r="I2785" s="368"/>
      <c r="J2785" s="368"/>
    </row>
    <row r="2786" spans="7:10" x14ac:dyDescent="0.2">
      <c r="G2786" s="368"/>
      <c r="H2786" s="368"/>
      <c r="I2786" s="368"/>
      <c r="J2786" s="368"/>
    </row>
    <row r="2787" spans="7:10" x14ac:dyDescent="0.2">
      <c r="G2787" s="368"/>
      <c r="H2787" s="368"/>
      <c r="I2787" s="368"/>
      <c r="J2787" s="368"/>
    </row>
    <row r="2788" spans="7:10" x14ac:dyDescent="0.2">
      <c r="G2788" s="368"/>
      <c r="H2788" s="368"/>
      <c r="I2788" s="368"/>
      <c r="J2788" s="368"/>
    </row>
    <row r="2789" spans="7:10" x14ac:dyDescent="0.2">
      <c r="G2789" s="368"/>
      <c r="H2789" s="368"/>
      <c r="I2789" s="368"/>
      <c r="J2789" s="368"/>
    </row>
    <row r="2790" spans="7:10" x14ac:dyDescent="0.2">
      <c r="G2790" s="368"/>
      <c r="H2790" s="368"/>
      <c r="I2790" s="368"/>
      <c r="J2790" s="368"/>
    </row>
    <row r="2791" spans="7:10" x14ac:dyDescent="0.2">
      <c r="G2791" s="368"/>
      <c r="H2791" s="368"/>
      <c r="I2791" s="368"/>
      <c r="J2791" s="368"/>
    </row>
    <row r="2792" spans="7:10" x14ac:dyDescent="0.2">
      <c r="G2792" s="368"/>
      <c r="H2792" s="368"/>
      <c r="I2792" s="368"/>
      <c r="J2792" s="368"/>
    </row>
    <row r="2793" spans="7:10" x14ac:dyDescent="0.2">
      <c r="G2793" s="368"/>
      <c r="H2793" s="368"/>
      <c r="I2793" s="368"/>
      <c r="J2793" s="368"/>
    </row>
    <row r="2794" spans="7:10" x14ac:dyDescent="0.2">
      <c r="G2794" s="368"/>
      <c r="H2794" s="368"/>
      <c r="I2794" s="368"/>
      <c r="J2794" s="368"/>
    </row>
    <row r="2795" spans="7:10" x14ac:dyDescent="0.2">
      <c r="G2795" s="368"/>
      <c r="H2795" s="368"/>
      <c r="I2795" s="368"/>
      <c r="J2795" s="368"/>
    </row>
    <row r="2796" spans="7:10" x14ac:dyDescent="0.2">
      <c r="G2796" s="368"/>
      <c r="H2796" s="368"/>
      <c r="I2796" s="368"/>
      <c r="J2796" s="368"/>
    </row>
    <row r="2797" spans="7:10" x14ac:dyDescent="0.2">
      <c r="G2797" s="368"/>
      <c r="H2797" s="368"/>
      <c r="I2797" s="368"/>
      <c r="J2797" s="368"/>
    </row>
    <row r="2798" spans="7:10" x14ac:dyDescent="0.2">
      <c r="G2798" s="368"/>
      <c r="H2798" s="368"/>
      <c r="I2798" s="368"/>
      <c r="J2798" s="368"/>
    </row>
    <row r="2799" spans="7:10" x14ac:dyDescent="0.2">
      <c r="G2799" s="368"/>
      <c r="H2799" s="368"/>
      <c r="I2799" s="368"/>
      <c r="J2799" s="368"/>
    </row>
    <row r="2800" spans="7:10" x14ac:dyDescent="0.2">
      <c r="G2800" s="368"/>
      <c r="H2800" s="368"/>
      <c r="I2800" s="368"/>
      <c r="J2800" s="368"/>
    </row>
    <row r="2801" spans="7:10" x14ac:dyDescent="0.2">
      <c r="G2801" s="368"/>
      <c r="H2801" s="368"/>
      <c r="I2801" s="368"/>
      <c r="J2801" s="368"/>
    </row>
    <row r="2802" spans="7:10" x14ac:dyDescent="0.2">
      <c r="G2802" s="368"/>
      <c r="H2802" s="368"/>
      <c r="I2802" s="368"/>
      <c r="J2802" s="368"/>
    </row>
    <row r="2803" spans="7:10" x14ac:dyDescent="0.2">
      <c r="G2803" s="368"/>
      <c r="H2803" s="368"/>
      <c r="I2803" s="368"/>
      <c r="J2803" s="368"/>
    </row>
    <row r="2804" spans="7:10" x14ac:dyDescent="0.2">
      <c r="G2804" s="368"/>
      <c r="H2804" s="368"/>
      <c r="I2804" s="368"/>
      <c r="J2804" s="368"/>
    </row>
    <row r="2805" spans="7:10" x14ac:dyDescent="0.2">
      <c r="G2805" s="368"/>
      <c r="H2805" s="368"/>
      <c r="I2805" s="368"/>
      <c r="J2805" s="368"/>
    </row>
    <row r="2806" spans="7:10" x14ac:dyDescent="0.2">
      <c r="G2806" s="368"/>
      <c r="H2806" s="368"/>
      <c r="I2806" s="368"/>
      <c r="J2806" s="368"/>
    </row>
    <row r="2807" spans="7:10" x14ac:dyDescent="0.2">
      <c r="G2807" s="368"/>
      <c r="H2807" s="368"/>
      <c r="I2807" s="368"/>
      <c r="J2807" s="368"/>
    </row>
    <row r="2808" spans="7:10" x14ac:dyDescent="0.2">
      <c r="G2808" s="368"/>
      <c r="H2808" s="368"/>
      <c r="I2808" s="368"/>
      <c r="J2808" s="368"/>
    </row>
    <row r="2809" spans="7:10" x14ac:dyDescent="0.2">
      <c r="G2809" s="368"/>
      <c r="H2809" s="368"/>
      <c r="I2809" s="368"/>
      <c r="J2809" s="368"/>
    </row>
    <row r="2810" spans="7:10" x14ac:dyDescent="0.2">
      <c r="G2810" s="368"/>
      <c r="H2810" s="368"/>
      <c r="I2810" s="368"/>
      <c r="J2810" s="368"/>
    </row>
    <row r="2811" spans="7:10" x14ac:dyDescent="0.2">
      <c r="G2811" s="368"/>
      <c r="H2811" s="368"/>
      <c r="I2811" s="368"/>
      <c r="J2811" s="368"/>
    </row>
    <row r="2812" spans="7:10" x14ac:dyDescent="0.2">
      <c r="G2812" s="368"/>
      <c r="H2812" s="368"/>
      <c r="I2812" s="368"/>
      <c r="J2812" s="368"/>
    </row>
    <row r="2813" spans="7:10" x14ac:dyDescent="0.2">
      <c r="G2813" s="368"/>
      <c r="H2813" s="368"/>
      <c r="I2813" s="368"/>
      <c r="J2813" s="368"/>
    </row>
    <row r="2814" spans="7:10" x14ac:dyDescent="0.2">
      <c r="G2814" s="368"/>
      <c r="H2814" s="368"/>
      <c r="I2814" s="368"/>
      <c r="J2814" s="368"/>
    </row>
    <row r="2815" spans="7:10" x14ac:dyDescent="0.2">
      <c r="G2815" s="368"/>
      <c r="H2815" s="368"/>
      <c r="I2815" s="368"/>
      <c r="J2815" s="368"/>
    </row>
    <row r="2816" spans="7:10" x14ac:dyDescent="0.2">
      <c r="G2816" s="368"/>
      <c r="H2816" s="368"/>
      <c r="I2816" s="368"/>
      <c r="J2816" s="368"/>
    </row>
    <row r="2817" spans="7:10" x14ac:dyDescent="0.2">
      <c r="G2817" s="368"/>
      <c r="H2817" s="368"/>
      <c r="I2817" s="368"/>
      <c r="J2817" s="368"/>
    </row>
    <row r="2818" spans="7:10" x14ac:dyDescent="0.2">
      <c r="G2818" s="368"/>
      <c r="H2818" s="368"/>
      <c r="I2818" s="368"/>
      <c r="J2818" s="368"/>
    </row>
    <row r="2819" spans="7:10" x14ac:dyDescent="0.2">
      <c r="G2819" s="368"/>
      <c r="H2819" s="368"/>
      <c r="I2819" s="368"/>
      <c r="J2819" s="368"/>
    </row>
    <row r="2820" spans="7:10" x14ac:dyDescent="0.2">
      <c r="G2820" s="368"/>
      <c r="H2820" s="368"/>
      <c r="I2820" s="368"/>
      <c r="J2820" s="368"/>
    </row>
    <row r="2821" spans="7:10" x14ac:dyDescent="0.2">
      <c r="G2821" s="368"/>
      <c r="H2821" s="368"/>
      <c r="I2821" s="368"/>
      <c r="J2821" s="368"/>
    </row>
    <row r="2822" spans="7:10" x14ac:dyDescent="0.2">
      <c r="G2822" s="368"/>
      <c r="H2822" s="368"/>
      <c r="I2822" s="368"/>
      <c r="J2822" s="368"/>
    </row>
    <row r="2823" spans="7:10" x14ac:dyDescent="0.2">
      <c r="G2823" s="368"/>
      <c r="H2823" s="368"/>
      <c r="I2823" s="368"/>
      <c r="J2823" s="368"/>
    </row>
    <row r="2824" spans="7:10" x14ac:dyDescent="0.2">
      <c r="G2824" s="368"/>
      <c r="H2824" s="368"/>
      <c r="I2824" s="368"/>
      <c r="J2824" s="368"/>
    </row>
    <row r="2825" spans="7:10" x14ac:dyDescent="0.2">
      <c r="G2825" s="368"/>
      <c r="H2825" s="368"/>
      <c r="I2825" s="368"/>
      <c r="J2825" s="368"/>
    </row>
    <row r="2826" spans="7:10" x14ac:dyDescent="0.2">
      <c r="G2826" s="368"/>
      <c r="H2826" s="368"/>
      <c r="I2826" s="368"/>
      <c r="J2826" s="368"/>
    </row>
    <row r="2827" spans="7:10" x14ac:dyDescent="0.2">
      <c r="G2827" s="368"/>
      <c r="H2827" s="368"/>
      <c r="I2827" s="368"/>
      <c r="J2827" s="368"/>
    </row>
    <row r="2828" spans="7:10" x14ac:dyDescent="0.2">
      <c r="G2828" s="368"/>
      <c r="H2828" s="368"/>
      <c r="I2828" s="368"/>
      <c r="J2828" s="368"/>
    </row>
    <row r="2829" spans="7:10" x14ac:dyDescent="0.2">
      <c r="G2829" s="368"/>
      <c r="H2829" s="368"/>
      <c r="I2829" s="368"/>
      <c r="J2829" s="368"/>
    </row>
    <row r="2830" spans="7:10" x14ac:dyDescent="0.2">
      <c r="G2830" s="368"/>
      <c r="H2830" s="368"/>
      <c r="I2830" s="368"/>
      <c r="J2830" s="368"/>
    </row>
    <row r="2831" spans="7:10" x14ac:dyDescent="0.2">
      <c r="G2831" s="368"/>
      <c r="H2831" s="368"/>
      <c r="I2831" s="368"/>
      <c r="J2831" s="368"/>
    </row>
    <row r="2832" spans="7:10" x14ac:dyDescent="0.2">
      <c r="G2832" s="368"/>
      <c r="H2832" s="368"/>
      <c r="I2832" s="368"/>
      <c r="J2832" s="368"/>
    </row>
    <row r="2833" spans="7:10" x14ac:dyDescent="0.2">
      <c r="G2833" s="368"/>
      <c r="H2833" s="368"/>
      <c r="I2833" s="368"/>
      <c r="J2833" s="368"/>
    </row>
    <row r="2834" spans="7:10" x14ac:dyDescent="0.2">
      <c r="G2834" s="368"/>
      <c r="H2834" s="368"/>
      <c r="I2834" s="368"/>
      <c r="J2834" s="368"/>
    </row>
    <row r="2835" spans="7:10" x14ac:dyDescent="0.2">
      <c r="G2835" s="368"/>
      <c r="H2835" s="368"/>
      <c r="I2835" s="368"/>
      <c r="J2835" s="368"/>
    </row>
    <row r="2836" spans="7:10" x14ac:dyDescent="0.2">
      <c r="G2836" s="368"/>
      <c r="H2836" s="368"/>
      <c r="I2836" s="368"/>
      <c r="J2836" s="368"/>
    </row>
    <row r="2837" spans="7:10" x14ac:dyDescent="0.2">
      <c r="G2837" s="368"/>
      <c r="H2837" s="368"/>
      <c r="I2837" s="368"/>
      <c r="J2837" s="368"/>
    </row>
    <row r="2838" spans="7:10" x14ac:dyDescent="0.2">
      <c r="G2838" s="368"/>
      <c r="H2838" s="368"/>
      <c r="I2838" s="368"/>
      <c r="J2838" s="368"/>
    </row>
    <row r="2839" spans="7:10" x14ac:dyDescent="0.2">
      <c r="G2839" s="368"/>
      <c r="H2839" s="368"/>
      <c r="I2839" s="368"/>
      <c r="J2839" s="368"/>
    </row>
    <row r="2840" spans="7:10" x14ac:dyDescent="0.2">
      <c r="G2840" s="368"/>
      <c r="H2840" s="368"/>
      <c r="I2840" s="368"/>
      <c r="J2840" s="368"/>
    </row>
    <row r="2841" spans="7:10" x14ac:dyDescent="0.2">
      <c r="G2841" s="368"/>
      <c r="H2841" s="368"/>
      <c r="I2841" s="368"/>
      <c r="J2841" s="368"/>
    </row>
    <row r="2842" spans="7:10" x14ac:dyDescent="0.2">
      <c r="G2842" s="368"/>
      <c r="H2842" s="368"/>
      <c r="I2842" s="368"/>
      <c r="J2842" s="368"/>
    </row>
    <row r="2843" spans="7:10" x14ac:dyDescent="0.2">
      <c r="G2843" s="368"/>
      <c r="H2843" s="368"/>
      <c r="I2843" s="368"/>
      <c r="J2843" s="368"/>
    </row>
    <row r="2844" spans="7:10" x14ac:dyDescent="0.2">
      <c r="G2844" s="368"/>
      <c r="H2844" s="368"/>
      <c r="I2844" s="368"/>
      <c r="J2844" s="368"/>
    </row>
    <row r="2845" spans="7:10" x14ac:dyDescent="0.2">
      <c r="G2845" s="368"/>
      <c r="H2845" s="368"/>
      <c r="I2845" s="368"/>
      <c r="J2845" s="368"/>
    </row>
    <row r="2846" spans="7:10" x14ac:dyDescent="0.2">
      <c r="G2846" s="368"/>
      <c r="H2846" s="368"/>
      <c r="I2846" s="368"/>
      <c r="J2846" s="368"/>
    </row>
    <row r="2847" spans="7:10" x14ac:dyDescent="0.2">
      <c r="G2847" s="368"/>
      <c r="H2847" s="368"/>
      <c r="I2847" s="368"/>
      <c r="J2847" s="368"/>
    </row>
    <row r="2848" spans="7:10" x14ac:dyDescent="0.2">
      <c r="G2848" s="368"/>
      <c r="H2848" s="368"/>
      <c r="I2848" s="368"/>
      <c r="J2848" s="368"/>
    </row>
    <row r="2849" spans="7:10" x14ac:dyDescent="0.2">
      <c r="G2849" s="368"/>
      <c r="H2849" s="368"/>
      <c r="I2849" s="368"/>
      <c r="J2849" s="368"/>
    </row>
    <row r="2850" spans="7:10" x14ac:dyDescent="0.2">
      <c r="G2850" s="368"/>
      <c r="H2850" s="368"/>
      <c r="I2850" s="368"/>
      <c r="J2850" s="368"/>
    </row>
    <row r="2851" spans="7:10" x14ac:dyDescent="0.2">
      <c r="G2851" s="368"/>
      <c r="H2851" s="368"/>
      <c r="I2851" s="368"/>
      <c r="J2851" s="368"/>
    </row>
    <row r="2852" spans="7:10" x14ac:dyDescent="0.2">
      <c r="G2852" s="368"/>
      <c r="H2852" s="368"/>
      <c r="I2852" s="368"/>
      <c r="J2852" s="368"/>
    </row>
    <row r="2853" spans="7:10" x14ac:dyDescent="0.2">
      <c r="G2853" s="368"/>
      <c r="H2853" s="368"/>
      <c r="I2853" s="368"/>
      <c r="J2853" s="368"/>
    </row>
    <row r="2854" spans="7:10" x14ac:dyDescent="0.2">
      <c r="G2854" s="368"/>
      <c r="H2854" s="368"/>
      <c r="I2854" s="368"/>
      <c r="J2854" s="368"/>
    </row>
    <row r="2855" spans="7:10" x14ac:dyDescent="0.2">
      <c r="G2855" s="368"/>
      <c r="H2855" s="368"/>
      <c r="I2855" s="368"/>
      <c r="J2855" s="368"/>
    </row>
    <row r="2856" spans="7:10" x14ac:dyDescent="0.2">
      <c r="G2856" s="368"/>
      <c r="H2856" s="368"/>
      <c r="I2856" s="368"/>
      <c r="J2856" s="368"/>
    </row>
    <row r="2857" spans="7:10" x14ac:dyDescent="0.2">
      <c r="G2857" s="368"/>
      <c r="H2857" s="368"/>
      <c r="I2857" s="368"/>
      <c r="J2857" s="368"/>
    </row>
    <row r="2858" spans="7:10" x14ac:dyDescent="0.2">
      <c r="G2858" s="368"/>
      <c r="H2858" s="368"/>
      <c r="I2858" s="368"/>
      <c r="J2858" s="368"/>
    </row>
    <row r="2859" spans="7:10" x14ac:dyDescent="0.2">
      <c r="G2859" s="368"/>
      <c r="H2859" s="368"/>
      <c r="I2859" s="368"/>
      <c r="J2859" s="368"/>
    </row>
    <row r="2860" spans="7:10" x14ac:dyDescent="0.2">
      <c r="G2860" s="368"/>
      <c r="H2860" s="368"/>
      <c r="I2860" s="368"/>
      <c r="J2860" s="368"/>
    </row>
    <row r="2861" spans="7:10" x14ac:dyDescent="0.2">
      <c r="G2861" s="368"/>
      <c r="H2861" s="368"/>
      <c r="I2861" s="368"/>
      <c r="J2861" s="368"/>
    </row>
    <row r="2862" spans="7:10" x14ac:dyDescent="0.2">
      <c r="G2862" s="368"/>
      <c r="H2862" s="368"/>
      <c r="I2862" s="368"/>
      <c r="J2862" s="368"/>
    </row>
    <row r="2863" spans="7:10" x14ac:dyDescent="0.2">
      <c r="G2863" s="368"/>
      <c r="H2863" s="368"/>
      <c r="I2863" s="368"/>
      <c r="J2863" s="368"/>
    </row>
    <row r="2864" spans="7:10" x14ac:dyDescent="0.2">
      <c r="G2864" s="368"/>
      <c r="H2864" s="368"/>
      <c r="I2864" s="368"/>
      <c r="J2864" s="368"/>
    </row>
    <row r="2865" spans="7:10" x14ac:dyDescent="0.2">
      <c r="G2865" s="368"/>
      <c r="H2865" s="368"/>
      <c r="I2865" s="368"/>
      <c r="J2865" s="368"/>
    </row>
    <row r="2866" spans="7:10" x14ac:dyDescent="0.2">
      <c r="G2866" s="368"/>
      <c r="H2866" s="368"/>
      <c r="I2866" s="368"/>
      <c r="J2866" s="368"/>
    </row>
    <row r="2867" spans="7:10" x14ac:dyDescent="0.2">
      <c r="G2867" s="368"/>
      <c r="H2867" s="368"/>
      <c r="I2867" s="368"/>
      <c r="J2867" s="368"/>
    </row>
    <row r="2868" spans="7:10" x14ac:dyDescent="0.2">
      <c r="G2868" s="368"/>
      <c r="H2868" s="368"/>
      <c r="I2868" s="368"/>
      <c r="J2868" s="368"/>
    </row>
    <row r="2869" spans="7:10" x14ac:dyDescent="0.2">
      <c r="G2869" s="368"/>
      <c r="H2869" s="368"/>
      <c r="I2869" s="368"/>
      <c r="J2869" s="368"/>
    </row>
    <row r="2870" spans="7:10" x14ac:dyDescent="0.2">
      <c r="G2870" s="368"/>
      <c r="H2870" s="368"/>
      <c r="I2870" s="368"/>
      <c r="J2870" s="368"/>
    </row>
    <row r="2871" spans="7:10" x14ac:dyDescent="0.2">
      <c r="G2871" s="368"/>
      <c r="H2871" s="368"/>
      <c r="I2871" s="368"/>
      <c r="J2871" s="368"/>
    </row>
    <row r="2872" spans="7:10" x14ac:dyDescent="0.2">
      <c r="G2872" s="368"/>
      <c r="H2872" s="368"/>
      <c r="I2872" s="368"/>
      <c r="J2872" s="368"/>
    </row>
    <row r="2873" spans="7:10" x14ac:dyDescent="0.2">
      <c r="G2873" s="368"/>
      <c r="H2873" s="368"/>
      <c r="I2873" s="368"/>
      <c r="J2873" s="368"/>
    </row>
    <row r="2874" spans="7:10" x14ac:dyDescent="0.2">
      <c r="G2874" s="368"/>
      <c r="H2874" s="368"/>
      <c r="I2874" s="368"/>
      <c r="J2874" s="368"/>
    </row>
    <row r="2875" spans="7:10" x14ac:dyDescent="0.2">
      <c r="G2875" s="368"/>
      <c r="H2875" s="368"/>
      <c r="I2875" s="368"/>
      <c r="J2875" s="368"/>
    </row>
    <row r="2876" spans="7:10" x14ac:dyDescent="0.2">
      <c r="G2876" s="368"/>
      <c r="H2876" s="368"/>
      <c r="I2876" s="368"/>
      <c r="J2876" s="368"/>
    </row>
    <row r="2877" spans="7:10" x14ac:dyDescent="0.2">
      <c r="G2877" s="368"/>
      <c r="H2877" s="368"/>
      <c r="I2877" s="368"/>
      <c r="J2877" s="368"/>
    </row>
    <row r="2878" spans="7:10" x14ac:dyDescent="0.2">
      <c r="G2878" s="368"/>
      <c r="H2878" s="368"/>
      <c r="I2878" s="368"/>
      <c r="J2878" s="368"/>
    </row>
    <row r="2879" spans="7:10" x14ac:dyDescent="0.2">
      <c r="G2879" s="368"/>
      <c r="H2879" s="368"/>
      <c r="I2879" s="368"/>
      <c r="J2879" s="368"/>
    </row>
    <row r="2880" spans="7:10" x14ac:dyDescent="0.2">
      <c r="G2880" s="368"/>
      <c r="H2880" s="368"/>
      <c r="I2880" s="368"/>
      <c r="J2880" s="368"/>
    </row>
    <row r="2881" spans="7:10" x14ac:dyDescent="0.2">
      <c r="G2881" s="368"/>
      <c r="H2881" s="368"/>
      <c r="I2881" s="368"/>
      <c r="J2881" s="368"/>
    </row>
    <row r="2882" spans="7:10" x14ac:dyDescent="0.2">
      <c r="G2882" s="368"/>
      <c r="H2882" s="368"/>
      <c r="I2882" s="368"/>
      <c r="J2882" s="368"/>
    </row>
    <row r="2883" spans="7:10" x14ac:dyDescent="0.2">
      <c r="G2883" s="368"/>
      <c r="H2883" s="368"/>
      <c r="I2883" s="368"/>
      <c r="J2883" s="368"/>
    </row>
    <row r="2884" spans="7:10" x14ac:dyDescent="0.2">
      <c r="G2884" s="368"/>
      <c r="H2884" s="368"/>
      <c r="I2884" s="368"/>
      <c r="J2884" s="368"/>
    </row>
    <row r="2885" spans="7:10" x14ac:dyDescent="0.2">
      <c r="G2885" s="368"/>
      <c r="H2885" s="368"/>
      <c r="I2885" s="368"/>
      <c r="J2885" s="368"/>
    </row>
    <row r="2886" spans="7:10" x14ac:dyDescent="0.2">
      <c r="G2886" s="368"/>
      <c r="H2886" s="368"/>
      <c r="I2886" s="368"/>
      <c r="J2886" s="368"/>
    </row>
    <row r="2887" spans="7:10" x14ac:dyDescent="0.2">
      <c r="G2887" s="368"/>
      <c r="H2887" s="368"/>
      <c r="I2887" s="368"/>
      <c r="J2887" s="368"/>
    </row>
    <row r="2888" spans="7:10" x14ac:dyDescent="0.2">
      <c r="G2888" s="368"/>
      <c r="H2888" s="368"/>
      <c r="I2888" s="368"/>
      <c r="J2888" s="368"/>
    </row>
    <row r="2889" spans="7:10" x14ac:dyDescent="0.2">
      <c r="G2889" s="368"/>
      <c r="H2889" s="368"/>
      <c r="I2889" s="368"/>
      <c r="J2889" s="368"/>
    </row>
    <row r="2890" spans="7:10" x14ac:dyDescent="0.2">
      <c r="G2890" s="368"/>
      <c r="H2890" s="368"/>
      <c r="I2890" s="368"/>
      <c r="J2890" s="368"/>
    </row>
    <row r="2891" spans="7:10" x14ac:dyDescent="0.2">
      <c r="G2891" s="368"/>
      <c r="H2891" s="368"/>
      <c r="I2891" s="368"/>
      <c r="J2891" s="368"/>
    </row>
    <row r="2892" spans="7:10" x14ac:dyDescent="0.2">
      <c r="G2892" s="368"/>
      <c r="H2892" s="368"/>
      <c r="I2892" s="368"/>
      <c r="J2892" s="368"/>
    </row>
    <row r="2893" spans="7:10" x14ac:dyDescent="0.2">
      <c r="G2893" s="368"/>
      <c r="H2893" s="368"/>
      <c r="I2893" s="368"/>
      <c r="J2893" s="368"/>
    </row>
    <row r="2894" spans="7:10" x14ac:dyDescent="0.2">
      <c r="G2894" s="368"/>
      <c r="H2894" s="368"/>
      <c r="I2894" s="368"/>
      <c r="J2894" s="368"/>
    </row>
    <row r="2895" spans="7:10" x14ac:dyDescent="0.2">
      <c r="G2895" s="368"/>
      <c r="H2895" s="368"/>
      <c r="I2895" s="368"/>
      <c r="J2895" s="368"/>
    </row>
    <row r="2896" spans="7:10" x14ac:dyDescent="0.2">
      <c r="G2896" s="368"/>
      <c r="H2896" s="368"/>
      <c r="I2896" s="368"/>
      <c r="J2896" s="368"/>
    </row>
    <row r="2897" spans="7:10" x14ac:dyDescent="0.2">
      <c r="G2897" s="368"/>
      <c r="H2897" s="368"/>
      <c r="I2897" s="368"/>
      <c r="J2897" s="368"/>
    </row>
    <row r="2898" spans="7:10" x14ac:dyDescent="0.2">
      <c r="G2898" s="368"/>
      <c r="H2898" s="368"/>
      <c r="I2898" s="368"/>
      <c r="J2898" s="368"/>
    </row>
    <row r="2899" spans="7:10" x14ac:dyDescent="0.2">
      <c r="G2899" s="368"/>
      <c r="H2899" s="368"/>
      <c r="I2899" s="368"/>
      <c r="J2899" s="368"/>
    </row>
    <row r="2900" spans="7:10" x14ac:dyDescent="0.2">
      <c r="G2900" s="368"/>
      <c r="H2900" s="368"/>
      <c r="I2900" s="368"/>
      <c r="J2900" s="368"/>
    </row>
    <row r="2901" spans="7:10" x14ac:dyDescent="0.2">
      <c r="G2901" s="368"/>
      <c r="H2901" s="368"/>
      <c r="I2901" s="368"/>
      <c r="J2901" s="368"/>
    </row>
    <row r="2902" spans="7:10" x14ac:dyDescent="0.2">
      <c r="G2902" s="368"/>
      <c r="H2902" s="368"/>
      <c r="I2902" s="368"/>
      <c r="J2902" s="368"/>
    </row>
    <row r="2903" spans="7:10" x14ac:dyDescent="0.2">
      <c r="G2903" s="368"/>
      <c r="H2903" s="368"/>
      <c r="I2903" s="368"/>
      <c r="J2903" s="368"/>
    </row>
    <row r="2904" spans="7:10" x14ac:dyDescent="0.2">
      <c r="G2904" s="368"/>
      <c r="H2904" s="368"/>
      <c r="I2904" s="368"/>
      <c r="J2904" s="368"/>
    </row>
    <row r="2905" spans="7:10" x14ac:dyDescent="0.2">
      <c r="G2905" s="368"/>
      <c r="H2905" s="368"/>
      <c r="I2905" s="368"/>
      <c r="J2905" s="368"/>
    </row>
    <row r="2906" spans="7:10" x14ac:dyDescent="0.2">
      <c r="G2906" s="368"/>
      <c r="H2906" s="368"/>
      <c r="I2906" s="368"/>
      <c r="J2906" s="368"/>
    </row>
    <row r="2907" spans="7:10" x14ac:dyDescent="0.2">
      <c r="G2907" s="368"/>
      <c r="H2907" s="368"/>
      <c r="I2907" s="368"/>
      <c r="J2907" s="368"/>
    </row>
    <row r="2908" spans="7:10" x14ac:dyDescent="0.2">
      <c r="G2908" s="368"/>
      <c r="H2908" s="368"/>
      <c r="I2908" s="368"/>
      <c r="J2908" s="368"/>
    </row>
    <row r="2909" spans="7:10" x14ac:dyDescent="0.2">
      <c r="G2909" s="368"/>
      <c r="H2909" s="368"/>
      <c r="I2909" s="368"/>
      <c r="J2909" s="368"/>
    </row>
    <row r="2910" spans="7:10" x14ac:dyDescent="0.2">
      <c r="G2910" s="368"/>
      <c r="H2910" s="368"/>
      <c r="I2910" s="368"/>
      <c r="J2910" s="368"/>
    </row>
    <row r="2911" spans="7:10" x14ac:dyDescent="0.2">
      <c r="G2911" s="368"/>
      <c r="H2911" s="368"/>
      <c r="I2911" s="368"/>
      <c r="J2911" s="368"/>
    </row>
    <row r="2912" spans="7:10" x14ac:dyDescent="0.2">
      <c r="G2912" s="368"/>
      <c r="H2912" s="368"/>
      <c r="I2912" s="368"/>
      <c r="J2912" s="368"/>
    </row>
    <row r="2913" spans="7:10" x14ac:dyDescent="0.2">
      <c r="G2913" s="368"/>
      <c r="H2913" s="368"/>
      <c r="I2913" s="368"/>
      <c r="J2913" s="368"/>
    </row>
    <row r="2914" spans="7:10" x14ac:dyDescent="0.2">
      <c r="G2914" s="368"/>
      <c r="H2914" s="368"/>
      <c r="I2914" s="368"/>
      <c r="J2914" s="368"/>
    </row>
    <row r="2915" spans="7:10" x14ac:dyDescent="0.2">
      <c r="G2915" s="368"/>
      <c r="H2915" s="368"/>
      <c r="I2915" s="368"/>
      <c r="J2915" s="368"/>
    </row>
    <row r="2916" spans="7:10" x14ac:dyDescent="0.2">
      <c r="G2916" s="368"/>
      <c r="H2916" s="368"/>
      <c r="I2916" s="368"/>
      <c r="J2916" s="368"/>
    </row>
    <row r="2917" spans="7:10" x14ac:dyDescent="0.2">
      <c r="G2917" s="368"/>
      <c r="H2917" s="368"/>
      <c r="I2917" s="368"/>
      <c r="J2917" s="368"/>
    </row>
    <row r="2918" spans="7:10" x14ac:dyDescent="0.2">
      <c r="G2918" s="368"/>
      <c r="H2918" s="368"/>
      <c r="I2918" s="368"/>
      <c r="J2918" s="368"/>
    </row>
    <row r="2919" spans="7:10" x14ac:dyDescent="0.2">
      <c r="G2919" s="368"/>
      <c r="H2919" s="368"/>
      <c r="I2919" s="368"/>
      <c r="J2919" s="368"/>
    </row>
    <row r="2920" spans="7:10" x14ac:dyDescent="0.2">
      <c r="G2920" s="368"/>
      <c r="H2920" s="368"/>
      <c r="I2920" s="368"/>
      <c r="J2920" s="368"/>
    </row>
    <row r="2921" spans="7:10" x14ac:dyDescent="0.2">
      <c r="G2921" s="368"/>
      <c r="H2921" s="368"/>
      <c r="I2921" s="368"/>
      <c r="J2921" s="368"/>
    </row>
    <row r="2922" spans="7:10" x14ac:dyDescent="0.2">
      <c r="G2922" s="368"/>
      <c r="H2922" s="368"/>
      <c r="I2922" s="368"/>
      <c r="J2922" s="368"/>
    </row>
    <row r="2923" spans="7:10" x14ac:dyDescent="0.2">
      <c r="G2923" s="368"/>
      <c r="H2923" s="368"/>
      <c r="I2923" s="368"/>
      <c r="J2923" s="368"/>
    </row>
    <row r="2924" spans="7:10" x14ac:dyDescent="0.2">
      <c r="G2924" s="368"/>
      <c r="H2924" s="368"/>
      <c r="I2924" s="368"/>
      <c r="J2924" s="368"/>
    </row>
    <row r="2925" spans="7:10" x14ac:dyDescent="0.2">
      <c r="G2925" s="368"/>
      <c r="H2925" s="368"/>
      <c r="I2925" s="368"/>
      <c r="J2925" s="368"/>
    </row>
    <row r="2926" spans="7:10" x14ac:dyDescent="0.2">
      <c r="G2926" s="368"/>
      <c r="H2926" s="368"/>
      <c r="I2926" s="368"/>
      <c r="J2926" s="368"/>
    </row>
    <row r="2927" spans="7:10" x14ac:dyDescent="0.2">
      <c r="G2927" s="368"/>
      <c r="H2927" s="368"/>
      <c r="I2927" s="368"/>
      <c r="J2927" s="368"/>
    </row>
    <row r="2928" spans="7:10" x14ac:dyDescent="0.2">
      <c r="G2928" s="368"/>
      <c r="H2928" s="368"/>
      <c r="I2928" s="368"/>
      <c r="J2928" s="368"/>
    </row>
    <row r="2929" spans="7:10" x14ac:dyDescent="0.2">
      <c r="G2929" s="368"/>
      <c r="H2929" s="368"/>
      <c r="I2929" s="368"/>
      <c r="J2929" s="368"/>
    </row>
    <row r="2930" spans="7:10" x14ac:dyDescent="0.2">
      <c r="G2930" s="368"/>
      <c r="H2930" s="368"/>
      <c r="I2930" s="368"/>
      <c r="J2930" s="368"/>
    </row>
    <row r="2931" spans="7:10" x14ac:dyDescent="0.2">
      <c r="G2931" s="368"/>
      <c r="H2931" s="368"/>
      <c r="I2931" s="368"/>
      <c r="J2931" s="368"/>
    </row>
    <row r="2932" spans="7:10" x14ac:dyDescent="0.2">
      <c r="G2932" s="368"/>
      <c r="H2932" s="368"/>
      <c r="I2932" s="368"/>
      <c r="J2932" s="368"/>
    </row>
    <row r="2933" spans="7:10" x14ac:dyDescent="0.2">
      <c r="G2933" s="368"/>
      <c r="H2933" s="368"/>
      <c r="I2933" s="368"/>
      <c r="J2933" s="368"/>
    </row>
    <row r="2934" spans="7:10" x14ac:dyDescent="0.2">
      <c r="G2934" s="368"/>
      <c r="H2934" s="368"/>
      <c r="I2934" s="368"/>
      <c r="J2934" s="368"/>
    </row>
    <row r="2935" spans="7:10" x14ac:dyDescent="0.2">
      <c r="G2935" s="368"/>
      <c r="H2935" s="368"/>
      <c r="I2935" s="368"/>
      <c r="J2935" s="368"/>
    </row>
    <row r="2936" spans="7:10" x14ac:dyDescent="0.2">
      <c r="G2936" s="368"/>
      <c r="H2936" s="368"/>
      <c r="I2936" s="368"/>
      <c r="J2936" s="368"/>
    </row>
    <row r="2937" spans="7:10" x14ac:dyDescent="0.2">
      <c r="G2937" s="368"/>
      <c r="H2937" s="368"/>
      <c r="I2937" s="368"/>
      <c r="J2937" s="368"/>
    </row>
    <row r="2938" spans="7:10" x14ac:dyDescent="0.2">
      <c r="G2938" s="368"/>
      <c r="H2938" s="368"/>
      <c r="I2938" s="368"/>
      <c r="J2938" s="368"/>
    </row>
    <row r="2939" spans="7:10" x14ac:dyDescent="0.2">
      <c r="G2939" s="368"/>
      <c r="H2939" s="368"/>
      <c r="I2939" s="368"/>
      <c r="J2939" s="368"/>
    </row>
    <row r="2940" spans="7:10" x14ac:dyDescent="0.2">
      <c r="G2940" s="368"/>
      <c r="H2940" s="368"/>
      <c r="I2940" s="368"/>
      <c r="J2940" s="368"/>
    </row>
    <row r="2941" spans="7:10" x14ac:dyDescent="0.2">
      <c r="G2941" s="368"/>
      <c r="H2941" s="368"/>
      <c r="I2941" s="368"/>
      <c r="J2941" s="368"/>
    </row>
    <row r="2942" spans="7:10" x14ac:dyDescent="0.2">
      <c r="G2942" s="368"/>
      <c r="H2942" s="368"/>
      <c r="I2942" s="368"/>
      <c r="J2942" s="368"/>
    </row>
    <row r="2943" spans="7:10" x14ac:dyDescent="0.2">
      <c r="G2943" s="368"/>
      <c r="H2943" s="368"/>
      <c r="I2943" s="368"/>
      <c r="J2943" s="368"/>
    </row>
    <row r="2944" spans="7:10" x14ac:dyDescent="0.2">
      <c r="G2944" s="368"/>
      <c r="H2944" s="368"/>
      <c r="I2944" s="368"/>
      <c r="J2944" s="368"/>
    </row>
    <row r="2945" spans="7:10" x14ac:dyDescent="0.2">
      <c r="G2945" s="368"/>
      <c r="H2945" s="368"/>
      <c r="I2945" s="368"/>
      <c r="J2945" s="368"/>
    </row>
    <row r="2946" spans="7:10" x14ac:dyDescent="0.2">
      <c r="G2946" s="368"/>
      <c r="H2946" s="368"/>
      <c r="I2946" s="368"/>
      <c r="J2946" s="368"/>
    </row>
    <row r="2947" spans="7:10" x14ac:dyDescent="0.2">
      <c r="G2947" s="368"/>
      <c r="H2947" s="368"/>
      <c r="I2947" s="368"/>
      <c r="J2947" s="368"/>
    </row>
    <row r="2948" spans="7:10" x14ac:dyDescent="0.2">
      <c r="G2948" s="368"/>
      <c r="H2948" s="368"/>
      <c r="I2948" s="368"/>
      <c r="J2948" s="368"/>
    </row>
    <row r="2949" spans="7:10" x14ac:dyDescent="0.2">
      <c r="G2949" s="368"/>
      <c r="H2949" s="368"/>
      <c r="I2949" s="368"/>
      <c r="J2949" s="368"/>
    </row>
    <row r="2950" spans="7:10" x14ac:dyDescent="0.2">
      <c r="G2950" s="368"/>
      <c r="H2950" s="368"/>
      <c r="I2950" s="368"/>
      <c r="J2950" s="368"/>
    </row>
    <row r="2951" spans="7:10" x14ac:dyDescent="0.2">
      <c r="G2951" s="368"/>
      <c r="H2951" s="368"/>
      <c r="I2951" s="368"/>
      <c r="J2951" s="368"/>
    </row>
    <row r="2952" spans="7:10" x14ac:dyDescent="0.2">
      <c r="G2952" s="368"/>
      <c r="H2952" s="368"/>
      <c r="I2952" s="368"/>
      <c r="J2952" s="368"/>
    </row>
    <row r="2953" spans="7:10" x14ac:dyDescent="0.2">
      <c r="G2953" s="368"/>
      <c r="H2953" s="368"/>
      <c r="I2953" s="368"/>
      <c r="J2953" s="368"/>
    </row>
    <row r="2954" spans="7:10" x14ac:dyDescent="0.2">
      <c r="G2954" s="368"/>
      <c r="H2954" s="368"/>
      <c r="I2954" s="368"/>
      <c r="J2954" s="368"/>
    </row>
    <row r="2955" spans="7:10" x14ac:dyDescent="0.2">
      <c r="G2955" s="368"/>
      <c r="H2955" s="368"/>
      <c r="I2955" s="368"/>
      <c r="J2955" s="368"/>
    </row>
    <row r="2956" spans="7:10" x14ac:dyDescent="0.2">
      <c r="G2956" s="368"/>
      <c r="H2956" s="368"/>
      <c r="I2956" s="368"/>
      <c r="J2956" s="368"/>
    </row>
    <row r="2957" spans="7:10" x14ac:dyDescent="0.2">
      <c r="G2957" s="368"/>
      <c r="H2957" s="368"/>
      <c r="I2957" s="368"/>
      <c r="J2957" s="368"/>
    </row>
    <row r="2958" spans="7:10" x14ac:dyDescent="0.2">
      <c r="G2958" s="368"/>
      <c r="H2958" s="368"/>
      <c r="I2958" s="368"/>
      <c r="J2958" s="368"/>
    </row>
    <row r="2959" spans="7:10" x14ac:dyDescent="0.2">
      <c r="G2959" s="368"/>
      <c r="H2959" s="368"/>
      <c r="I2959" s="368"/>
      <c r="J2959" s="368"/>
    </row>
    <row r="2960" spans="7:10" x14ac:dyDescent="0.2">
      <c r="G2960" s="368"/>
      <c r="H2960" s="368"/>
      <c r="I2960" s="368"/>
      <c r="J2960" s="368"/>
    </row>
    <row r="2961" spans="7:10" x14ac:dyDescent="0.2">
      <c r="G2961" s="368"/>
      <c r="H2961" s="368"/>
      <c r="I2961" s="368"/>
      <c r="J2961" s="368"/>
    </row>
    <row r="2962" spans="7:10" x14ac:dyDescent="0.2">
      <c r="G2962" s="368"/>
      <c r="H2962" s="368"/>
      <c r="I2962" s="368"/>
      <c r="J2962" s="368"/>
    </row>
    <row r="2963" spans="7:10" x14ac:dyDescent="0.2">
      <c r="G2963" s="368"/>
      <c r="H2963" s="368"/>
      <c r="I2963" s="368"/>
      <c r="J2963" s="368"/>
    </row>
    <row r="2964" spans="7:10" x14ac:dyDescent="0.2">
      <c r="G2964" s="368"/>
      <c r="H2964" s="368"/>
      <c r="I2964" s="368"/>
      <c r="J2964" s="368"/>
    </row>
    <row r="2965" spans="7:10" x14ac:dyDescent="0.2">
      <c r="G2965" s="368"/>
      <c r="H2965" s="368"/>
      <c r="I2965" s="368"/>
      <c r="J2965" s="368"/>
    </row>
    <row r="2966" spans="7:10" x14ac:dyDescent="0.2">
      <c r="G2966" s="368"/>
      <c r="H2966" s="368"/>
      <c r="I2966" s="368"/>
      <c r="J2966" s="368"/>
    </row>
    <row r="2967" spans="7:10" x14ac:dyDescent="0.2">
      <c r="G2967" s="368"/>
      <c r="H2967" s="368"/>
      <c r="I2967" s="368"/>
      <c r="J2967" s="368"/>
    </row>
    <row r="2968" spans="7:10" x14ac:dyDescent="0.2">
      <c r="G2968" s="368"/>
      <c r="H2968" s="368"/>
      <c r="I2968" s="368"/>
      <c r="J2968" s="368"/>
    </row>
    <row r="2969" spans="7:10" x14ac:dyDescent="0.2">
      <c r="G2969" s="368"/>
      <c r="H2969" s="368"/>
      <c r="I2969" s="368"/>
      <c r="J2969" s="368"/>
    </row>
    <row r="2970" spans="7:10" x14ac:dyDescent="0.2">
      <c r="G2970" s="368"/>
      <c r="H2970" s="368"/>
      <c r="I2970" s="368"/>
      <c r="J2970" s="368"/>
    </row>
    <row r="2971" spans="7:10" x14ac:dyDescent="0.2">
      <c r="G2971" s="368"/>
      <c r="H2971" s="368"/>
      <c r="I2971" s="368"/>
      <c r="J2971" s="368"/>
    </row>
    <row r="2972" spans="7:10" x14ac:dyDescent="0.2">
      <c r="G2972" s="368"/>
      <c r="H2972" s="368"/>
      <c r="I2972" s="368"/>
      <c r="J2972" s="368"/>
    </row>
    <row r="2973" spans="7:10" x14ac:dyDescent="0.2">
      <c r="G2973" s="368"/>
      <c r="H2973" s="368"/>
      <c r="I2973" s="368"/>
      <c r="J2973" s="368"/>
    </row>
    <row r="2974" spans="7:10" x14ac:dyDescent="0.2">
      <c r="G2974" s="368"/>
      <c r="H2974" s="368"/>
      <c r="I2974" s="368"/>
      <c r="J2974" s="368"/>
    </row>
    <row r="2975" spans="7:10" x14ac:dyDescent="0.2">
      <c r="G2975" s="368"/>
      <c r="H2975" s="368"/>
      <c r="I2975" s="368"/>
      <c r="J2975" s="368"/>
    </row>
    <row r="2976" spans="7:10" x14ac:dyDescent="0.2">
      <c r="G2976" s="368"/>
      <c r="H2976" s="368"/>
      <c r="I2976" s="368"/>
      <c r="J2976" s="368"/>
    </row>
    <row r="2977" spans="7:10" x14ac:dyDescent="0.2">
      <c r="G2977" s="368"/>
      <c r="H2977" s="368"/>
      <c r="I2977" s="368"/>
      <c r="J2977" s="368"/>
    </row>
    <row r="2978" spans="7:10" x14ac:dyDescent="0.2">
      <c r="G2978" s="368"/>
      <c r="H2978" s="368"/>
      <c r="I2978" s="368"/>
      <c r="J2978" s="368"/>
    </row>
    <row r="2979" spans="7:10" x14ac:dyDescent="0.2">
      <c r="G2979" s="368"/>
      <c r="H2979" s="368"/>
      <c r="I2979" s="368"/>
      <c r="J2979" s="368"/>
    </row>
    <row r="2980" spans="7:10" x14ac:dyDescent="0.2">
      <c r="G2980" s="368"/>
      <c r="H2980" s="368"/>
      <c r="I2980" s="368"/>
      <c r="J2980" s="368"/>
    </row>
    <row r="2981" spans="7:10" x14ac:dyDescent="0.2">
      <c r="G2981" s="368"/>
      <c r="H2981" s="368"/>
      <c r="I2981" s="368"/>
      <c r="J2981" s="368"/>
    </row>
    <row r="2982" spans="7:10" x14ac:dyDescent="0.2">
      <c r="G2982" s="368"/>
      <c r="H2982" s="368"/>
      <c r="I2982" s="368"/>
      <c r="J2982" s="368"/>
    </row>
    <row r="2983" spans="7:10" x14ac:dyDescent="0.2">
      <c r="G2983" s="368"/>
      <c r="H2983" s="368"/>
      <c r="I2983" s="368"/>
      <c r="J2983" s="368"/>
    </row>
    <row r="2984" spans="7:10" x14ac:dyDescent="0.2">
      <c r="G2984" s="368"/>
      <c r="H2984" s="368"/>
      <c r="I2984" s="368"/>
      <c r="J2984" s="368"/>
    </row>
    <row r="2985" spans="7:10" x14ac:dyDescent="0.2">
      <c r="G2985" s="368"/>
      <c r="H2985" s="368"/>
      <c r="I2985" s="368"/>
      <c r="J2985" s="368"/>
    </row>
    <row r="2986" spans="7:10" x14ac:dyDescent="0.2">
      <c r="G2986" s="368"/>
      <c r="H2986" s="368"/>
      <c r="I2986" s="368"/>
      <c r="J2986" s="368"/>
    </row>
    <row r="2987" spans="7:10" x14ac:dyDescent="0.2">
      <c r="G2987" s="368"/>
      <c r="H2987" s="368"/>
      <c r="I2987" s="368"/>
      <c r="J2987" s="368"/>
    </row>
    <row r="2988" spans="7:10" x14ac:dyDescent="0.2">
      <c r="G2988" s="368"/>
      <c r="H2988" s="368"/>
      <c r="I2988" s="368"/>
      <c r="J2988" s="368"/>
    </row>
    <row r="2989" spans="7:10" x14ac:dyDescent="0.2">
      <c r="G2989" s="368"/>
      <c r="H2989" s="368"/>
      <c r="I2989" s="368"/>
      <c r="J2989" s="368"/>
    </row>
    <row r="2990" spans="7:10" x14ac:dyDescent="0.2">
      <c r="G2990" s="368"/>
      <c r="H2990" s="368"/>
      <c r="I2990" s="368"/>
      <c r="J2990" s="368"/>
    </row>
    <row r="2991" spans="7:10" x14ac:dyDescent="0.2">
      <c r="G2991" s="368"/>
      <c r="H2991" s="368"/>
      <c r="I2991" s="368"/>
      <c r="J2991" s="368"/>
    </row>
    <row r="2992" spans="7:10" x14ac:dyDescent="0.2">
      <c r="G2992" s="368"/>
      <c r="H2992" s="368"/>
      <c r="I2992" s="368"/>
      <c r="J2992" s="368"/>
    </row>
    <row r="2993" spans="7:10" x14ac:dyDescent="0.2">
      <c r="G2993" s="368"/>
      <c r="H2993" s="368"/>
      <c r="I2993" s="368"/>
      <c r="J2993" s="368"/>
    </row>
    <row r="2994" spans="7:10" x14ac:dyDescent="0.2">
      <c r="G2994" s="368"/>
      <c r="H2994" s="368"/>
      <c r="I2994" s="368"/>
      <c r="J2994" s="368"/>
    </row>
    <row r="2995" spans="7:10" x14ac:dyDescent="0.2">
      <c r="G2995" s="368"/>
      <c r="H2995" s="368"/>
      <c r="I2995" s="368"/>
      <c r="J2995" s="368"/>
    </row>
    <row r="2996" spans="7:10" x14ac:dyDescent="0.2">
      <c r="G2996" s="368"/>
      <c r="H2996" s="368"/>
      <c r="I2996" s="368"/>
      <c r="J2996" s="368"/>
    </row>
    <row r="2997" spans="7:10" x14ac:dyDescent="0.2">
      <c r="G2997" s="368"/>
      <c r="H2997" s="368"/>
      <c r="I2997" s="368"/>
      <c r="J2997" s="368"/>
    </row>
    <row r="2998" spans="7:10" x14ac:dyDescent="0.2">
      <c r="G2998" s="368"/>
      <c r="H2998" s="368"/>
      <c r="I2998" s="368"/>
      <c r="J2998" s="368"/>
    </row>
    <row r="2999" spans="7:10" x14ac:dyDescent="0.2">
      <c r="G2999" s="368"/>
      <c r="H2999" s="368"/>
      <c r="I2999" s="368"/>
      <c r="J2999" s="368"/>
    </row>
    <row r="3000" spans="7:10" x14ac:dyDescent="0.2">
      <c r="G3000" s="368"/>
      <c r="H3000" s="368"/>
      <c r="I3000" s="368"/>
      <c r="J3000" s="368"/>
    </row>
    <row r="3001" spans="7:10" x14ac:dyDescent="0.2">
      <c r="G3001" s="368"/>
      <c r="H3001" s="368"/>
      <c r="I3001" s="368"/>
      <c r="J3001" s="368"/>
    </row>
    <row r="3002" spans="7:10" x14ac:dyDescent="0.2">
      <c r="G3002" s="368"/>
      <c r="H3002" s="368"/>
      <c r="I3002" s="368"/>
      <c r="J3002" s="368"/>
    </row>
    <row r="3003" spans="7:10" x14ac:dyDescent="0.2">
      <c r="G3003" s="368"/>
      <c r="H3003" s="368"/>
      <c r="I3003" s="368"/>
      <c r="J3003" s="368"/>
    </row>
    <row r="3004" spans="7:10" x14ac:dyDescent="0.2">
      <c r="G3004" s="368"/>
      <c r="H3004" s="368"/>
      <c r="I3004" s="368"/>
      <c r="J3004" s="368"/>
    </row>
    <row r="3005" spans="7:10" x14ac:dyDescent="0.2">
      <c r="G3005" s="368"/>
      <c r="H3005" s="368"/>
      <c r="I3005" s="368"/>
      <c r="J3005" s="368"/>
    </row>
    <row r="3006" spans="7:10" x14ac:dyDescent="0.2">
      <c r="G3006" s="368"/>
      <c r="H3006" s="368"/>
      <c r="I3006" s="368"/>
      <c r="J3006" s="368"/>
    </row>
    <row r="3007" spans="7:10" x14ac:dyDescent="0.2">
      <c r="G3007" s="368"/>
      <c r="H3007" s="368"/>
      <c r="I3007" s="368"/>
      <c r="J3007" s="368"/>
    </row>
    <row r="3008" spans="7:10" x14ac:dyDescent="0.2">
      <c r="G3008" s="368"/>
      <c r="H3008" s="368"/>
      <c r="I3008" s="368"/>
      <c r="J3008" s="368"/>
    </row>
    <row r="3009" spans="7:10" x14ac:dyDescent="0.2">
      <c r="G3009" s="368"/>
      <c r="H3009" s="368"/>
      <c r="I3009" s="368"/>
      <c r="J3009" s="368"/>
    </row>
    <row r="3010" spans="7:10" x14ac:dyDescent="0.2">
      <c r="G3010" s="368"/>
      <c r="H3010" s="368"/>
      <c r="I3010" s="368"/>
      <c r="J3010" s="368"/>
    </row>
    <row r="3011" spans="7:10" x14ac:dyDescent="0.2">
      <c r="G3011" s="368"/>
      <c r="H3011" s="368"/>
      <c r="I3011" s="368"/>
      <c r="J3011" s="368"/>
    </row>
    <row r="3012" spans="7:10" x14ac:dyDescent="0.2">
      <c r="G3012" s="368"/>
      <c r="H3012" s="368"/>
      <c r="I3012" s="368"/>
      <c r="J3012" s="368"/>
    </row>
    <row r="3013" spans="7:10" x14ac:dyDescent="0.2">
      <c r="G3013" s="368"/>
      <c r="H3013" s="368"/>
      <c r="I3013" s="368"/>
      <c r="J3013" s="368"/>
    </row>
    <row r="3014" spans="7:10" x14ac:dyDescent="0.2">
      <c r="G3014" s="368"/>
      <c r="H3014" s="368"/>
      <c r="I3014" s="368"/>
      <c r="J3014" s="368"/>
    </row>
    <row r="3015" spans="7:10" x14ac:dyDescent="0.2">
      <c r="G3015" s="368"/>
      <c r="H3015" s="368"/>
      <c r="I3015" s="368"/>
      <c r="J3015" s="368"/>
    </row>
    <row r="3016" spans="7:10" x14ac:dyDescent="0.2">
      <c r="G3016" s="368"/>
      <c r="H3016" s="368"/>
      <c r="I3016" s="368"/>
      <c r="J3016" s="368"/>
    </row>
    <row r="3017" spans="7:10" x14ac:dyDescent="0.2">
      <c r="G3017" s="368"/>
      <c r="H3017" s="368"/>
      <c r="I3017" s="368"/>
      <c r="J3017" s="368"/>
    </row>
    <row r="3018" spans="7:10" x14ac:dyDescent="0.2">
      <c r="G3018" s="368"/>
      <c r="H3018" s="368"/>
      <c r="I3018" s="368"/>
      <c r="J3018" s="368"/>
    </row>
    <row r="3019" spans="7:10" x14ac:dyDescent="0.2">
      <c r="G3019" s="368"/>
      <c r="H3019" s="368"/>
      <c r="I3019" s="368"/>
      <c r="J3019" s="368"/>
    </row>
    <row r="3020" spans="7:10" x14ac:dyDescent="0.2">
      <c r="G3020" s="368"/>
      <c r="H3020" s="368"/>
      <c r="I3020" s="368"/>
      <c r="J3020" s="368"/>
    </row>
    <row r="3021" spans="7:10" x14ac:dyDescent="0.2">
      <c r="G3021" s="368"/>
      <c r="H3021" s="368"/>
      <c r="I3021" s="368"/>
      <c r="J3021" s="368"/>
    </row>
    <row r="3022" spans="7:10" x14ac:dyDescent="0.2">
      <c r="G3022" s="368"/>
      <c r="H3022" s="368"/>
      <c r="I3022" s="368"/>
      <c r="J3022" s="368"/>
    </row>
    <row r="3023" spans="7:10" x14ac:dyDescent="0.2">
      <c r="G3023" s="368"/>
      <c r="H3023" s="368"/>
      <c r="I3023" s="368"/>
      <c r="J3023" s="368"/>
    </row>
    <row r="3024" spans="7:10" x14ac:dyDescent="0.2">
      <c r="G3024" s="368"/>
      <c r="H3024" s="368"/>
      <c r="I3024" s="368"/>
      <c r="J3024" s="368"/>
    </row>
    <row r="3025" spans="7:10" x14ac:dyDescent="0.2">
      <c r="G3025" s="368"/>
      <c r="H3025" s="368"/>
      <c r="I3025" s="368"/>
      <c r="J3025" s="368"/>
    </row>
    <row r="3026" spans="7:10" x14ac:dyDescent="0.2">
      <c r="G3026" s="368"/>
      <c r="H3026" s="368"/>
      <c r="I3026" s="368"/>
      <c r="J3026" s="368"/>
    </row>
    <row r="3027" spans="7:10" x14ac:dyDescent="0.2">
      <c r="G3027" s="368"/>
      <c r="H3027" s="368"/>
      <c r="I3027" s="368"/>
      <c r="J3027" s="368"/>
    </row>
    <row r="3028" spans="7:10" x14ac:dyDescent="0.2">
      <c r="G3028" s="368"/>
      <c r="H3028" s="368"/>
      <c r="I3028" s="368"/>
      <c r="J3028" s="368"/>
    </row>
    <row r="3029" spans="7:10" x14ac:dyDescent="0.2">
      <c r="G3029" s="368"/>
      <c r="H3029" s="368"/>
      <c r="I3029" s="368"/>
      <c r="J3029" s="368"/>
    </row>
    <row r="3030" spans="7:10" x14ac:dyDescent="0.2">
      <c r="G3030" s="368"/>
      <c r="H3030" s="368"/>
      <c r="I3030" s="368"/>
      <c r="J3030" s="368"/>
    </row>
    <row r="3031" spans="7:10" x14ac:dyDescent="0.2">
      <c r="G3031" s="368"/>
      <c r="H3031" s="368"/>
      <c r="I3031" s="368"/>
      <c r="J3031" s="368"/>
    </row>
    <row r="3032" spans="7:10" x14ac:dyDescent="0.2">
      <c r="G3032" s="368"/>
      <c r="H3032" s="368"/>
      <c r="I3032" s="368"/>
      <c r="J3032" s="368"/>
    </row>
    <row r="3033" spans="7:10" x14ac:dyDescent="0.2">
      <c r="G3033" s="368"/>
      <c r="H3033" s="368"/>
      <c r="I3033" s="368"/>
      <c r="J3033" s="368"/>
    </row>
    <row r="3034" spans="7:10" x14ac:dyDescent="0.2">
      <c r="G3034" s="368"/>
      <c r="H3034" s="368"/>
      <c r="I3034" s="368"/>
      <c r="J3034" s="368"/>
    </row>
    <row r="3035" spans="7:10" x14ac:dyDescent="0.2">
      <c r="G3035" s="368"/>
      <c r="H3035" s="368"/>
      <c r="I3035" s="368"/>
      <c r="J3035" s="368"/>
    </row>
    <row r="3036" spans="7:10" x14ac:dyDescent="0.2">
      <c r="G3036" s="368"/>
      <c r="H3036" s="368"/>
      <c r="I3036" s="368"/>
      <c r="J3036" s="368"/>
    </row>
    <row r="3037" spans="7:10" x14ac:dyDescent="0.2">
      <c r="G3037" s="368"/>
      <c r="H3037" s="368"/>
      <c r="I3037" s="368"/>
      <c r="J3037" s="368"/>
    </row>
    <row r="3038" spans="7:10" x14ac:dyDescent="0.2">
      <c r="G3038" s="368"/>
      <c r="H3038" s="368"/>
      <c r="I3038" s="368"/>
      <c r="J3038" s="368"/>
    </row>
    <row r="3039" spans="7:10" x14ac:dyDescent="0.2">
      <c r="G3039" s="368"/>
      <c r="H3039" s="368"/>
      <c r="I3039" s="368"/>
      <c r="J3039" s="368"/>
    </row>
    <row r="3040" spans="7:10" x14ac:dyDescent="0.2">
      <c r="G3040" s="368"/>
      <c r="H3040" s="368"/>
      <c r="I3040" s="368"/>
      <c r="J3040" s="368"/>
    </row>
    <row r="3041" spans="7:10" x14ac:dyDescent="0.2">
      <c r="G3041" s="368"/>
      <c r="H3041" s="368"/>
      <c r="I3041" s="368"/>
      <c r="J3041" s="368"/>
    </row>
    <row r="3042" spans="7:10" x14ac:dyDescent="0.2">
      <c r="G3042" s="368"/>
      <c r="H3042" s="368"/>
      <c r="I3042" s="368"/>
      <c r="J3042" s="368"/>
    </row>
    <row r="3043" spans="7:10" x14ac:dyDescent="0.2">
      <c r="G3043" s="368"/>
      <c r="H3043" s="368"/>
      <c r="I3043" s="368"/>
      <c r="J3043" s="368"/>
    </row>
    <row r="3044" spans="7:10" x14ac:dyDescent="0.2">
      <c r="G3044" s="368"/>
      <c r="H3044" s="368"/>
      <c r="I3044" s="368"/>
      <c r="J3044" s="368"/>
    </row>
    <row r="3045" spans="7:10" x14ac:dyDescent="0.2">
      <c r="G3045" s="368"/>
      <c r="H3045" s="368"/>
      <c r="I3045" s="368"/>
      <c r="J3045" s="368"/>
    </row>
    <row r="3046" spans="7:10" x14ac:dyDescent="0.2">
      <c r="G3046" s="368"/>
      <c r="H3046" s="368"/>
      <c r="I3046" s="368"/>
      <c r="J3046" s="368"/>
    </row>
    <row r="3047" spans="7:10" x14ac:dyDescent="0.2">
      <c r="G3047" s="368"/>
      <c r="H3047" s="368"/>
      <c r="I3047" s="368"/>
      <c r="J3047" s="368"/>
    </row>
    <row r="3048" spans="7:10" x14ac:dyDescent="0.2">
      <c r="G3048" s="368"/>
      <c r="H3048" s="368"/>
      <c r="I3048" s="368"/>
      <c r="J3048" s="368"/>
    </row>
    <row r="3049" spans="7:10" x14ac:dyDescent="0.2">
      <c r="G3049" s="368"/>
      <c r="H3049" s="368"/>
      <c r="I3049" s="368"/>
      <c r="J3049" s="368"/>
    </row>
    <row r="3050" spans="7:10" x14ac:dyDescent="0.2">
      <c r="G3050" s="368"/>
      <c r="H3050" s="368"/>
      <c r="I3050" s="368"/>
      <c r="J3050" s="368"/>
    </row>
    <row r="3051" spans="7:10" x14ac:dyDescent="0.2">
      <c r="G3051" s="368"/>
      <c r="H3051" s="368"/>
      <c r="I3051" s="368"/>
      <c r="J3051" s="368"/>
    </row>
    <row r="3052" spans="7:10" x14ac:dyDescent="0.2">
      <c r="G3052" s="368"/>
      <c r="H3052" s="368"/>
      <c r="I3052" s="368"/>
      <c r="J3052" s="368"/>
    </row>
    <row r="3053" spans="7:10" x14ac:dyDescent="0.2">
      <c r="G3053" s="368"/>
      <c r="H3053" s="368"/>
      <c r="I3053" s="368"/>
      <c r="J3053" s="368"/>
    </row>
    <row r="3054" spans="7:10" x14ac:dyDescent="0.2">
      <c r="G3054" s="368"/>
      <c r="H3054" s="368"/>
      <c r="I3054" s="368"/>
      <c r="J3054" s="368"/>
    </row>
    <row r="3055" spans="7:10" x14ac:dyDescent="0.2">
      <c r="G3055" s="368"/>
      <c r="H3055" s="368"/>
      <c r="I3055" s="368"/>
      <c r="J3055" s="368"/>
    </row>
    <row r="3056" spans="7:10" x14ac:dyDescent="0.2">
      <c r="G3056" s="368"/>
      <c r="H3056" s="368"/>
      <c r="I3056" s="368"/>
      <c r="J3056" s="368"/>
    </row>
    <row r="3057" spans="7:10" x14ac:dyDescent="0.2">
      <c r="G3057" s="368"/>
      <c r="H3057" s="368"/>
      <c r="I3057" s="368"/>
      <c r="J3057" s="368"/>
    </row>
    <row r="3058" spans="7:10" x14ac:dyDescent="0.2">
      <c r="G3058" s="368"/>
      <c r="H3058" s="368"/>
      <c r="I3058" s="368"/>
      <c r="J3058" s="368"/>
    </row>
    <row r="3059" spans="7:10" x14ac:dyDescent="0.2">
      <c r="G3059" s="368"/>
      <c r="H3059" s="368"/>
      <c r="I3059" s="368"/>
      <c r="J3059" s="368"/>
    </row>
    <row r="3060" spans="7:10" x14ac:dyDescent="0.2">
      <c r="G3060" s="368"/>
      <c r="H3060" s="368"/>
      <c r="I3060" s="368"/>
      <c r="J3060" s="368"/>
    </row>
    <row r="3061" spans="7:10" x14ac:dyDescent="0.2">
      <c r="G3061" s="368"/>
      <c r="H3061" s="368"/>
      <c r="I3061" s="368"/>
      <c r="J3061" s="368"/>
    </row>
    <row r="3062" spans="7:10" x14ac:dyDescent="0.2">
      <c r="G3062" s="368"/>
      <c r="H3062" s="368"/>
      <c r="I3062" s="368"/>
      <c r="J3062" s="368"/>
    </row>
    <row r="3063" spans="7:10" x14ac:dyDescent="0.2">
      <c r="G3063" s="368"/>
      <c r="H3063" s="368"/>
      <c r="I3063" s="368"/>
      <c r="J3063" s="368"/>
    </row>
    <row r="3064" spans="7:10" x14ac:dyDescent="0.2">
      <c r="G3064" s="368"/>
      <c r="H3064" s="368"/>
      <c r="I3064" s="368"/>
      <c r="J3064" s="368"/>
    </row>
    <row r="3065" spans="7:10" x14ac:dyDescent="0.2">
      <c r="G3065" s="368"/>
      <c r="H3065" s="368"/>
      <c r="I3065" s="368"/>
      <c r="J3065" s="368"/>
    </row>
    <row r="3066" spans="7:10" x14ac:dyDescent="0.2">
      <c r="G3066" s="368"/>
      <c r="H3066" s="368"/>
      <c r="I3066" s="368"/>
      <c r="J3066" s="368"/>
    </row>
    <row r="3067" spans="7:10" x14ac:dyDescent="0.2">
      <c r="G3067" s="368"/>
      <c r="H3067" s="368"/>
      <c r="I3067" s="368"/>
      <c r="J3067" s="368"/>
    </row>
    <row r="3068" spans="7:10" x14ac:dyDescent="0.2">
      <c r="G3068" s="368"/>
      <c r="H3068" s="368"/>
      <c r="I3068" s="368"/>
      <c r="J3068" s="368"/>
    </row>
    <row r="3069" spans="7:10" x14ac:dyDescent="0.2">
      <c r="G3069" s="368"/>
      <c r="H3069" s="368"/>
      <c r="I3069" s="368"/>
      <c r="J3069" s="368"/>
    </row>
    <row r="3070" spans="7:10" x14ac:dyDescent="0.2">
      <c r="G3070" s="368"/>
      <c r="H3070" s="368"/>
      <c r="I3070" s="368"/>
      <c r="J3070" s="368"/>
    </row>
    <row r="3071" spans="7:10" x14ac:dyDescent="0.2">
      <c r="G3071" s="368"/>
      <c r="H3071" s="368"/>
      <c r="I3071" s="368"/>
      <c r="J3071" s="368"/>
    </row>
    <row r="3072" spans="7:10" x14ac:dyDescent="0.2">
      <c r="G3072" s="368"/>
      <c r="H3072" s="368"/>
      <c r="I3072" s="368"/>
      <c r="J3072" s="368"/>
    </row>
    <row r="3073" spans="7:10" x14ac:dyDescent="0.2">
      <c r="G3073" s="368"/>
      <c r="H3073" s="368"/>
      <c r="I3073" s="368"/>
      <c r="J3073" s="368"/>
    </row>
    <row r="3074" spans="7:10" x14ac:dyDescent="0.2">
      <c r="G3074" s="368"/>
      <c r="H3074" s="368"/>
      <c r="I3074" s="368"/>
      <c r="J3074" s="368"/>
    </row>
    <row r="3075" spans="7:10" x14ac:dyDescent="0.2">
      <c r="G3075" s="368"/>
      <c r="H3075" s="368"/>
      <c r="I3075" s="368"/>
      <c r="J3075" s="368"/>
    </row>
    <row r="3076" spans="7:10" x14ac:dyDescent="0.2">
      <c r="G3076" s="368"/>
      <c r="H3076" s="368"/>
      <c r="I3076" s="368"/>
      <c r="J3076" s="368"/>
    </row>
    <row r="3077" spans="7:10" x14ac:dyDescent="0.2">
      <c r="G3077" s="368"/>
      <c r="H3077" s="368"/>
      <c r="I3077" s="368"/>
      <c r="J3077" s="368"/>
    </row>
    <row r="3078" spans="7:10" x14ac:dyDescent="0.2">
      <c r="G3078" s="368"/>
      <c r="H3078" s="368"/>
      <c r="I3078" s="368"/>
      <c r="J3078" s="368"/>
    </row>
    <row r="3079" spans="7:10" x14ac:dyDescent="0.2">
      <c r="G3079" s="368"/>
      <c r="H3079" s="368"/>
      <c r="I3079" s="368"/>
      <c r="J3079" s="368"/>
    </row>
    <row r="3080" spans="7:10" x14ac:dyDescent="0.2">
      <c r="G3080" s="368"/>
      <c r="H3080" s="368"/>
      <c r="I3080" s="368"/>
      <c r="J3080" s="368"/>
    </row>
    <row r="3081" spans="7:10" x14ac:dyDescent="0.2">
      <c r="G3081" s="368"/>
      <c r="H3081" s="368"/>
      <c r="I3081" s="368"/>
      <c r="J3081" s="368"/>
    </row>
    <row r="3082" spans="7:10" x14ac:dyDescent="0.2">
      <c r="G3082" s="368"/>
      <c r="H3082" s="368"/>
      <c r="I3082" s="368"/>
      <c r="J3082" s="368"/>
    </row>
    <row r="3083" spans="7:10" x14ac:dyDescent="0.2">
      <c r="G3083" s="368"/>
      <c r="H3083" s="368"/>
      <c r="I3083" s="368"/>
      <c r="J3083" s="368"/>
    </row>
    <row r="3084" spans="7:10" x14ac:dyDescent="0.2">
      <c r="G3084" s="368"/>
      <c r="H3084" s="368"/>
      <c r="I3084" s="368"/>
      <c r="J3084" s="368"/>
    </row>
    <row r="3085" spans="7:10" x14ac:dyDescent="0.2">
      <c r="G3085" s="368"/>
      <c r="H3085" s="368"/>
      <c r="I3085" s="368"/>
      <c r="J3085" s="368"/>
    </row>
    <row r="3086" spans="7:10" x14ac:dyDescent="0.2">
      <c r="G3086" s="368"/>
      <c r="H3086" s="368"/>
      <c r="I3086" s="368"/>
      <c r="J3086" s="368"/>
    </row>
    <row r="3087" spans="7:10" x14ac:dyDescent="0.2">
      <c r="G3087" s="368"/>
      <c r="H3087" s="368"/>
      <c r="I3087" s="368"/>
      <c r="J3087" s="368"/>
    </row>
    <row r="3088" spans="7:10" x14ac:dyDescent="0.2">
      <c r="G3088" s="368"/>
      <c r="H3088" s="368"/>
      <c r="I3088" s="368"/>
      <c r="J3088" s="368"/>
    </row>
    <row r="3089" spans="7:10" x14ac:dyDescent="0.2">
      <c r="G3089" s="368"/>
      <c r="H3089" s="368"/>
      <c r="I3089" s="368"/>
      <c r="J3089" s="368"/>
    </row>
    <row r="3090" spans="7:10" x14ac:dyDescent="0.2">
      <c r="G3090" s="368"/>
      <c r="H3090" s="368"/>
      <c r="I3090" s="368"/>
      <c r="J3090" s="368"/>
    </row>
    <row r="3091" spans="7:10" x14ac:dyDescent="0.2">
      <c r="G3091" s="368"/>
      <c r="H3091" s="368"/>
      <c r="I3091" s="368"/>
      <c r="J3091" s="368"/>
    </row>
    <row r="3092" spans="7:10" x14ac:dyDescent="0.2">
      <c r="G3092" s="368"/>
      <c r="H3092" s="368"/>
      <c r="I3092" s="368"/>
      <c r="J3092" s="368"/>
    </row>
    <row r="3093" spans="7:10" x14ac:dyDescent="0.2">
      <c r="G3093" s="368"/>
      <c r="H3093" s="368"/>
      <c r="I3093" s="368"/>
      <c r="J3093" s="368"/>
    </row>
    <row r="3094" spans="7:10" x14ac:dyDescent="0.2">
      <c r="G3094" s="368"/>
      <c r="H3094" s="368"/>
      <c r="I3094" s="368"/>
      <c r="J3094" s="368"/>
    </row>
    <row r="3095" spans="7:10" x14ac:dyDescent="0.2">
      <c r="G3095" s="368"/>
      <c r="H3095" s="368"/>
      <c r="I3095" s="368"/>
      <c r="J3095" s="368"/>
    </row>
    <row r="3096" spans="7:10" x14ac:dyDescent="0.2">
      <c r="G3096" s="368"/>
      <c r="H3096" s="368"/>
      <c r="I3096" s="368"/>
      <c r="J3096" s="368"/>
    </row>
    <row r="3097" spans="7:10" x14ac:dyDescent="0.2">
      <c r="G3097" s="368"/>
      <c r="H3097" s="368"/>
      <c r="I3097" s="368"/>
      <c r="J3097" s="368"/>
    </row>
    <row r="3098" spans="7:10" x14ac:dyDescent="0.2">
      <c r="G3098" s="368"/>
      <c r="H3098" s="368"/>
      <c r="I3098" s="368"/>
      <c r="J3098" s="368"/>
    </row>
    <row r="3099" spans="7:10" x14ac:dyDescent="0.2">
      <c r="G3099" s="368"/>
      <c r="H3099" s="368"/>
      <c r="I3099" s="368"/>
      <c r="J3099" s="368"/>
    </row>
    <row r="3100" spans="7:10" x14ac:dyDescent="0.2">
      <c r="G3100" s="368"/>
      <c r="H3100" s="368"/>
      <c r="I3100" s="368"/>
      <c r="J3100" s="368"/>
    </row>
    <row r="3101" spans="7:10" x14ac:dyDescent="0.2">
      <c r="G3101" s="368"/>
      <c r="H3101" s="368"/>
      <c r="I3101" s="368"/>
      <c r="J3101" s="368"/>
    </row>
    <row r="3102" spans="7:10" x14ac:dyDescent="0.2">
      <c r="G3102" s="368"/>
      <c r="H3102" s="368"/>
      <c r="I3102" s="368"/>
      <c r="J3102" s="368"/>
    </row>
    <row r="3103" spans="7:10" x14ac:dyDescent="0.2">
      <c r="G3103" s="368"/>
      <c r="H3103" s="368"/>
      <c r="I3103" s="368"/>
      <c r="J3103" s="368"/>
    </row>
    <row r="3104" spans="7:10" x14ac:dyDescent="0.2">
      <c r="G3104" s="368"/>
      <c r="H3104" s="368"/>
      <c r="I3104" s="368"/>
      <c r="J3104" s="368"/>
    </row>
    <row r="3105" spans="7:10" x14ac:dyDescent="0.2">
      <c r="G3105" s="368"/>
      <c r="H3105" s="368"/>
      <c r="I3105" s="368"/>
      <c r="J3105" s="368"/>
    </row>
    <row r="3106" spans="7:10" x14ac:dyDescent="0.2">
      <c r="G3106" s="368"/>
      <c r="H3106" s="368"/>
      <c r="I3106" s="368"/>
      <c r="J3106" s="368"/>
    </row>
    <row r="3107" spans="7:10" x14ac:dyDescent="0.2">
      <c r="G3107" s="368"/>
      <c r="H3107" s="368"/>
      <c r="I3107" s="368"/>
      <c r="J3107" s="368"/>
    </row>
    <row r="3108" spans="7:10" x14ac:dyDescent="0.2">
      <c r="G3108" s="368"/>
      <c r="H3108" s="368"/>
      <c r="I3108" s="368"/>
      <c r="J3108" s="368"/>
    </row>
    <row r="3109" spans="7:10" x14ac:dyDescent="0.2">
      <c r="G3109" s="368"/>
      <c r="H3109" s="368"/>
      <c r="I3109" s="368"/>
      <c r="J3109" s="368"/>
    </row>
    <row r="3110" spans="7:10" x14ac:dyDescent="0.2">
      <c r="G3110" s="368"/>
      <c r="H3110" s="368"/>
      <c r="I3110" s="368"/>
      <c r="J3110" s="368"/>
    </row>
    <row r="3111" spans="7:10" x14ac:dyDescent="0.2">
      <c r="G3111" s="368"/>
      <c r="H3111" s="368"/>
      <c r="I3111" s="368"/>
      <c r="J3111" s="368"/>
    </row>
    <row r="3112" spans="7:10" x14ac:dyDescent="0.2">
      <c r="G3112" s="368"/>
      <c r="H3112" s="368"/>
      <c r="I3112" s="368"/>
      <c r="J3112" s="368"/>
    </row>
    <row r="3113" spans="7:10" x14ac:dyDescent="0.2">
      <c r="G3113" s="368"/>
      <c r="H3113" s="368"/>
      <c r="I3113" s="368"/>
      <c r="J3113" s="368"/>
    </row>
    <row r="3114" spans="7:10" x14ac:dyDescent="0.2">
      <c r="G3114" s="368"/>
      <c r="H3114" s="368"/>
      <c r="I3114" s="368"/>
      <c r="J3114" s="368"/>
    </row>
    <row r="3115" spans="7:10" x14ac:dyDescent="0.2">
      <c r="G3115" s="368"/>
      <c r="H3115" s="368"/>
      <c r="I3115" s="368"/>
      <c r="J3115" s="368"/>
    </row>
    <row r="3116" spans="7:10" x14ac:dyDescent="0.2">
      <c r="G3116" s="368"/>
      <c r="H3116" s="368"/>
      <c r="I3116" s="368"/>
      <c r="J3116" s="368"/>
    </row>
    <row r="3117" spans="7:10" x14ac:dyDescent="0.2">
      <c r="G3117" s="368"/>
      <c r="H3117" s="368"/>
      <c r="I3117" s="368"/>
      <c r="J3117" s="368"/>
    </row>
    <row r="3118" spans="7:10" x14ac:dyDescent="0.2">
      <c r="G3118" s="368"/>
      <c r="H3118" s="368"/>
      <c r="I3118" s="368"/>
      <c r="J3118" s="368"/>
    </row>
    <row r="3119" spans="7:10" x14ac:dyDescent="0.2">
      <c r="G3119" s="368"/>
      <c r="H3119" s="368"/>
      <c r="I3119" s="368"/>
      <c r="J3119" s="368"/>
    </row>
    <row r="3120" spans="7:10" x14ac:dyDescent="0.2">
      <c r="G3120" s="368"/>
      <c r="H3120" s="368"/>
      <c r="I3120" s="368"/>
      <c r="J3120" s="368"/>
    </row>
    <row r="3121" spans="7:10" x14ac:dyDescent="0.2">
      <c r="G3121" s="368"/>
      <c r="H3121" s="368"/>
      <c r="I3121" s="368"/>
      <c r="J3121" s="368"/>
    </row>
    <row r="3122" spans="7:10" x14ac:dyDescent="0.2">
      <c r="G3122" s="368"/>
      <c r="H3122" s="368"/>
      <c r="I3122" s="368"/>
      <c r="J3122" s="368"/>
    </row>
    <row r="3123" spans="7:10" x14ac:dyDescent="0.2">
      <c r="G3123" s="368"/>
      <c r="H3123" s="368"/>
      <c r="I3123" s="368"/>
      <c r="J3123" s="368"/>
    </row>
    <row r="3124" spans="7:10" x14ac:dyDescent="0.2">
      <c r="G3124" s="368"/>
      <c r="H3124" s="368"/>
      <c r="I3124" s="368"/>
      <c r="J3124" s="368"/>
    </row>
    <row r="3125" spans="7:10" x14ac:dyDescent="0.2">
      <c r="G3125" s="368"/>
      <c r="H3125" s="368"/>
      <c r="I3125" s="368"/>
      <c r="J3125" s="368"/>
    </row>
    <row r="3126" spans="7:10" x14ac:dyDescent="0.2">
      <c r="G3126" s="368"/>
      <c r="H3126" s="368"/>
      <c r="I3126" s="368"/>
      <c r="J3126" s="368"/>
    </row>
    <row r="3127" spans="7:10" x14ac:dyDescent="0.2">
      <c r="G3127" s="368"/>
      <c r="H3127" s="368"/>
      <c r="I3127" s="368"/>
      <c r="J3127" s="368"/>
    </row>
    <row r="3128" spans="7:10" x14ac:dyDescent="0.2">
      <c r="G3128" s="368"/>
      <c r="H3128" s="368"/>
      <c r="I3128" s="368"/>
      <c r="J3128" s="368"/>
    </row>
    <row r="3129" spans="7:10" x14ac:dyDescent="0.2">
      <c r="G3129" s="368"/>
      <c r="H3129" s="368"/>
      <c r="I3129" s="368"/>
      <c r="J3129" s="368"/>
    </row>
    <row r="3130" spans="7:10" x14ac:dyDescent="0.2">
      <c r="G3130" s="368"/>
      <c r="H3130" s="368"/>
      <c r="I3130" s="368"/>
      <c r="J3130" s="368"/>
    </row>
    <row r="3131" spans="7:10" x14ac:dyDescent="0.2">
      <c r="G3131" s="368"/>
      <c r="H3131" s="368"/>
      <c r="I3131" s="368"/>
      <c r="J3131" s="368"/>
    </row>
    <row r="3132" spans="7:10" x14ac:dyDescent="0.2">
      <c r="G3132" s="368"/>
      <c r="H3132" s="368"/>
      <c r="I3132" s="368"/>
      <c r="J3132" s="368"/>
    </row>
    <row r="3133" spans="7:10" x14ac:dyDescent="0.2">
      <c r="G3133" s="368"/>
      <c r="H3133" s="368"/>
      <c r="I3133" s="368"/>
      <c r="J3133" s="368"/>
    </row>
    <row r="3134" spans="7:10" x14ac:dyDescent="0.2">
      <c r="G3134" s="368"/>
      <c r="H3134" s="368"/>
      <c r="I3134" s="368"/>
      <c r="J3134" s="368"/>
    </row>
    <row r="3135" spans="7:10" x14ac:dyDescent="0.2">
      <c r="G3135" s="368"/>
      <c r="H3135" s="368"/>
      <c r="I3135" s="368"/>
      <c r="J3135" s="368"/>
    </row>
    <row r="3136" spans="7:10" x14ac:dyDescent="0.2">
      <c r="G3136" s="368"/>
      <c r="H3136" s="368"/>
      <c r="I3136" s="368"/>
      <c r="J3136" s="368"/>
    </row>
    <row r="3137" spans="7:10" x14ac:dyDescent="0.2">
      <c r="G3137" s="368"/>
      <c r="H3137" s="368"/>
      <c r="I3137" s="368"/>
      <c r="J3137" s="368"/>
    </row>
    <row r="3138" spans="7:10" x14ac:dyDescent="0.2">
      <c r="G3138" s="368"/>
      <c r="H3138" s="368"/>
      <c r="I3138" s="368"/>
      <c r="J3138" s="368"/>
    </row>
    <row r="3139" spans="7:10" x14ac:dyDescent="0.2">
      <c r="G3139" s="368"/>
      <c r="H3139" s="368"/>
      <c r="I3139" s="368"/>
      <c r="J3139" s="368"/>
    </row>
    <row r="3140" spans="7:10" x14ac:dyDescent="0.2">
      <c r="G3140" s="368"/>
      <c r="H3140" s="368"/>
      <c r="I3140" s="368"/>
      <c r="J3140" s="368"/>
    </row>
    <row r="3141" spans="7:10" x14ac:dyDescent="0.2">
      <c r="G3141" s="368"/>
      <c r="H3141" s="368"/>
      <c r="I3141" s="368"/>
      <c r="J3141" s="368"/>
    </row>
    <row r="3142" spans="7:10" x14ac:dyDescent="0.2">
      <c r="G3142" s="368"/>
      <c r="H3142" s="368"/>
      <c r="I3142" s="368"/>
      <c r="J3142" s="368"/>
    </row>
    <row r="3143" spans="7:10" x14ac:dyDescent="0.2">
      <c r="G3143" s="368"/>
      <c r="H3143" s="368"/>
      <c r="I3143" s="368"/>
      <c r="J3143" s="368"/>
    </row>
    <row r="3144" spans="7:10" x14ac:dyDescent="0.2">
      <c r="G3144" s="368"/>
      <c r="H3144" s="368"/>
      <c r="I3144" s="368"/>
      <c r="J3144" s="368"/>
    </row>
    <row r="3145" spans="7:10" x14ac:dyDescent="0.2">
      <c r="G3145" s="368"/>
      <c r="H3145" s="368"/>
      <c r="I3145" s="368"/>
      <c r="J3145" s="368"/>
    </row>
    <row r="3146" spans="7:10" x14ac:dyDescent="0.2">
      <c r="G3146" s="368"/>
      <c r="H3146" s="368"/>
      <c r="I3146" s="368"/>
      <c r="J3146" s="368"/>
    </row>
    <row r="3147" spans="7:10" x14ac:dyDescent="0.2">
      <c r="G3147" s="368"/>
      <c r="H3147" s="368"/>
      <c r="I3147" s="368"/>
      <c r="J3147" s="368"/>
    </row>
    <row r="3148" spans="7:10" x14ac:dyDescent="0.2">
      <c r="G3148" s="368"/>
      <c r="H3148" s="368"/>
      <c r="I3148" s="368"/>
      <c r="J3148" s="368"/>
    </row>
    <row r="3149" spans="7:10" x14ac:dyDescent="0.2">
      <c r="G3149" s="368"/>
      <c r="H3149" s="368"/>
      <c r="I3149" s="368"/>
      <c r="J3149" s="368"/>
    </row>
    <row r="3150" spans="7:10" x14ac:dyDescent="0.2">
      <c r="G3150" s="368"/>
      <c r="H3150" s="368"/>
      <c r="I3150" s="368"/>
      <c r="J3150" s="368"/>
    </row>
    <row r="3151" spans="7:10" x14ac:dyDescent="0.2">
      <c r="G3151" s="368"/>
      <c r="H3151" s="368"/>
      <c r="I3151" s="368"/>
      <c r="J3151" s="368"/>
    </row>
    <row r="3152" spans="7:10" x14ac:dyDescent="0.2">
      <c r="G3152" s="368"/>
      <c r="H3152" s="368"/>
      <c r="I3152" s="368"/>
      <c r="J3152" s="368"/>
    </row>
    <row r="3153" spans="7:10" x14ac:dyDescent="0.2">
      <c r="G3153" s="368"/>
      <c r="H3153" s="368"/>
      <c r="I3153" s="368"/>
      <c r="J3153" s="368"/>
    </row>
    <row r="3154" spans="7:10" x14ac:dyDescent="0.2">
      <c r="G3154" s="368"/>
      <c r="H3154" s="368"/>
      <c r="I3154" s="368"/>
      <c r="J3154" s="368"/>
    </row>
    <row r="3155" spans="7:10" x14ac:dyDescent="0.2">
      <c r="G3155" s="368"/>
      <c r="H3155" s="368"/>
      <c r="I3155" s="368"/>
      <c r="J3155" s="368"/>
    </row>
    <row r="3156" spans="7:10" x14ac:dyDescent="0.2">
      <c r="G3156" s="368"/>
      <c r="H3156" s="368"/>
      <c r="I3156" s="368"/>
      <c r="J3156" s="368"/>
    </row>
    <row r="3157" spans="7:10" x14ac:dyDescent="0.2">
      <c r="G3157" s="368"/>
      <c r="H3157" s="368"/>
      <c r="I3157" s="368"/>
      <c r="J3157" s="368"/>
    </row>
    <row r="3158" spans="7:10" x14ac:dyDescent="0.2">
      <c r="G3158" s="368"/>
      <c r="H3158" s="368"/>
      <c r="I3158" s="368"/>
      <c r="J3158" s="368"/>
    </row>
    <row r="3159" spans="7:10" x14ac:dyDescent="0.2">
      <c r="G3159" s="368"/>
      <c r="H3159" s="368"/>
      <c r="I3159" s="368"/>
      <c r="J3159" s="368"/>
    </row>
    <row r="3160" spans="7:10" x14ac:dyDescent="0.2">
      <c r="G3160" s="368"/>
      <c r="H3160" s="368"/>
      <c r="I3160" s="368"/>
      <c r="J3160" s="368"/>
    </row>
    <row r="3161" spans="7:10" x14ac:dyDescent="0.2">
      <c r="G3161" s="368"/>
      <c r="H3161" s="368"/>
      <c r="I3161" s="368"/>
      <c r="J3161" s="368"/>
    </row>
    <row r="3162" spans="7:10" x14ac:dyDescent="0.2">
      <c r="G3162" s="368"/>
      <c r="H3162" s="368"/>
      <c r="I3162" s="368"/>
      <c r="J3162" s="368"/>
    </row>
    <row r="3163" spans="7:10" x14ac:dyDescent="0.2">
      <c r="G3163" s="368"/>
      <c r="H3163" s="368"/>
      <c r="I3163" s="368"/>
      <c r="J3163" s="368"/>
    </row>
    <row r="3164" spans="7:10" x14ac:dyDescent="0.2">
      <c r="G3164" s="368"/>
      <c r="H3164" s="368"/>
      <c r="I3164" s="368"/>
      <c r="J3164" s="368"/>
    </row>
    <row r="3165" spans="7:10" x14ac:dyDescent="0.2">
      <c r="G3165" s="368"/>
      <c r="J3165" s="368"/>
    </row>
    <row r="3166" spans="7:10" x14ac:dyDescent="0.2">
      <c r="G3166" s="368"/>
      <c r="J3166" s="368"/>
    </row>
    <row r="3167" spans="7:10" x14ac:dyDescent="0.2">
      <c r="G3167" s="368"/>
      <c r="J3167" s="368"/>
    </row>
    <row r="3168" spans="7:10" x14ac:dyDescent="0.2">
      <c r="G3168" s="368"/>
      <c r="J3168" s="368"/>
    </row>
    <row r="3169" spans="7:10" x14ac:dyDescent="0.2">
      <c r="G3169" s="368"/>
      <c r="J3169" s="368"/>
    </row>
    <row r="3170" spans="7:10" x14ac:dyDescent="0.2">
      <c r="G3170" s="368"/>
      <c r="J3170" s="368"/>
    </row>
    <row r="3171" spans="7:10" x14ac:dyDescent="0.2">
      <c r="G3171" s="368"/>
      <c r="J3171" s="368"/>
    </row>
    <row r="3172" spans="7:10" x14ac:dyDescent="0.2">
      <c r="G3172" s="368"/>
      <c r="J3172" s="368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>
      <selection activeCell="W1" sqref="W1"/>
    </sheetView>
  </sheetViews>
  <sheetFormatPr defaultColWidth="0" defaultRowHeight="12.75" x14ac:dyDescent="0.2"/>
  <cols>
    <col min="1" max="22" width="9.140625" style="57" hidden="1" customWidth="1"/>
    <col min="23" max="23" width="2.7109375" style="57" customWidth="1"/>
    <col min="24" max="24" width="27.57031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1"/>
      <c r="AA4" s="725"/>
      <c r="AB4" s="725" t="str">
        <f>IFERROR(VALUE(RIGHT(AA4,LEN(AA4)-MIN(FIND({0;1;2;3;4;5;6;7;8;9},AA4&amp;"0123456789"))+1)),"")</f>
        <v/>
      </c>
    </row>
    <row r="5" spans="24:28" ht="12.75" customHeight="1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customHeight="1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79" t="s">
        <v>515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0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B13" s="725" t="str">
        <f>IFERROR(VALUE(RIGHT(AA13,LEN(AA13)-MIN(FIND({0;1;2;3;4;5;6;7;8;9},AA13&amp;"0123456789"))+1)),"")</f>
        <v/>
      </c>
    </row>
    <row r="14" spans="24:28" x14ac:dyDescent="0.2"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B16" s="725" t="str">
        <f>IFERROR(VALUE(RIGHT(AA16,LEN(AA16)-MIN(FIND({0;1;2;3;4;5;6;7;8;9},AA16&amp;"0123456789"))+1)),"")</f>
        <v/>
      </c>
    </row>
    <row r="17" spans="28:28" x14ac:dyDescent="0.2">
      <c r="AB17" s="725" t="str">
        <f>IFERROR(VALUE(RIGHT(AA17,LEN(AA17)-MIN(FIND({0;1;2;3;4;5;6;7;8;9},AA17&amp;"0123456789"))+1)),"")</f>
        <v/>
      </c>
    </row>
    <row r="18" spans="28:28" x14ac:dyDescent="0.2">
      <c r="AB18" s="725" t="str">
        <f>IFERROR(VALUE(RIGHT(AA18,LEN(AA18)-MIN(FIND({0;1;2;3;4;5;6;7;8;9},AA18&amp;"0123456789"))+1)),"")</f>
        <v/>
      </c>
    </row>
    <row r="19" spans="28:28" x14ac:dyDescent="0.2">
      <c r="AB19" s="725" t="str">
        <f>IFERROR(VALUE(RIGHT(AA19,LEN(AA19)-MIN(FIND({0;1;2;3;4;5;6;7;8;9},AA19&amp;"0123456789"))+1)),"")</f>
        <v/>
      </c>
    </row>
    <row r="20" spans="28:28" x14ac:dyDescent="0.2">
      <c r="AB20" s="725" t="str">
        <f>IFERROR(VALUE(RIGHT(AA20,LEN(AA20)-MIN(FIND({0;1;2;3;4;5;6;7;8;9},AA20&amp;"0123456789"))+1)),"")</f>
        <v/>
      </c>
    </row>
    <row r="21" spans="28:28" x14ac:dyDescent="0.2">
      <c r="AB21" s="725" t="str">
        <f>IFERROR(VALUE(RIGHT(AA21,LEN(AA21)-MIN(FIND({0;1;2;3;4;5;6;7;8;9},AA21&amp;"0123456789"))+1)),"")</f>
        <v/>
      </c>
    </row>
    <row r="22" spans="28:28" x14ac:dyDescent="0.2">
      <c r="AB22" s="725" t="str">
        <f>IFERROR(VALUE(RIGHT(AA22,LEN(AA22)-MIN(FIND({0;1;2;3;4;5;6;7;8;9},AA22&amp;"0123456789"))+1)),"")</f>
        <v/>
      </c>
    </row>
    <row r="23" spans="28:28" x14ac:dyDescent="0.2">
      <c r="AB23" s="725" t="str">
        <f>IFERROR(VALUE(RIGHT(AA23,LEN(AA23)-MIN(FIND({0;1;2;3;4;5;6;7;8;9},AA23&amp;"0123456789"))+1)),"")</f>
        <v/>
      </c>
    </row>
    <row r="24" spans="28:28" x14ac:dyDescent="0.2">
      <c r="AB24" s="725" t="str">
        <f>IFERROR(VALUE(RIGHT(AA24,LEN(AA24)-MIN(FIND({0;1;2;3;4;5;6;7;8;9},AA24&amp;"0123456789"))+1)),"")</f>
        <v/>
      </c>
    </row>
    <row r="25" spans="28:28" x14ac:dyDescent="0.2">
      <c r="AB25" s="725" t="str">
        <f>IFERROR(VALUE(RIGHT(AA25,LEN(AA25)-MIN(FIND({0;1;2;3;4;5;6;7;8;9},AA25&amp;"0123456789"))+1)),"")</f>
        <v/>
      </c>
    </row>
    <row r="26" spans="28:28" x14ac:dyDescent="0.2">
      <c r="AB26" s="725" t="str">
        <f>IFERROR(VALUE(RIGHT(AA26,LEN(AA26)-MIN(FIND({0;1;2;3;4;5;6;7;8;9},AA26&amp;"0123456789"))+1)),"")</f>
        <v/>
      </c>
    </row>
    <row r="27" spans="28:28" x14ac:dyDescent="0.2">
      <c r="AB27" s="725" t="str">
        <f>IFERROR(VALUE(RIGHT(AA27,LEN(AA27)-MIN(FIND({0;1;2;3;4;5;6;7;8;9},AA27&amp;"0123456789"))+1)),"")</f>
        <v/>
      </c>
    </row>
    <row r="28" spans="28:28" x14ac:dyDescent="0.2">
      <c r="AB28" s="725" t="str">
        <f>IFERROR(VALUE(RIGHT(AA28,LEN(AA28)-MIN(FIND({0;1;2;3;4;5;6;7;8;9},AA28&amp;"0123456789"))+1)),"")</f>
        <v/>
      </c>
    </row>
    <row r="29" spans="28:28" x14ac:dyDescent="0.2">
      <c r="AB29" s="725" t="str">
        <f>IFERROR(VALUE(RIGHT(AA29,LEN(AA29)-MIN(FIND({0;1;2;3;4;5;6;7;8;9},AA29&amp;"0123456789"))+1)),"")</f>
        <v/>
      </c>
    </row>
    <row r="30" spans="28:28" x14ac:dyDescent="0.2">
      <c r="AB30" s="725" t="str">
        <f>IFERROR(VALUE(RIGHT(AA30,LEN(AA30)-MIN(FIND({0;1;2;3;4;5;6;7;8;9},AA30&amp;"0123456789"))+1)),"")</f>
        <v/>
      </c>
    </row>
    <row r="31" spans="28:28" x14ac:dyDescent="0.2">
      <c r="AB31" s="725" t="str">
        <f>IFERROR(VALUE(RIGHT(AA31,LEN(AA31)-MIN(FIND({0;1;2;3;4;5;6;7;8;9},AA31&amp;"0123456789"))+1)),"")</f>
        <v/>
      </c>
    </row>
    <row r="32" spans="28:28" x14ac:dyDescent="0.2">
      <c r="AB32" s="725" t="str">
        <f>IFERROR(VALUE(RIGHT(AA32,LEN(AA32)-MIN(FIND({0;1;2;3;4;5;6;7;8;9},AA32&amp;"0123456789"))+1)),"")</f>
        <v/>
      </c>
    </row>
    <row r="33" spans="28:28" x14ac:dyDescent="0.2">
      <c r="AB33" s="725" t="str">
        <f>IFERROR(VALUE(RIGHT(AA33,LEN(AA33)-MIN(FIND({0;1;2;3;4;5;6;7;8;9},AA33&amp;"0123456789"))+1)),"")</f>
        <v/>
      </c>
    </row>
    <row r="34" spans="28:28" x14ac:dyDescent="0.2">
      <c r="AB34" s="725" t="str">
        <f>IFERROR(VALUE(RIGHT(AA34,LEN(AA34)-MIN(FIND({0;1;2;3;4;5;6;7;8;9},AA34&amp;"0123456789"))+1)),"")</f>
        <v/>
      </c>
    </row>
    <row r="35" spans="28:28" x14ac:dyDescent="0.2">
      <c r="AB35" s="725" t="str">
        <f>IFERROR(VALUE(RIGHT(AA35,LEN(AA35)-MIN(FIND({0;1;2;3;4;5;6;7;8;9},AA35&amp;"0123456789"))+1)),"")</f>
        <v/>
      </c>
    </row>
    <row r="36" spans="28:28" x14ac:dyDescent="0.2">
      <c r="AB36" s="725" t="str">
        <f>IFERROR(VALUE(RIGHT(AA36,LEN(AA36)-MIN(FIND({0;1;2;3;4;5;6;7;8;9},AA36&amp;"0123456789"))+1)),"")</f>
        <v/>
      </c>
    </row>
    <row r="37" spans="28:28" x14ac:dyDescent="0.2">
      <c r="AB37" s="725" t="str">
        <f>IFERROR(VALUE(RIGHT(AA37,LEN(AA37)-MIN(FIND({0;1;2;3;4;5;6;7;8;9},AA37&amp;"0123456789"))+1)),"")</f>
        <v/>
      </c>
    </row>
    <row r="38" spans="28:28" x14ac:dyDescent="0.2">
      <c r="AB38" s="725" t="str">
        <f>IFERROR(VALUE(RIGHT(AA38,LEN(AA38)-MIN(FIND({0;1;2;3;4;5;6;7;8;9},AA38&amp;"0123456789"))+1)),"")</f>
        <v/>
      </c>
    </row>
    <row r="39" spans="28:28" x14ac:dyDescent="0.2">
      <c r="AB39" s="725" t="str">
        <f>IFERROR(VALUE(RIGHT(AA39,LEN(AA39)-MIN(FIND({0;1;2;3;4;5;6;7;8;9},AA39&amp;"0123456789"))+1)),"")</f>
        <v/>
      </c>
    </row>
    <row r="40" spans="28:28" x14ac:dyDescent="0.2">
      <c r="AB40" s="725" t="str">
        <f>IFERROR(VALUE(RIGHT(AA40,LEN(AA40)-MIN(FIND({0;1;2;3;4;5;6;7;8;9},AA40&amp;"0123456789"))+1)),"")</f>
        <v/>
      </c>
    </row>
    <row r="41" spans="28:28" x14ac:dyDescent="0.2">
      <c r="AB41" s="725" t="str">
        <f>IFERROR(VALUE(RIGHT(AA41,LEN(AA41)-MIN(FIND({0;1;2;3;4;5;6;7;8;9},AA41&amp;"0123456789"))+1)),"")</f>
        <v/>
      </c>
    </row>
    <row r="42" spans="28:28" x14ac:dyDescent="0.2">
      <c r="AB42" s="725" t="str">
        <f>IFERROR(VALUE(RIGHT(AA42,LEN(AA42)-MIN(FIND({0;1;2;3;4;5;6;7;8;9},AA42&amp;"0123456789"))+1)),"")</f>
        <v/>
      </c>
    </row>
    <row r="43" spans="28:28" x14ac:dyDescent="0.2">
      <c r="AB43" s="725" t="str">
        <f>IFERROR(VALUE(RIGHT(AA43,LEN(AA43)-MIN(FIND({0;1;2;3;4;5;6;7;8;9},AA43&amp;"0123456789"))+1)),"")</f>
        <v/>
      </c>
    </row>
    <row r="44" spans="28:28" x14ac:dyDescent="0.2">
      <c r="AB44" s="725" t="str">
        <f>IFERROR(VALUE(RIGHT(AA44,LEN(AA44)-MIN(FIND({0;1;2;3;4;5;6;7;8;9},AA44&amp;"0123456789"))+1)),"")</f>
        <v/>
      </c>
    </row>
    <row r="45" spans="28:28" x14ac:dyDescent="0.2">
      <c r="AB45" s="725" t="str">
        <f>IFERROR(VALUE(RIGHT(AA45,LEN(AA45)-MIN(FIND({0;1;2;3;4;5;6;7;8;9},AA45&amp;"0123456789"))+1)),"")</f>
        <v/>
      </c>
    </row>
    <row r="46" spans="28:28" x14ac:dyDescent="0.2">
      <c r="AB46" s="725" t="str">
        <f>IFERROR(VALUE(RIGHT(AA46,LEN(AA46)-MIN(FIND({0;1;2;3;4;5;6;7;8;9},AA46&amp;"0123456789"))+1)),"")</f>
        <v/>
      </c>
    </row>
    <row r="47" spans="28:28" x14ac:dyDescent="0.2">
      <c r="AB47" s="725" t="str">
        <f>IFERROR(VALUE(RIGHT(AA47,LEN(AA47)-MIN(FIND({0;1;2;3;4;5;6;7;8;9},AA47&amp;"0123456789"))+1)),"")</f>
        <v/>
      </c>
    </row>
    <row r="48" spans="28:28" x14ac:dyDescent="0.2">
      <c r="AB48" s="725" t="str">
        <f>IFERROR(VALUE(RIGHT(AA48,LEN(AA48)-MIN(FIND({0;1;2;3;4;5;6;7;8;9},AA48&amp;"0123456789"))+1)),"")</f>
        <v/>
      </c>
    </row>
    <row r="49" spans="28:28" x14ac:dyDescent="0.2">
      <c r="AB49" s="725" t="str">
        <f>IFERROR(VALUE(RIGHT(AA49,LEN(AA49)-MIN(FIND({0;1;2;3;4;5;6;7;8;9},AA49&amp;"0123456789"))+1)),"")</f>
        <v/>
      </c>
    </row>
    <row r="50" spans="28:28" x14ac:dyDescent="0.2">
      <c r="AB50" s="725" t="str">
        <f>IFERROR(VALUE(RIGHT(AA50,LEN(AA50)-MIN(FIND({0;1;2;3;4;5;6;7;8;9},AA50&amp;"0123456789"))+1)),"")</f>
        <v/>
      </c>
    </row>
    <row r="51" spans="28:28" x14ac:dyDescent="0.2">
      <c r="AB51" s="725" t="str">
        <f>IFERROR(VALUE(RIGHT(AA51,LEN(AA51)-MIN(FIND({0;1;2;3;4;5;6;7;8;9},AA51&amp;"0123456789"))+1)),"")</f>
        <v/>
      </c>
    </row>
    <row r="52" spans="28:28" x14ac:dyDescent="0.2">
      <c r="AB52" s="725" t="str">
        <f>IFERROR(VALUE(RIGHT(AA52,LEN(AA52)-MIN(FIND({0;1;2;3;4;5;6;7;8;9},AA52&amp;"0123456789"))+1)),"")</f>
        <v/>
      </c>
    </row>
    <row r="53" spans="28:28" x14ac:dyDescent="0.2">
      <c r="AB53" s="725" t="str">
        <f>IFERROR(VALUE(RIGHT(AA53,LEN(AA53)-MIN(FIND({0;1;2;3;4;5;6;7;8;9},AA53&amp;"0123456789"))+1)),"")</f>
        <v/>
      </c>
    </row>
    <row r="54" spans="28:28" x14ac:dyDescent="0.2">
      <c r="AB54" s="725" t="str">
        <f>IFERROR(VALUE(RIGHT(AA54,LEN(AA54)-MIN(FIND({0;1;2;3;4;5;6;7;8;9},AA54&amp;"0123456789"))+1)),"")</f>
        <v/>
      </c>
    </row>
    <row r="55" spans="28:28" x14ac:dyDescent="0.2">
      <c r="AB55" s="725" t="str">
        <f>IFERROR(VALUE(RIGHT(AA55,LEN(AA55)-MIN(FIND({0;1;2;3;4;5;6;7;8;9},AA55&amp;"0123456789"))+1)),"")</f>
        <v/>
      </c>
    </row>
    <row r="56" spans="28:28" x14ac:dyDescent="0.2">
      <c r="AB56" s="725" t="str">
        <f>IFERROR(VALUE(RIGHT(AA56,LEN(AA56)-MIN(FIND({0;1;2;3;4;5;6;7;8;9},AA56&amp;"0123456789"))+1)),"")</f>
        <v/>
      </c>
    </row>
    <row r="57" spans="28:28" x14ac:dyDescent="0.2">
      <c r="AB57" s="725" t="str">
        <f>IFERROR(VALUE(RIGHT(AA57,LEN(AA57)-MIN(FIND({0;1;2;3;4;5;6;7;8;9},AA57&amp;"0123456789"))+1)),"")</f>
        <v/>
      </c>
    </row>
    <row r="58" spans="28:28" x14ac:dyDescent="0.2">
      <c r="AB58" s="725" t="str">
        <f>IFERROR(VALUE(RIGHT(AA58,LEN(AA58)-MIN(FIND({0;1;2;3;4;5;6;7;8;9},AA58&amp;"0123456789"))+1)),"")</f>
        <v/>
      </c>
    </row>
    <row r="59" spans="28:28" x14ac:dyDescent="0.2">
      <c r="AB59" s="725" t="str">
        <f>IFERROR(VALUE(RIGHT(AA59,LEN(AA59)-MIN(FIND({0;1;2;3;4;5;6;7;8;9},AA59&amp;"0123456789"))+1)),"")</f>
        <v/>
      </c>
    </row>
    <row r="60" spans="28:28" x14ac:dyDescent="0.2">
      <c r="AB60" s="725" t="str">
        <f>IFERROR(VALUE(RIGHT(AA60,LEN(AA60)-MIN(FIND({0;1;2;3;4;5;6;7;8;9},AA60&amp;"0123456789"))+1)),"")</f>
        <v/>
      </c>
    </row>
    <row r="61" spans="28:28" x14ac:dyDescent="0.2">
      <c r="AB61" s="725" t="str">
        <f>IFERROR(VALUE(RIGHT(AA61,LEN(AA61)-MIN(FIND({0;1;2;3;4;5;6;7;8;9},AA61&amp;"0123456789"))+1)),"")</f>
        <v/>
      </c>
    </row>
    <row r="62" spans="28:28" x14ac:dyDescent="0.2">
      <c r="AB62" s="725" t="str">
        <f>IFERROR(VALUE(RIGHT(AA62,LEN(AA62)-MIN(FIND({0;1;2;3;4;5;6;7;8;9},AA62&amp;"0123456789"))+1)),"")</f>
        <v/>
      </c>
    </row>
    <row r="63" spans="28:28" x14ac:dyDescent="0.2">
      <c r="AB63" s="725" t="str">
        <f>IFERROR(VALUE(RIGHT(AA63,LEN(AA63)-MIN(FIND({0;1;2;3;4;5;6;7;8;9},AA63&amp;"0123456789"))+1)),"")</f>
        <v/>
      </c>
    </row>
    <row r="64" spans="28:28" x14ac:dyDescent="0.2">
      <c r="AB64" s="725" t="str">
        <f>IFERROR(VALUE(RIGHT(AA64,LEN(AA64)-MIN(FIND({0;1;2;3;4;5;6;7;8;9},AA64&amp;"0123456789"))+1)),"")</f>
        <v/>
      </c>
    </row>
    <row r="65" spans="27:28" x14ac:dyDescent="0.2">
      <c r="AB65" s="725" t="str">
        <f>IFERROR(VALUE(RIGHT(AA65,LEN(AA65)-MIN(FIND({0;1;2;3;4;5;6;7;8;9},AA65&amp;"0123456789"))+1)),"")</f>
        <v/>
      </c>
    </row>
    <row r="66" spans="27:28" x14ac:dyDescent="0.2">
      <c r="AB66" s="725" t="str">
        <f>IFERROR(VALUE(RIGHT(AA66,LEN(AA66)-MIN(FIND({0;1;2;3;4;5;6;7;8;9},AA66&amp;"0123456789"))+1)),"")</f>
        <v/>
      </c>
    </row>
    <row r="67" spans="27:28" x14ac:dyDescent="0.2">
      <c r="AB67" s="725" t="str">
        <f>IFERROR(VALUE(RIGHT(AA67,LEN(AA67)-MIN(FIND({0;1;2;3;4;5;6;7;8;9},AA67&amp;"0123456789"))+1)),"")</f>
        <v/>
      </c>
    </row>
    <row r="68" spans="27:28" x14ac:dyDescent="0.2">
      <c r="AB68" s="725" t="str">
        <f>IFERROR(VALUE(RIGHT(AA68,LEN(AA68)-MIN(FIND({0;1;2;3;4;5;6;7;8;9},AA68&amp;"0123456789"))+1)),"")</f>
        <v/>
      </c>
    </row>
    <row r="69" spans="27:28" x14ac:dyDescent="0.2">
      <c r="AB69" s="725" t="str">
        <f>IFERROR(VALUE(RIGHT(AA69,LEN(AA69)-MIN(FIND({0;1;2;3;4;5;6;7;8;9},AA69&amp;"0123456789"))+1)),"")</f>
        <v/>
      </c>
    </row>
    <row r="70" spans="27:28" x14ac:dyDescent="0.2">
      <c r="AB70" s="725" t="str">
        <f>IFERROR(VALUE(RIGHT(AA70,LEN(AA70)-MIN(FIND({0;1;2;3;4;5;6;7;8;9},AA70&amp;"0123456789"))+1)),"")</f>
        <v/>
      </c>
    </row>
    <row r="71" spans="27:28" x14ac:dyDescent="0.2">
      <c r="AB71" s="725" t="str">
        <f>IFERROR(VALUE(RIGHT(AA71,LEN(AA71)-MIN(FIND({0;1;2;3;4;5;6;7;8;9},AA71&amp;"0123456789"))+1)),"")</f>
        <v/>
      </c>
    </row>
    <row r="72" spans="27:28" x14ac:dyDescent="0.2">
      <c r="AB72" s="725" t="str">
        <f>IFERROR(VALUE(RIGHT(AA72,LEN(AA72)-MIN(FIND({0;1;2;3;4;5;6;7;8;9},AA72&amp;"0123456789"))+1)),"")</f>
        <v/>
      </c>
    </row>
    <row r="73" spans="27:28" x14ac:dyDescent="0.2">
      <c r="AB73" s="725" t="str">
        <f>IFERROR(VALUE(RIGHT(AA73,LEN(AA73)-MIN(FIND({0;1;2;3;4;5;6;7;8;9},AA73&amp;"0123456789"))+1)),"")</f>
        <v/>
      </c>
    </row>
    <row r="74" spans="27:28" x14ac:dyDescent="0.2">
      <c r="AB74" s="725" t="str">
        <f>IFERROR(VALUE(RIGHT(AA74,LEN(AA74)-MIN(FIND({0;1;2;3;4;5;6;7;8;9},AA74&amp;"0123456789"))+1)),"")</f>
        <v/>
      </c>
    </row>
    <row r="75" spans="27:28" x14ac:dyDescent="0.2">
      <c r="AB75" s="725" t="str">
        <f>IFERROR(VALUE(RIGHT(AA75,LEN(AA75)-MIN(FIND({0;1;2;3;4;5;6;7;8;9},AA75&amp;"0123456789"))+1)),"")</f>
        <v/>
      </c>
    </row>
    <row r="76" spans="27:28" x14ac:dyDescent="0.2">
      <c r="AB76" s="725" t="str">
        <f>IFERROR(VALUE(RIGHT(AA76,LEN(AA76)-MIN(FIND({0;1;2;3;4;5;6;7;8;9},AA76&amp;"0123456789"))+1)),"")</f>
        <v/>
      </c>
    </row>
    <row r="77" spans="27:28" x14ac:dyDescent="0.2">
      <c r="AB77" s="725" t="str">
        <f>IFERROR(VALUE(RIGHT(AA77,LEN(AA77)-MIN(FIND({0;1;2;3;4;5;6;7;8;9},AA77&amp;"0123456789"))+1)),"")</f>
        <v/>
      </c>
    </row>
    <row r="78" spans="27:28" x14ac:dyDescent="0.2"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8:28" x14ac:dyDescent="0.2">
      <c r="AB81" s="725" t="str">
        <f>IFERROR(VALUE(RIGHT(AA81,LEN(AA81)-MIN(FIND({0;1;2;3;4;5;6;7;8;9},AA81&amp;"0123456789"))+1)),"")</f>
        <v/>
      </c>
    </row>
    <row r="82" spans="28:28" x14ac:dyDescent="0.2">
      <c r="AB82" s="725" t="str">
        <f>IFERROR(VALUE(RIGHT(AA82,LEN(AA82)-MIN(FIND({0;1;2;3;4;5;6;7;8;9},AA82&amp;"0123456789"))+1)),"")</f>
        <v/>
      </c>
    </row>
    <row r="83" spans="28:28" x14ac:dyDescent="0.2">
      <c r="AB83" s="725" t="str">
        <f>IFERROR(VALUE(RIGHT(AA83,LEN(AA83)-MIN(FIND({0;1;2;3;4;5;6;7;8;9},AA83&amp;"0123456789"))+1)),"")</f>
        <v/>
      </c>
    </row>
    <row r="84" spans="28:28" x14ac:dyDescent="0.2">
      <c r="AB84" s="725" t="str">
        <f>IFERROR(VALUE(RIGHT(AA84,LEN(AA84)-MIN(FIND({0;1;2;3;4;5;6;7;8;9},AA84&amp;"0123456789"))+1)),"")</f>
        <v/>
      </c>
    </row>
    <row r="85" spans="28:28" x14ac:dyDescent="0.2">
      <c r="AB85" s="725" t="str">
        <f>IFERROR(VALUE(RIGHT(AA85,LEN(AA85)-MIN(FIND({0;1;2;3;4;5;6;7;8;9},AA85&amp;"0123456789"))+1)),"")</f>
        <v/>
      </c>
    </row>
    <row r="86" spans="28:28" x14ac:dyDescent="0.2">
      <c r="AB86" s="725" t="str">
        <f>IFERROR(VALUE(RIGHT(AA86,LEN(AA86)-MIN(FIND({0;1;2;3;4;5;6;7;8;9},AA86&amp;"0123456789"))+1)),"")</f>
        <v/>
      </c>
    </row>
    <row r="87" spans="28:28" x14ac:dyDescent="0.2">
      <c r="AB87" s="725" t="str">
        <f>IFERROR(VALUE(RIGHT(AA87,LEN(AA87)-MIN(FIND({0;1;2;3;4;5;6;7;8;9},AA87&amp;"0123456789"))+1)),"")</f>
        <v/>
      </c>
    </row>
    <row r="88" spans="28:28" x14ac:dyDescent="0.2">
      <c r="AB88" s="725" t="str">
        <f>IFERROR(VALUE(RIGHT(AA88,LEN(AA88)-MIN(FIND({0;1;2;3;4;5;6;7;8;9},AA88&amp;"0123456789"))+1)),"")</f>
        <v/>
      </c>
    </row>
    <row r="89" spans="28:28" x14ac:dyDescent="0.2">
      <c r="AB89" s="725" t="str">
        <f>IFERROR(VALUE(RIGHT(AA89,LEN(AA89)-MIN(FIND({0;1;2;3;4;5;6;7;8;9},AA89&amp;"0123456789"))+1)),"")</f>
        <v/>
      </c>
    </row>
    <row r="90" spans="28:28" x14ac:dyDescent="0.2">
      <c r="AB90" s="725" t="str">
        <f>IFERROR(VALUE(RIGHT(AA90,LEN(AA90)-MIN(FIND({0;1;2;3;4;5;6;7;8;9},AA90&amp;"0123456789"))+1)),"")</f>
        <v/>
      </c>
    </row>
    <row r="91" spans="28:28" x14ac:dyDescent="0.2">
      <c r="AB91" s="725" t="str">
        <f>IFERROR(VALUE(RIGHT(AA91,LEN(AA91)-MIN(FIND({0;1;2;3;4;5;6;7;8;9},AA91&amp;"0123456789"))+1)),"")</f>
        <v/>
      </c>
    </row>
    <row r="92" spans="28:28" x14ac:dyDescent="0.2">
      <c r="AB92" s="725" t="str">
        <f>IFERROR(VALUE(RIGHT(AA92,LEN(AA92)-MIN(FIND({0;1;2;3;4;5;6;7;8;9},AA92&amp;"0123456789"))+1)),"")</f>
        <v/>
      </c>
    </row>
    <row r="93" spans="28:28" x14ac:dyDescent="0.2">
      <c r="AB93" s="725" t="str">
        <f>IFERROR(VALUE(RIGHT(AA93,LEN(AA93)-MIN(FIND({0;1;2;3;4;5;6;7;8;9},AA93&amp;"0123456789"))+1)),"")</f>
        <v/>
      </c>
    </row>
    <row r="94" spans="28:28" x14ac:dyDescent="0.2">
      <c r="AB94" s="725" t="str">
        <f>IFERROR(VALUE(RIGHT(AA94,LEN(AA94)-MIN(FIND({0;1;2;3;4;5;6;7;8;9},AA94&amp;"0123456789"))+1)),"")</f>
        <v/>
      </c>
    </row>
    <row r="95" spans="28:28" x14ac:dyDescent="0.2">
      <c r="AB95" s="725" t="str">
        <f>IFERROR(VALUE(RIGHT(AA95,LEN(AA95)-MIN(FIND({0;1;2;3;4;5;6;7;8;9},AA95&amp;"0123456789"))+1)),"")</f>
        <v/>
      </c>
    </row>
    <row r="96" spans="28:28" x14ac:dyDescent="0.2">
      <c r="AB96" s="725" t="str">
        <f>IFERROR(VALUE(RIGHT(AA96,LEN(AA96)-MIN(FIND({0;1;2;3;4;5;6;7;8;9},AA96&amp;"0123456789"))+1)),"")</f>
        <v/>
      </c>
    </row>
    <row r="97" spans="28:28" x14ac:dyDescent="0.2">
      <c r="AB97" s="725" t="str">
        <f>IFERROR(VALUE(RIGHT(AA97,LEN(AA97)-MIN(FIND({0;1;2;3;4;5;6;7;8;9},AA97&amp;"0123456789"))+1)),"")</f>
        <v/>
      </c>
    </row>
    <row r="98" spans="28:28" x14ac:dyDescent="0.2">
      <c r="AB98" s="725" t="str">
        <f>IFERROR(VALUE(RIGHT(AA98,LEN(AA98)-MIN(FIND({0;1;2;3;4;5;6;7;8;9},AA98&amp;"0123456789"))+1)),"")</f>
        <v/>
      </c>
    </row>
    <row r="99" spans="28:28" x14ac:dyDescent="0.2">
      <c r="AB99" s="725" t="str">
        <f>IFERROR(VALUE(RIGHT(AA99,LEN(AA99)-MIN(FIND({0;1;2;3;4;5;6;7;8;9},AA99&amp;"0123456789"))+1)),"")</f>
        <v/>
      </c>
    </row>
    <row r="100" spans="28:28" x14ac:dyDescent="0.2">
      <c r="AB100" s="725" t="str">
        <f>IFERROR(VALUE(RIGHT(AA100,LEN(AA100)-MIN(FIND({0;1;2;3;4;5;6;7;8;9},AA100&amp;"0123456789"))+1)),"")</f>
        <v/>
      </c>
    </row>
    <row r="101" spans="28:28" x14ac:dyDescent="0.2">
      <c r="AB101" s="725" t="str">
        <f>IFERROR(VALUE(RIGHT(AA101,LEN(AA101)-MIN(FIND({0;1;2;3;4;5;6;7;8;9},AA101&amp;"0123456789"))+1)),"")</f>
        <v/>
      </c>
    </row>
    <row r="102" spans="28:28" x14ac:dyDescent="0.2">
      <c r="AB102" s="725" t="str">
        <f>IFERROR(VALUE(RIGHT(AA102,LEN(AA102)-MIN(FIND({0;1;2;3;4;5;6;7;8;9},AA102&amp;"0123456789"))+1)),"")</f>
        <v/>
      </c>
    </row>
    <row r="103" spans="28:28" x14ac:dyDescent="0.2">
      <c r="AB103" s="725" t="str">
        <f>IFERROR(VALUE(RIGHT(AA103,LEN(AA103)-MIN(FIND({0;1;2;3;4;5;6;7;8;9},AA103&amp;"0123456789"))+1)),"")</f>
        <v/>
      </c>
    </row>
    <row r="104" spans="28:28" x14ac:dyDescent="0.2">
      <c r="AB104" s="725" t="str">
        <f>IFERROR(VALUE(RIGHT(AA104,LEN(AA104)-MIN(FIND({0;1;2;3;4;5;6;7;8;9},AA104&amp;"0123456789"))+1)),"")</f>
        <v/>
      </c>
    </row>
    <row r="105" spans="28:28" x14ac:dyDescent="0.2">
      <c r="AB105" s="725" t="str">
        <f>IFERROR(VALUE(RIGHT(AA105,LEN(AA105)-MIN(FIND({0;1;2;3;4;5;6;7;8;9},AA105&amp;"0123456789"))+1)),"")</f>
        <v/>
      </c>
    </row>
    <row r="106" spans="28:28" x14ac:dyDescent="0.2">
      <c r="AB106" s="725" t="str">
        <f>IFERROR(VALUE(RIGHT(AA106,LEN(AA106)-MIN(FIND({0;1;2;3;4;5;6;7;8;9},AA106&amp;"0123456789"))+1)),"")</f>
        <v/>
      </c>
    </row>
    <row r="107" spans="28:28" x14ac:dyDescent="0.2">
      <c r="AB107" s="725" t="str">
        <f>IFERROR(VALUE(RIGHT(AA107,LEN(AA107)-MIN(FIND({0;1;2;3;4;5;6;7;8;9},AA107&amp;"0123456789"))+1)),"")</f>
        <v/>
      </c>
    </row>
    <row r="108" spans="28:28" x14ac:dyDescent="0.2">
      <c r="AB108" s="725" t="str">
        <f>IFERROR(VALUE(RIGHT(AA108,LEN(AA108)-MIN(FIND({0;1;2;3;4;5;6;7;8;9},AA108&amp;"0123456789"))+1)),"")</f>
        <v/>
      </c>
    </row>
    <row r="109" spans="28:28" x14ac:dyDescent="0.2">
      <c r="AB109" s="725" t="str">
        <f>IFERROR(VALUE(RIGHT(AA109,LEN(AA109)-MIN(FIND({0;1;2;3;4;5;6;7;8;9},AA109&amp;"0123456789"))+1)),"")</f>
        <v/>
      </c>
    </row>
    <row r="110" spans="28:28" x14ac:dyDescent="0.2">
      <c r="AB110" s="725" t="str">
        <f>IFERROR(VALUE(RIGHT(AA110,LEN(AA110)-MIN(FIND({0;1;2;3;4;5;6;7;8;9},AA110&amp;"0123456789"))+1)),"")</f>
        <v/>
      </c>
    </row>
    <row r="111" spans="28:28" x14ac:dyDescent="0.2">
      <c r="AB111" s="725" t="str">
        <f>IFERROR(VALUE(RIGHT(AA111,LEN(AA111)-MIN(FIND({0;1;2;3;4;5;6;7;8;9},AA111&amp;"0123456789"))+1)),"")</f>
        <v/>
      </c>
    </row>
    <row r="112" spans="28:28" x14ac:dyDescent="0.2">
      <c r="AB112" s="725" t="str">
        <f>IFERROR(VALUE(RIGHT(AA112,LEN(AA112)-MIN(FIND({0;1;2;3;4;5;6;7;8;9},AA112&amp;"0123456789"))+1)),"")</f>
        <v/>
      </c>
    </row>
    <row r="113" spans="28:28" x14ac:dyDescent="0.2">
      <c r="AB113" s="725" t="str">
        <f>IFERROR(VALUE(RIGHT(AA113,LEN(AA113)-MIN(FIND({0;1;2;3;4;5;6;7;8;9},AA113&amp;"0123456789"))+1)),"")</f>
        <v/>
      </c>
    </row>
    <row r="114" spans="28:28" x14ac:dyDescent="0.2">
      <c r="AB114" s="725" t="str">
        <f>IFERROR(VALUE(RIGHT(AA114,LEN(AA114)-MIN(FIND({0;1;2;3;4;5;6;7;8;9},AA114&amp;"0123456789"))+1)),"")</f>
        <v/>
      </c>
    </row>
    <row r="115" spans="28:28" x14ac:dyDescent="0.2">
      <c r="AB115" s="725" t="str">
        <f>IFERROR(VALUE(RIGHT(AA115,LEN(AA115)-MIN(FIND({0;1;2;3;4;5;6;7;8;9},AA115&amp;"0123456789"))+1)),"")</f>
        <v/>
      </c>
    </row>
    <row r="116" spans="28:28" x14ac:dyDescent="0.2">
      <c r="AB116" s="725" t="str">
        <f>IFERROR(VALUE(RIGHT(AA116,LEN(AA116)-MIN(FIND({0;1;2;3;4;5;6;7;8;9},AA116&amp;"0123456789"))+1)),"")</f>
        <v/>
      </c>
    </row>
    <row r="117" spans="28:28" x14ac:dyDescent="0.2">
      <c r="AB117" s="725" t="str">
        <f>IFERROR(VALUE(RIGHT(AA117,LEN(AA117)-MIN(FIND({0;1;2;3;4;5;6;7;8;9},AA117&amp;"0123456789"))+1)),"")</f>
        <v/>
      </c>
    </row>
    <row r="118" spans="28:28" x14ac:dyDescent="0.2">
      <c r="AB118" s="725" t="str">
        <f>IFERROR(VALUE(RIGHT(AA118,LEN(AA118)-MIN(FIND({0;1;2;3;4;5;6;7;8;9},AA118&amp;"0123456789"))+1)),"")</f>
        <v/>
      </c>
    </row>
    <row r="119" spans="28:28" x14ac:dyDescent="0.2">
      <c r="AB119" s="725" t="str">
        <f>IFERROR(VALUE(RIGHT(AA119,LEN(AA119)-MIN(FIND({0;1;2;3;4;5;6;7;8;9},AA119&amp;"0123456789"))+1)),"")</f>
        <v/>
      </c>
    </row>
    <row r="120" spans="28:28" x14ac:dyDescent="0.2">
      <c r="AB120" s="725" t="str">
        <f>IFERROR(VALUE(RIGHT(AA120,LEN(AA120)-MIN(FIND({0;1;2;3;4;5;6;7;8;9},AA120&amp;"0123456789"))+1)),"")</f>
        <v/>
      </c>
    </row>
    <row r="121" spans="28:28" x14ac:dyDescent="0.2">
      <c r="AB121" s="725" t="str">
        <f>IFERROR(VALUE(RIGHT(AA121,LEN(AA121)-MIN(FIND({0;1;2;3;4;5;6;7;8;9},AA121&amp;"0123456789"))+1)),"")</f>
        <v/>
      </c>
    </row>
    <row r="122" spans="28:28" x14ac:dyDescent="0.2">
      <c r="AB122" s="725" t="str">
        <f>IFERROR(VALUE(RIGHT(AA122,LEN(AA122)-MIN(FIND({0;1;2;3;4;5;6;7;8;9},AA122&amp;"0123456789"))+1)),"")</f>
        <v/>
      </c>
    </row>
    <row r="123" spans="28:28" x14ac:dyDescent="0.2">
      <c r="AB123" s="725" t="str">
        <f>IFERROR(VALUE(RIGHT(AA123,LEN(AA123)-MIN(FIND({0;1;2;3;4;5;6;7;8;9},AA123&amp;"0123456789"))+1)),"")</f>
        <v/>
      </c>
    </row>
    <row r="124" spans="28:28" x14ac:dyDescent="0.2">
      <c r="AB124" s="725" t="str">
        <f>IFERROR(VALUE(RIGHT(AA124,LEN(AA124)-MIN(FIND({0;1;2;3;4;5;6;7;8;9},AA124&amp;"0123456789"))+1)),"")</f>
        <v/>
      </c>
    </row>
    <row r="125" spans="28:28" x14ac:dyDescent="0.2">
      <c r="AB125" s="725" t="str">
        <f>IFERROR(VALUE(RIGHT(AA125,LEN(AA125)-MIN(FIND({0;1;2;3;4;5;6;7;8;9},AA125&amp;"0123456789"))+1)),"")</f>
        <v/>
      </c>
    </row>
    <row r="126" spans="28:28" x14ac:dyDescent="0.2">
      <c r="AB126" s="725" t="str">
        <f>IFERROR(VALUE(RIGHT(AA126,LEN(AA126)-MIN(FIND({0;1;2;3;4;5;6;7;8;9},AA126&amp;"0123456789"))+1)),"")</f>
        <v/>
      </c>
    </row>
    <row r="127" spans="28:28" x14ac:dyDescent="0.2">
      <c r="AB127" s="725" t="str">
        <f>IFERROR(VALUE(RIGHT(AA127,LEN(AA127)-MIN(FIND({0;1;2;3;4;5;6;7;8;9},AA127&amp;"0123456789"))+1)),"")</f>
        <v/>
      </c>
    </row>
    <row r="128" spans="28:28" x14ac:dyDescent="0.2">
      <c r="AB128" s="725" t="str">
        <f>IFERROR(VALUE(RIGHT(AA128,LEN(AA128)-MIN(FIND({0;1;2;3;4;5;6;7;8;9},AA128&amp;"0123456789"))+1)),"")</f>
        <v/>
      </c>
    </row>
    <row r="129" spans="28:28" x14ac:dyDescent="0.2">
      <c r="AB129" s="725" t="str">
        <f>IFERROR(VALUE(RIGHT(AA129,LEN(AA129)-MIN(FIND({0;1;2;3;4;5;6;7;8;9},AA129&amp;"0123456789"))+1)),"")</f>
        <v/>
      </c>
    </row>
    <row r="130" spans="28:28" x14ac:dyDescent="0.2">
      <c r="AB130" s="725" t="str">
        <f>IFERROR(VALUE(RIGHT(AA130,LEN(AA130)-MIN(FIND({0;1;2;3;4;5;6;7;8;9},AA130&amp;"0123456789"))+1)),"")</f>
        <v/>
      </c>
    </row>
    <row r="131" spans="28:28" x14ac:dyDescent="0.2">
      <c r="AB131" s="725" t="str">
        <f>IFERROR(VALUE(RIGHT(AA131,LEN(AA131)-MIN(FIND({0;1;2;3;4;5;6;7;8;9},AA131&amp;"0123456789"))+1)),"")</f>
        <v/>
      </c>
    </row>
    <row r="132" spans="28:28" x14ac:dyDescent="0.2">
      <c r="AB132" s="725" t="str">
        <f>IFERROR(VALUE(RIGHT(AA132,LEN(AA132)-MIN(FIND({0;1;2;3;4;5;6;7;8;9},AA132&amp;"0123456789"))+1)),"")</f>
        <v/>
      </c>
    </row>
    <row r="133" spans="28:28" x14ac:dyDescent="0.2">
      <c r="AB133" s="725" t="str">
        <f>IFERROR(VALUE(RIGHT(AA133,LEN(AA133)-MIN(FIND({0;1;2;3;4;5;6;7;8;9},AA133&amp;"0123456789"))+1)),"")</f>
        <v/>
      </c>
    </row>
    <row r="134" spans="28:28" x14ac:dyDescent="0.2">
      <c r="AB134" s="725" t="str">
        <f>IFERROR(VALUE(RIGHT(AA134,LEN(AA134)-MIN(FIND({0;1;2;3;4;5;6;7;8;9},AA134&amp;"0123456789"))+1)),"")</f>
        <v/>
      </c>
    </row>
    <row r="135" spans="28:28" x14ac:dyDescent="0.2">
      <c r="AB135" s="725" t="str">
        <f>IFERROR(VALUE(RIGHT(AA135,LEN(AA135)-MIN(FIND({0;1;2;3;4;5;6;7;8;9},AA135&amp;"0123456789"))+1)),"")</f>
        <v/>
      </c>
    </row>
    <row r="136" spans="28:28" x14ac:dyDescent="0.2">
      <c r="AB136" s="725" t="str">
        <f>IFERROR(VALUE(RIGHT(AA136,LEN(AA136)-MIN(FIND({0;1;2;3;4;5;6;7;8;9},AA136&amp;"0123456789"))+1)),"")</f>
        <v/>
      </c>
    </row>
    <row r="137" spans="28:28" x14ac:dyDescent="0.2">
      <c r="AB137" s="725" t="str">
        <f>IFERROR(VALUE(RIGHT(AA137,LEN(AA137)-MIN(FIND({0;1;2;3;4;5;6;7;8;9},AA137&amp;"0123456789"))+1)),"")</f>
        <v/>
      </c>
    </row>
    <row r="138" spans="28:28" x14ac:dyDescent="0.2">
      <c r="AB138" s="725" t="str">
        <f>IFERROR(VALUE(RIGHT(AA138,LEN(AA138)-MIN(FIND({0;1;2;3;4;5;6;7;8;9},AA138&amp;"0123456789"))+1)),"")</f>
        <v/>
      </c>
    </row>
    <row r="139" spans="28:28" x14ac:dyDescent="0.2">
      <c r="AB139" s="725" t="str">
        <f>IFERROR(VALUE(RIGHT(AA139,LEN(AA139)-MIN(FIND({0;1;2;3;4;5;6;7;8;9},AA139&amp;"0123456789"))+1)),"")</f>
        <v/>
      </c>
    </row>
    <row r="140" spans="28:28" x14ac:dyDescent="0.2">
      <c r="AB140" s="725" t="str">
        <f>IFERROR(VALUE(RIGHT(AA140,LEN(AA140)-MIN(FIND({0;1;2;3;4;5;6;7;8;9},AA140&amp;"0123456789"))+1)),"")</f>
        <v/>
      </c>
    </row>
    <row r="141" spans="28:28" x14ac:dyDescent="0.2">
      <c r="AB141" s="725" t="str">
        <f>IFERROR(VALUE(RIGHT(AA141,LEN(AA141)-MIN(FIND({0;1;2;3;4;5;6;7;8;9},AA141&amp;"0123456789"))+1)),"")</f>
        <v/>
      </c>
    </row>
    <row r="142" spans="28:28" x14ac:dyDescent="0.2">
      <c r="AB142" s="725" t="str">
        <f>IFERROR(VALUE(RIGHT(AA142,LEN(AA142)-MIN(FIND({0;1;2;3;4;5;6;7;8;9},AA142&amp;"0123456789"))+1)),"")</f>
        <v/>
      </c>
    </row>
    <row r="143" spans="28:28" x14ac:dyDescent="0.2">
      <c r="AB143" s="725" t="str">
        <f>IFERROR(VALUE(RIGHT(AA143,LEN(AA143)-MIN(FIND({0;1;2;3;4;5;6;7;8;9},AA143&amp;"0123456789"))+1)),"")</f>
        <v/>
      </c>
    </row>
    <row r="144" spans="28:28" x14ac:dyDescent="0.2">
      <c r="AB144" s="725" t="str">
        <f>IFERROR(VALUE(RIGHT(AA144,LEN(AA144)-MIN(FIND({0;1;2;3;4;5;6;7;8;9},AA144&amp;"0123456789"))+1)),"")</f>
        <v/>
      </c>
    </row>
    <row r="145" spans="28:28" x14ac:dyDescent="0.2">
      <c r="AB145" s="725" t="str">
        <f>IFERROR(VALUE(RIGHT(AA145,LEN(AA145)-MIN(FIND({0;1;2;3;4;5;6;7;8;9},AA145&amp;"0123456789"))+1)),"")</f>
        <v/>
      </c>
    </row>
    <row r="146" spans="28:28" x14ac:dyDescent="0.2">
      <c r="AB146" s="725" t="str">
        <f>IFERROR(VALUE(RIGHT(AA146,LEN(AA146)-MIN(FIND({0;1;2;3;4;5;6;7;8;9},AA146&amp;"0123456789"))+1)),"")</f>
        <v/>
      </c>
    </row>
    <row r="147" spans="28:28" x14ac:dyDescent="0.2">
      <c r="AB147" s="725" t="str">
        <f>IFERROR(VALUE(RIGHT(AA147,LEN(AA147)-MIN(FIND({0;1;2;3;4;5;6;7;8;9},AA147&amp;"0123456789"))+1)),"")</f>
        <v/>
      </c>
    </row>
    <row r="148" spans="28:28" x14ac:dyDescent="0.2">
      <c r="AB148" s="725" t="str">
        <f>IFERROR(VALUE(RIGHT(AA148,LEN(AA148)-MIN(FIND({0;1;2;3;4;5;6;7;8;9},AA148&amp;"0123456789"))+1)),"")</f>
        <v/>
      </c>
    </row>
    <row r="149" spans="28:28" x14ac:dyDescent="0.2">
      <c r="AB149" s="725" t="str">
        <f>IFERROR(VALUE(RIGHT(AA149,LEN(AA149)-MIN(FIND({0;1;2;3;4;5;6;7;8;9},AA149&amp;"0123456789"))+1)),"")</f>
        <v/>
      </c>
    </row>
    <row r="150" spans="28:28" x14ac:dyDescent="0.2">
      <c r="AB150" s="725" t="str">
        <f>IFERROR(VALUE(RIGHT(AA150,LEN(AA150)-MIN(FIND({0;1;2;3;4;5;6;7;8;9},AA150&amp;"0123456789"))+1)),"")</f>
        <v/>
      </c>
    </row>
    <row r="151" spans="28:28" x14ac:dyDescent="0.2">
      <c r="AB151" s="725" t="str">
        <f>IFERROR(VALUE(RIGHT(AA151,LEN(AA151)-MIN(FIND({0;1;2;3;4;5;6;7;8;9},AA151&amp;"0123456789"))+1)),"")</f>
        <v/>
      </c>
    </row>
    <row r="152" spans="28:28" x14ac:dyDescent="0.2">
      <c r="AB152" s="725" t="str">
        <f>IFERROR(VALUE(RIGHT(AA152,LEN(AA152)-MIN(FIND({0;1;2;3;4;5;6;7;8;9},AA152&amp;"0123456789"))+1)),"")</f>
        <v/>
      </c>
    </row>
    <row r="153" spans="28:28" x14ac:dyDescent="0.2">
      <c r="AB153" s="725" t="str">
        <f>IFERROR(VALUE(RIGHT(AA153,LEN(AA153)-MIN(FIND({0;1;2;3;4;5;6;7;8;9},AA153&amp;"0123456789"))+1)),"")</f>
        <v/>
      </c>
    </row>
    <row r="154" spans="28:28" x14ac:dyDescent="0.2">
      <c r="AB154" s="725" t="str">
        <f>IFERROR(VALUE(RIGHT(AA154,LEN(AA154)-MIN(FIND({0;1;2;3;4;5;6;7;8;9},AA154&amp;"0123456789"))+1)),"")</f>
        <v/>
      </c>
    </row>
    <row r="155" spans="28:28" x14ac:dyDescent="0.2">
      <c r="AB155" s="725" t="str">
        <f>IFERROR(VALUE(RIGHT(AA155,LEN(AA155)-MIN(FIND({0;1;2;3;4;5;6;7;8;9},AA155&amp;"0123456789"))+1)),"")</f>
        <v/>
      </c>
    </row>
    <row r="156" spans="28:28" x14ac:dyDescent="0.2">
      <c r="AB156" s="725" t="str">
        <f>IFERROR(VALUE(RIGHT(AA156,LEN(AA156)-MIN(FIND({0;1;2;3;4;5;6;7;8;9},AA156&amp;"0123456789"))+1)),"")</f>
        <v/>
      </c>
    </row>
    <row r="157" spans="28:28" x14ac:dyDescent="0.2">
      <c r="AB157" s="725" t="str">
        <f>IFERROR(VALUE(RIGHT(AA157,LEN(AA157)-MIN(FIND({0;1;2;3;4;5;6;7;8;9},AA157&amp;"0123456789"))+1)),"")</f>
        <v/>
      </c>
    </row>
    <row r="158" spans="28:28" x14ac:dyDescent="0.2">
      <c r="AB158" s="725" t="str">
        <f>IFERROR(VALUE(RIGHT(AA158,LEN(AA158)-MIN(FIND({0;1;2;3;4;5;6;7;8;9},AA158&amp;"0123456789"))+1)),"")</f>
        <v/>
      </c>
    </row>
    <row r="159" spans="28:28" x14ac:dyDescent="0.2">
      <c r="AB159" s="725" t="str">
        <f>IFERROR(VALUE(RIGHT(AA159,LEN(AA159)-MIN(FIND({0;1;2;3;4;5;6;7;8;9},AA159&amp;"0123456789"))+1)),"")</f>
        <v/>
      </c>
    </row>
    <row r="160" spans="28:28" x14ac:dyDescent="0.2">
      <c r="AB160" s="725" t="str">
        <f>IFERROR(VALUE(RIGHT(AA160,LEN(AA160)-MIN(FIND({0;1;2;3;4;5;6;7;8;9},AA160&amp;"0123456789"))+1)),"")</f>
        <v/>
      </c>
    </row>
    <row r="161" spans="28:28" x14ac:dyDescent="0.2">
      <c r="AB161" s="725" t="str">
        <f>IFERROR(VALUE(RIGHT(AA161,LEN(AA161)-MIN(FIND({0;1;2;3;4;5;6;7;8;9},AA161&amp;"0123456789"))+1)),"")</f>
        <v/>
      </c>
    </row>
    <row r="162" spans="28:28" x14ac:dyDescent="0.2">
      <c r="AB162" s="725" t="str">
        <f>IFERROR(VALUE(RIGHT(AA162,LEN(AA162)-MIN(FIND({0;1;2;3;4;5;6;7;8;9},AA162&amp;"0123456789"))+1)),"")</f>
        <v/>
      </c>
    </row>
    <row r="163" spans="28:28" x14ac:dyDescent="0.2">
      <c r="AB163" s="725" t="str">
        <f>IFERROR(VALUE(RIGHT(AA163,LEN(AA163)-MIN(FIND({0;1;2;3;4;5;6;7;8;9},AA163&amp;"0123456789"))+1)),"")</f>
        <v/>
      </c>
    </row>
    <row r="164" spans="28:28" x14ac:dyDescent="0.2">
      <c r="AB164" s="725" t="str">
        <f>IFERROR(VALUE(RIGHT(AA164,LEN(AA164)-MIN(FIND({0;1;2;3;4;5;6;7;8;9},AA164&amp;"0123456789"))+1)),"")</f>
        <v/>
      </c>
    </row>
    <row r="165" spans="28:28" x14ac:dyDescent="0.2">
      <c r="AB165" s="725" t="str">
        <f>IFERROR(VALUE(RIGHT(AA165,LEN(AA165)-MIN(FIND({0;1;2;3;4;5;6;7;8;9},AA165&amp;"0123456789"))+1)),"")</f>
        <v/>
      </c>
    </row>
    <row r="166" spans="28:28" x14ac:dyDescent="0.2">
      <c r="AB166" s="725" t="str">
        <f>IFERROR(VALUE(RIGHT(AA166,LEN(AA166)-MIN(FIND({0;1;2;3;4;5;6;7;8;9},AA166&amp;"0123456789"))+1)),"")</f>
        <v/>
      </c>
    </row>
    <row r="167" spans="28:28" x14ac:dyDescent="0.2">
      <c r="AB167" s="725" t="str">
        <f>IFERROR(VALUE(RIGHT(AA167,LEN(AA167)-MIN(FIND({0;1;2;3;4;5;6;7;8;9},AA167&amp;"0123456789"))+1)),"")</f>
        <v/>
      </c>
    </row>
    <row r="168" spans="28:28" x14ac:dyDescent="0.2">
      <c r="AB168" s="725" t="str">
        <f>IFERROR(VALUE(RIGHT(AA168,LEN(AA168)-MIN(FIND({0;1;2;3;4;5;6;7;8;9},AA168&amp;"0123456789"))+1)),"")</f>
        <v/>
      </c>
    </row>
    <row r="169" spans="28:28" x14ac:dyDescent="0.2">
      <c r="AB169" s="725" t="str">
        <f>IFERROR(VALUE(RIGHT(AA169,LEN(AA169)-MIN(FIND({0;1;2;3;4;5;6;7;8;9},AA169&amp;"0123456789"))+1)),"")</f>
        <v/>
      </c>
    </row>
    <row r="170" spans="28:28" x14ac:dyDescent="0.2">
      <c r="AB170" s="725" t="str">
        <f>IFERROR(VALUE(RIGHT(AA170,LEN(AA170)-MIN(FIND({0;1;2;3;4;5;6;7;8;9},AA170&amp;"0123456789"))+1)),"")</f>
        <v/>
      </c>
    </row>
    <row r="171" spans="28:28" x14ac:dyDescent="0.2">
      <c r="AB171" s="725" t="str">
        <f>IFERROR(VALUE(RIGHT(AA171,LEN(AA171)-MIN(FIND({0;1;2;3;4;5;6;7;8;9},AA171&amp;"0123456789"))+1)),"")</f>
        <v/>
      </c>
    </row>
    <row r="172" spans="28:28" x14ac:dyDescent="0.2">
      <c r="AB172" s="725" t="str">
        <f>IFERROR(VALUE(RIGHT(AA172,LEN(AA172)-MIN(FIND({0;1;2;3;4;5;6;7;8;9},AA172&amp;"0123456789"))+1)),"")</f>
        <v/>
      </c>
    </row>
    <row r="173" spans="28:28" x14ac:dyDescent="0.2">
      <c r="AB173" s="725" t="str">
        <f>IFERROR(VALUE(RIGHT(AA173,LEN(AA173)-MIN(FIND({0;1;2;3;4;5;6;7;8;9},AA173&amp;"0123456789"))+1)),"")</f>
        <v/>
      </c>
    </row>
    <row r="174" spans="28:28" x14ac:dyDescent="0.2">
      <c r="AB174" s="725" t="str">
        <f>IFERROR(VALUE(RIGHT(AA174,LEN(AA174)-MIN(FIND({0;1;2;3;4;5;6;7;8;9},AA174&amp;"0123456789"))+1)),"")</f>
        <v/>
      </c>
    </row>
    <row r="175" spans="28:28" x14ac:dyDescent="0.2">
      <c r="AB175" s="725" t="str">
        <f>IFERROR(VALUE(RIGHT(AA175,LEN(AA175)-MIN(FIND({0;1;2;3;4;5;6;7;8;9},AA175&amp;"0123456789"))+1)),"")</f>
        <v/>
      </c>
    </row>
    <row r="176" spans="28:28" x14ac:dyDescent="0.2">
      <c r="AB176" s="725" t="str">
        <f>IFERROR(VALUE(RIGHT(AA176,LEN(AA176)-MIN(FIND({0;1;2;3;4;5;6;7;8;9},AA176&amp;"0123456789"))+1)),"")</f>
        <v/>
      </c>
    </row>
    <row r="177" spans="28:28" x14ac:dyDescent="0.2">
      <c r="AB177" s="725" t="str">
        <f>IFERROR(VALUE(RIGHT(AA177,LEN(AA177)-MIN(FIND({0;1;2;3;4;5;6;7;8;9},AA177&amp;"0123456789"))+1)),"")</f>
        <v/>
      </c>
    </row>
    <row r="178" spans="28:28" x14ac:dyDescent="0.2">
      <c r="AB178" s="725" t="str">
        <f>IFERROR(VALUE(RIGHT(AA178,LEN(AA178)-MIN(FIND({0;1;2;3;4;5;6;7;8;9},AA178&amp;"0123456789"))+1)),"")</f>
        <v/>
      </c>
    </row>
    <row r="179" spans="28:28" x14ac:dyDescent="0.2">
      <c r="AB179" s="725" t="str">
        <f>IFERROR(VALUE(RIGHT(AA179,LEN(AA179)-MIN(FIND({0;1;2;3;4;5;6;7;8;9},AA179&amp;"0123456789"))+1)),"")</f>
        <v/>
      </c>
    </row>
    <row r="180" spans="28:28" x14ac:dyDescent="0.2">
      <c r="AB180" s="725" t="str">
        <f>IFERROR(VALUE(RIGHT(AA180,LEN(AA180)-MIN(FIND({0;1;2;3;4;5;6;7;8;9},AA180&amp;"0123456789"))+1)),"")</f>
        <v/>
      </c>
    </row>
    <row r="181" spans="28:28" x14ac:dyDescent="0.2">
      <c r="AB181" s="725" t="str">
        <f>IFERROR(VALUE(RIGHT(AA181,LEN(AA181)-MIN(FIND({0;1;2;3;4;5;6;7;8;9},AA181&amp;"0123456789"))+1)),"")</f>
        <v/>
      </c>
    </row>
    <row r="182" spans="28:28" x14ac:dyDescent="0.2">
      <c r="AB182" s="725" t="str">
        <f>IFERROR(VALUE(RIGHT(AA182,LEN(AA182)-MIN(FIND({0;1;2;3;4;5;6;7;8;9},AA182&amp;"0123456789"))+1)),"")</f>
        <v/>
      </c>
    </row>
    <row r="183" spans="28:28" x14ac:dyDescent="0.2">
      <c r="AB183" s="725" t="str">
        <f>IFERROR(VALUE(RIGHT(AA183,LEN(AA183)-MIN(FIND({0;1;2;3;4;5;6;7;8;9},AA183&amp;"0123456789"))+1)),"")</f>
        <v/>
      </c>
    </row>
    <row r="184" spans="28:28" x14ac:dyDescent="0.2">
      <c r="AB184" s="725" t="str">
        <f>IFERROR(VALUE(RIGHT(AA184,LEN(AA184)-MIN(FIND({0;1;2;3;4;5;6;7;8;9},AA184&amp;"0123456789"))+1)),"")</f>
        <v/>
      </c>
    </row>
    <row r="185" spans="28:28" x14ac:dyDescent="0.2">
      <c r="AB185" s="725" t="str">
        <f>IFERROR(VALUE(RIGHT(AA185,LEN(AA185)-MIN(FIND({0;1;2;3;4;5;6;7;8;9},AA185&amp;"0123456789"))+1)),"")</f>
        <v/>
      </c>
    </row>
    <row r="186" spans="28:28" x14ac:dyDescent="0.2">
      <c r="AB186" s="725" t="str">
        <f>IFERROR(VALUE(RIGHT(AA186,LEN(AA186)-MIN(FIND({0;1;2;3;4;5;6;7;8;9},AA186&amp;"0123456789"))+1)),"")</f>
        <v/>
      </c>
    </row>
    <row r="187" spans="28:28" x14ac:dyDescent="0.2">
      <c r="AB187" s="725" t="str">
        <f>IFERROR(VALUE(RIGHT(AA187,LEN(AA187)-MIN(FIND({0;1;2;3;4;5;6;7;8;9},AA187&amp;"0123456789"))+1)),"")</f>
        <v/>
      </c>
    </row>
    <row r="188" spans="28:28" x14ac:dyDescent="0.2">
      <c r="AB188" s="725" t="str">
        <f>IFERROR(VALUE(RIGHT(AA188,LEN(AA188)-MIN(FIND({0;1;2;3;4;5;6;7;8;9},AA188&amp;"0123456789"))+1)),"")</f>
        <v/>
      </c>
    </row>
    <row r="189" spans="28:28" x14ac:dyDescent="0.2">
      <c r="AB189" s="725" t="str">
        <f>IFERROR(VALUE(RIGHT(AA189,LEN(AA189)-MIN(FIND({0;1;2;3;4;5;6;7;8;9},AA189&amp;"0123456789"))+1)),"")</f>
        <v/>
      </c>
    </row>
    <row r="190" spans="28:28" x14ac:dyDescent="0.2">
      <c r="AB190" s="725" t="str">
        <f>IFERROR(VALUE(RIGHT(AA190,LEN(AA190)-MIN(FIND({0;1;2;3;4;5;6;7;8;9},AA190&amp;"0123456789"))+1)),"")</f>
        <v/>
      </c>
    </row>
    <row r="191" spans="28:28" x14ac:dyDescent="0.2">
      <c r="AB191" s="725" t="str">
        <f>IFERROR(VALUE(RIGHT(AA191,LEN(AA191)-MIN(FIND({0;1;2;3;4;5;6;7;8;9},AA191&amp;"0123456789"))+1)),"")</f>
        <v/>
      </c>
    </row>
    <row r="192" spans="28:28" x14ac:dyDescent="0.2">
      <c r="AB192" s="725" t="str">
        <f>IFERROR(VALUE(RIGHT(AA192,LEN(AA192)-MIN(FIND({0;1;2;3;4;5;6;7;8;9},AA192&amp;"0123456789"))+1)),"")</f>
        <v/>
      </c>
    </row>
    <row r="193" spans="28:28" x14ac:dyDescent="0.2">
      <c r="AB193" s="725" t="str">
        <f>IFERROR(VALUE(RIGHT(AA193,LEN(AA193)-MIN(FIND({0;1;2;3;4;5;6;7;8;9},AA193&amp;"0123456789"))+1)),"")</f>
        <v/>
      </c>
    </row>
    <row r="194" spans="28:28" x14ac:dyDescent="0.2">
      <c r="AB194" s="725" t="str">
        <f>IFERROR(VALUE(RIGHT(AA194,LEN(AA194)-MIN(FIND({0;1;2;3;4;5;6;7;8;9},AA194&amp;"0123456789"))+1)),"")</f>
        <v/>
      </c>
    </row>
    <row r="195" spans="28:28" x14ac:dyDescent="0.2">
      <c r="AB195" s="725" t="str">
        <f>IFERROR(VALUE(RIGHT(AA195,LEN(AA195)-MIN(FIND({0;1;2;3;4;5;6;7;8;9},AA195&amp;"0123456789"))+1)),"")</f>
        <v/>
      </c>
    </row>
    <row r="196" spans="28:28" x14ac:dyDescent="0.2">
      <c r="AB196" s="725" t="str">
        <f>IFERROR(VALUE(RIGHT(AA196,LEN(AA196)-MIN(FIND({0;1;2;3;4;5;6;7;8;9},AA196&amp;"0123456789"))+1)),"")</f>
        <v/>
      </c>
    </row>
    <row r="197" spans="28:28" x14ac:dyDescent="0.2">
      <c r="AB197" s="725" t="str">
        <f>IFERROR(VALUE(RIGHT(AA197,LEN(AA197)-MIN(FIND({0;1;2;3;4;5;6;7;8;9},AA197&amp;"0123456789"))+1)),"")</f>
        <v/>
      </c>
    </row>
    <row r="198" spans="28:28" x14ac:dyDescent="0.2">
      <c r="AB198" s="725" t="str">
        <f>IFERROR(VALUE(RIGHT(AA198,LEN(AA198)-MIN(FIND({0;1;2;3;4;5;6;7;8;9},AA198&amp;"0123456789"))+1)),"")</f>
        <v/>
      </c>
    </row>
    <row r="199" spans="28:28" x14ac:dyDescent="0.2">
      <c r="AB199" s="725" t="str">
        <f>IFERROR(VALUE(RIGHT(AA199,LEN(AA199)-MIN(FIND({0;1;2;3;4;5;6;7;8;9},AA199&amp;"0123456789"))+1)),"")</f>
        <v/>
      </c>
    </row>
    <row r="200" spans="28:28" x14ac:dyDescent="0.2">
      <c r="AB200" s="725" t="str">
        <f>IFERROR(VALUE(RIGHT(AA200,LEN(AA200)-MIN(FIND({0;1;2;3;4;5;6;7;8;9},AA200&amp;"0123456789"))+1)),"")</f>
        <v/>
      </c>
    </row>
    <row r="201" spans="28:28" x14ac:dyDescent="0.2">
      <c r="AB201" s="725" t="str">
        <f>IFERROR(VALUE(RIGHT(AA201,LEN(AA201)-MIN(FIND({0;1;2;3;4;5;6;7;8;9},AA201&amp;"0123456789"))+1)),"")</f>
        <v/>
      </c>
    </row>
    <row r="202" spans="28:28" x14ac:dyDescent="0.2">
      <c r="AB202" s="725" t="str">
        <f>IFERROR(VALUE(RIGHT(AA202,LEN(AA202)-MIN(FIND({0;1;2;3;4;5;6;7;8;9},AA202&amp;"0123456789"))+1)),"")</f>
        <v/>
      </c>
    </row>
    <row r="203" spans="28:28" x14ac:dyDescent="0.2">
      <c r="AB203" s="725" t="str">
        <f>IFERROR(VALUE(RIGHT(AA203,LEN(AA203)-MIN(FIND({0;1;2;3;4;5;6;7;8;9},AA203&amp;"0123456789"))+1)),"")</f>
        <v/>
      </c>
    </row>
    <row r="204" spans="28:28" x14ac:dyDescent="0.2">
      <c r="AB204" s="725" t="str">
        <f>IFERROR(VALUE(RIGHT(AA204,LEN(AA204)-MIN(FIND({0;1;2;3;4;5;6;7;8;9},AA204&amp;"0123456789"))+1)),"")</f>
        <v/>
      </c>
    </row>
    <row r="205" spans="28:28" x14ac:dyDescent="0.2">
      <c r="AB205" s="725" t="str">
        <f>IFERROR(VALUE(RIGHT(AA205,LEN(AA205)-MIN(FIND({0;1;2;3;4;5;6;7;8;9},AA205&amp;"0123456789"))+1)),"")</f>
        <v/>
      </c>
    </row>
    <row r="206" spans="28:28" x14ac:dyDescent="0.2">
      <c r="AB206" s="725" t="str">
        <f>IFERROR(VALUE(RIGHT(AA206,LEN(AA206)-MIN(FIND({0;1;2;3;4;5;6;7;8;9},AA206&amp;"0123456789"))+1)),"")</f>
        <v/>
      </c>
    </row>
    <row r="207" spans="28:28" x14ac:dyDescent="0.2">
      <c r="AB207" s="725" t="str">
        <f>IFERROR(VALUE(RIGHT(AA207,LEN(AA207)-MIN(FIND({0;1;2;3;4;5;6;7;8;9},AA207&amp;"0123456789"))+1)),"")</f>
        <v/>
      </c>
    </row>
    <row r="208" spans="28:28" x14ac:dyDescent="0.2">
      <c r="AB208" s="725" t="str">
        <f>IFERROR(VALUE(RIGHT(AA208,LEN(AA208)-MIN(FIND({0;1;2;3;4;5;6;7;8;9},AA208&amp;"0123456789"))+1)),"")</f>
        <v/>
      </c>
    </row>
    <row r="209" spans="28:28" x14ac:dyDescent="0.2">
      <c r="AB209" s="725" t="str">
        <f>IFERROR(VALUE(RIGHT(AA209,LEN(AA209)-MIN(FIND({0;1;2;3;4;5;6;7;8;9},AA209&amp;"0123456789"))+1)),"")</f>
        <v/>
      </c>
    </row>
    <row r="210" spans="28:28" x14ac:dyDescent="0.2">
      <c r="AB210" s="725" t="str">
        <f>IFERROR(VALUE(RIGHT(AA210,LEN(AA210)-MIN(FIND({0;1;2;3;4;5;6;7;8;9},AA210&amp;"0123456789"))+1)),"")</f>
        <v/>
      </c>
    </row>
    <row r="211" spans="28:28" x14ac:dyDescent="0.2">
      <c r="AB211" s="725" t="str">
        <f>IFERROR(VALUE(RIGHT(AA211,LEN(AA211)-MIN(FIND({0;1;2;3;4;5;6;7;8;9},AA211&amp;"0123456789"))+1)),"")</f>
        <v/>
      </c>
    </row>
    <row r="212" spans="28:28" x14ac:dyDescent="0.2">
      <c r="AB212" s="725" t="str">
        <f>IFERROR(VALUE(RIGHT(AA212,LEN(AA212)-MIN(FIND({0;1;2;3;4;5;6;7;8;9},AA212&amp;"0123456789"))+1)),"")</f>
        <v/>
      </c>
    </row>
    <row r="213" spans="28:28" x14ac:dyDescent="0.2">
      <c r="AB213" s="725" t="str">
        <f>IFERROR(VALUE(RIGHT(AA213,LEN(AA213)-MIN(FIND({0;1;2;3;4;5;6;7;8;9},AA213&amp;"0123456789"))+1)),"")</f>
        <v/>
      </c>
    </row>
    <row r="214" spans="28:28" x14ac:dyDescent="0.2">
      <c r="AB214" s="725" t="str">
        <f>IFERROR(VALUE(RIGHT(AA214,LEN(AA214)-MIN(FIND({0;1;2;3;4;5;6;7;8;9},AA214&amp;"0123456789"))+1)),"")</f>
        <v/>
      </c>
    </row>
    <row r="215" spans="28:28" x14ac:dyDescent="0.2">
      <c r="AB215" s="725" t="str">
        <f>IFERROR(VALUE(RIGHT(AA215,LEN(AA215)-MIN(FIND({0;1;2;3;4;5;6;7;8;9},AA215&amp;"0123456789"))+1)),"")</f>
        <v/>
      </c>
    </row>
    <row r="216" spans="28:28" x14ac:dyDescent="0.2">
      <c r="AB216" s="725" t="str">
        <f>IFERROR(VALUE(RIGHT(AA216,LEN(AA216)-MIN(FIND({0;1;2;3;4;5;6;7;8;9},AA216&amp;"0123456789"))+1)),"")</f>
        <v/>
      </c>
    </row>
    <row r="217" spans="28:28" x14ac:dyDescent="0.2">
      <c r="AB217" s="725" t="str">
        <f>IFERROR(VALUE(RIGHT(AA217,LEN(AA217)-MIN(FIND({0;1;2;3;4;5;6;7;8;9},AA217&amp;"0123456789"))+1)),"")</f>
        <v/>
      </c>
    </row>
    <row r="218" spans="28:28" x14ac:dyDescent="0.2">
      <c r="AB218" s="725" t="str">
        <f>IFERROR(VALUE(RIGHT(AA218,LEN(AA218)-MIN(FIND({0;1;2;3;4;5;6;7;8;9},AA218&amp;"0123456789"))+1)),"")</f>
        <v/>
      </c>
    </row>
    <row r="219" spans="28:28" x14ac:dyDescent="0.2">
      <c r="AB219" s="725" t="str">
        <f>IFERROR(VALUE(RIGHT(AA219,LEN(AA219)-MIN(FIND({0;1;2;3;4;5;6;7;8;9},AA219&amp;"0123456789"))+1)),"")</f>
        <v/>
      </c>
    </row>
    <row r="220" spans="28:28" x14ac:dyDescent="0.2">
      <c r="AB220" s="725" t="str">
        <f>IFERROR(VALUE(RIGHT(AA220,LEN(AA220)-MIN(FIND({0;1;2;3;4;5;6;7;8;9},AA220&amp;"0123456789"))+1)),"")</f>
        <v/>
      </c>
    </row>
    <row r="221" spans="28:28" x14ac:dyDescent="0.2">
      <c r="AB221" s="725" t="str">
        <f>IFERROR(VALUE(RIGHT(AA221,LEN(AA221)-MIN(FIND({0;1;2;3;4;5;6;7;8;9},AA221&amp;"0123456789"))+1)),"")</f>
        <v/>
      </c>
    </row>
    <row r="222" spans="28:28" x14ac:dyDescent="0.2">
      <c r="AB222" s="725" t="str">
        <f>IFERROR(VALUE(RIGHT(AA222,LEN(AA222)-MIN(FIND({0;1;2;3;4;5;6;7;8;9},AA222&amp;"0123456789"))+1)),"")</f>
        <v/>
      </c>
    </row>
    <row r="223" spans="28:28" x14ac:dyDescent="0.2">
      <c r="AB223" s="725" t="str">
        <f>IFERROR(VALUE(RIGHT(AA223,LEN(AA223)-MIN(FIND({0;1;2;3;4;5;6;7;8;9},AA223&amp;"0123456789"))+1)),"")</f>
        <v/>
      </c>
    </row>
    <row r="224" spans="28:28" x14ac:dyDescent="0.2">
      <c r="AB224" s="725" t="str">
        <f>IFERROR(VALUE(RIGHT(AA224,LEN(AA224)-MIN(FIND({0;1;2;3;4;5;6;7;8;9},AA224&amp;"0123456789"))+1)),"")</f>
        <v/>
      </c>
    </row>
    <row r="225" spans="28:28" x14ac:dyDescent="0.2">
      <c r="AB225" s="725" t="str">
        <f>IFERROR(VALUE(RIGHT(AA225,LEN(AA225)-MIN(FIND({0;1;2;3;4;5;6;7;8;9},AA225&amp;"0123456789"))+1)),"")</f>
        <v/>
      </c>
    </row>
    <row r="226" spans="28:28" x14ac:dyDescent="0.2">
      <c r="AB226" s="725" t="str">
        <f>IFERROR(VALUE(RIGHT(AA226,LEN(AA226)-MIN(FIND({0;1;2;3;4;5;6;7;8;9},AA226&amp;"0123456789"))+1)),"")</f>
        <v/>
      </c>
    </row>
    <row r="227" spans="28:28" x14ac:dyDescent="0.2">
      <c r="AB227" s="725" t="str">
        <f>IFERROR(VALUE(RIGHT(AA227,LEN(AA227)-MIN(FIND({0;1;2;3;4;5;6;7;8;9},AA227&amp;"0123456789"))+1)),"")</f>
        <v/>
      </c>
    </row>
    <row r="228" spans="28:28" x14ac:dyDescent="0.2">
      <c r="AB228" s="725" t="str">
        <f>IFERROR(VALUE(RIGHT(AA228,LEN(AA228)-MIN(FIND({0;1;2;3;4;5;6;7;8;9},AA228&amp;"0123456789"))+1)),"")</f>
        <v/>
      </c>
    </row>
    <row r="229" spans="28:28" x14ac:dyDescent="0.2">
      <c r="AB229" s="725" t="str">
        <f>IFERROR(VALUE(RIGHT(AA229,LEN(AA229)-MIN(FIND({0;1;2;3;4;5;6;7;8;9},AA229&amp;"0123456789"))+1)),"")</f>
        <v/>
      </c>
    </row>
    <row r="230" spans="28:28" x14ac:dyDescent="0.2">
      <c r="AB230" s="725" t="str">
        <f>IFERROR(VALUE(RIGHT(AA230,LEN(AA230)-MIN(FIND({0;1;2;3;4;5;6;7;8;9},AA230&amp;"0123456789"))+1)),"")</f>
        <v/>
      </c>
    </row>
    <row r="231" spans="28:28" x14ac:dyDescent="0.2">
      <c r="AB231" s="725" t="str">
        <f>IFERROR(VALUE(RIGHT(AA231,LEN(AA231)-MIN(FIND({0;1;2;3;4;5;6;7;8;9},AA231&amp;"0123456789"))+1)),"")</f>
        <v/>
      </c>
    </row>
    <row r="232" spans="28:28" x14ac:dyDescent="0.2">
      <c r="AB232" s="725" t="str">
        <f>IFERROR(VALUE(RIGHT(AA232,LEN(AA232)-MIN(FIND({0;1;2;3;4;5;6;7;8;9},AA232&amp;"0123456789"))+1)),"")</f>
        <v/>
      </c>
    </row>
    <row r="233" spans="28:28" x14ac:dyDescent="0.2">
      <c r="AB233" s="725" t="str">
        <f>IFERROR(VALUE(RIGHT(AA233,LEN(AA233)-MIN(FIND({0;1;2;3;4;5;6;7;8;9},AA233&amp;"0123456789"))+1)),"")</f>
        <v/>
      </c>
    </row>
    <row r="234" spans="28:28" x14ac:dyDescent="0.2">
      <c r="AB234" s="725" t="str">
        <f>IFERROR(VALUE(RIGHT(AA234,LEN(AA234)-MIN(FIND({0;1;2;3;4;5;6;7;8;9},AA234&amp;"0123456789"))+1)),"")</f>
        <v/>
      </c>
    </row>
    <row r="235" spans="28:28" x14ac:dyDescent="0.2">
      <c r="AB235" s="725" t="str">
        <f>IFERROR(VALUE(RIGHT(AA235,LEN(AA235)-MIN(FIND({0;1;2;3;4;5;6;7;8;9},AA235&amp;"0123456789"))+1)),"")</f>
        <v/>
      </c>
    </row>
    <row r="236" spans="28:28" x14ac:dyDescent="0.2">
      <c r="AB236" s="725" t="str">
        <f>IFERROR(VALUE(RIGHT(AA236,LEN(AA236)-MIN(FIND({0;1;2;3;4;5;6;7;8;9},AA236&amp;"0123456789"))+1)),"")</f>
        <v/>
      </c>
    </row>
    <row r="237" spans="28:28" x14ac:dyDescent="0.2">
      <c r="AB237" s="725" t="str">
        <f>IFERROR(VALUE(RIGHT(AA237,LEN(AA237)-MIN(FIND({0;1;2;3;4;5;6;7;8;9},AA237&amp;"0123456789"))+1)),"")</f>
        <v/>
      </c>
    </row>
    <row r="238" spans="28:28" x14ac:dyDescent="0.2">
      <c r="AB238" s="725" t="str">
        <f>IFERROR(VALUE(RIGHT(AA238,LEN(AA238)-MIN(FIND({0;1;2;3;4;5;6;7;8;9},AA238&amp;"0123456789"))+1)),"")</f>
        <v/>
      </c>
    </row>
    <row r="239" spans="28:28" x14ac:dyDescent="0.2">
      <c r="AB239" s="725" t="str">
        <f>IFERROR(VALUE(RIGHT(AA239,LEN(AA239)-MIN(FIND({0;1;2;3;4;5;6;7;8;9},AA239&amp;"0123456789"))+1)),"")</f>
        <v/>
      </c>
    </row>
    <row r="240" spans="28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7" hidden="1" customWidth="1"/>
    <col min="21" max="21" width="15" style="57" hidden="1" customWidth="1"/>
    <col min="22" max="22" width="8.42578125" style="57" hidden="1" customWidth="1"/>
    <col min="23" max="23" width="2.7109375" style="57" customWidth="1"/>
    <col min="24" max="24" width="27.285156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5"/>
      <c r="AA4" s="725"/>
      <c r="AB4" s="725" t="str">
        <f>IFERROR(VALUE(RIGHT(AA4,LEN(AA4)-MIN(FIND({0;1;2;3;4;5;6;7;8;9},AA4&amp;"0123456789"))+1)),"")</f>
        <v/>
      </c>
    </row>
    <row r="5" spans="24:28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79" t="s">
        <v>516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0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A13" s="725"/>
      <c r="AB13" s="725" t="str">
        <f>IFERROR(VALUE(RIGHT(AA13,LEN(AA13)-MIN(FIND({0;1;2;3;4;5;6;7;8;9},AA13&amp;"0123456789"))+1)),"")</f>
        <v/>
      </c>
    </row>
    <row r="14" spans="24:28" x14ac:dyDescent="0.2">
      <c r="AA14" s="725"/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A16" s="725"/>
      <c r="AB16" s="725" t="str">
        <f>IFERROR(VALUE(RIGHT(AA16,LEN(AA16)-MIN(FIND({0;1;2;3;4;5;6;7;8;9},AA16&amp;"0123456789"))+1)),"")</f>
        <v/>
      </c>
    </row>
    <row r="17" spans="27:28" x14ac:dyDescent="0.2">
      <c r="AA17" s="725"/>
      <c r="AB17" s="725" t="str">
        <f>IFERROR(VALUE(RIGHT(AA17,LEN(AA17)-MIN(FIND({0;1;2;3;4;5;6;7;8;9},AA17&amp;"0123456789"))+1)),"")</f>
        <v/>
      </c>
    </row>
    <row r="18" spans="27:28" x14ac:dyDescent="0.2">
      <c r="AA18" s="725"/>
      <c r="AB18" s="725" t="str">
        <f>IFERROR(VALUE(RIGHT(AA18,LEN(AA18)-MIN(FIND({0;1;2;3;4;5;6;7;8;9},AA18&amp;"0123456789"))+1)),"")</f>
        <v/>
      </c>
    </row>
    <row r="19" spans="27:28" x14ac:dyDescent="0.2">
      <c r="AA19" s="725"/>
      <c r="AB19" s="725" t="str">
        <f>IFERROR(VALUE(RIGHT(AA19,LEN(AA19)-MIN(FIND({0;1;2;3;4;5;6;7;8;9},AA19&amp;"0123456789"))+1)),"")</f>
        <v/>
      </c>
    </row>
    <row r="20" spans="27:28" x14ac:dyDescent="0.2">
      <c r="AA20" s="725"/>
      <c r="AB20" s="725" t="str">
        <f>IFERROR(VALUE(RIGHT(AA20,LEN(AA20)-MIN(FIND({0;1;2;3;4;5;6;7;8;9},AA20&amp;"0123456789"))+1)),"")</f>
        <v/>
      </c>
    </row>
    <row r="21" spans="27:28" x14ac:dyDescent="0.2">
      <c r="AA21" s="725"/>
      <c r="AB21" s="725" t="str">
        <f>IFERROR(VALUE(RIGHT(AA21,LEN(AA21)-MIN(FIND({0;1;2;3;4;5;6;7;8;9},AA21&amp;"0123456789"))+1)),"")</f>
        <v/>
      </c>
    </row>
    <row r="22" spans="27:28" x14ac:dyDescent="0.2">
      <c r="AA22" s="725"/>
      <c r="AB22" s="725" t="str">
        <f>IFERROR(VALUE(RIGHT(AA22,LEN(AA22)-MIN(FIND({0;1;2;3;4;5;6;7;8;9},AA22&amp;"0123456789"))+1)),"")</f>
        <v/>
      </c>
    </row>
    <row r="23" spans="27:28" x14ac:dyDescent="0.2">
      <c r="AA23" s="725"/>
      <c r="AB23" s="725" t="str">
        <f>IFERROR(VALUE(RIGHT(AA23,LEN(AA23)-MIN(FIND({0;1;2;3;4;5;6;7;8;9},AA23&amp;"0123456789"))+1)),"")</f>
        <v/>
      </c>
    </row>
    <row r="24" spans="27:28" x14ac:dyDescent="0.2">
      <c r="AA24" s="725"/>
      <c r="AB24" s="725" t="str">
        <f>IFERROR(VALUE(RIGHT(AA24,LEN(AA24)-MIN(FIND({0;1;2;3;4;5;6;7;8;9},AA24&amp;"0123456789"))+1)),"")</f>
        <v/>
      </c>
    </row>
    <row r="25" spans="27:28" x14ac:dyDescent="0.2">
      <c r="AA25" s="725"/>
      <c r="AB25" s="725" t="str">
        <f>IFERROR(VALUE(RIGHT(AA25,LEN(AA25)-MIN(FIND({0;1;2;3;4;5;6;7;8;9},AA25&amp;"0123456789"))+1)),"")</f>
        <v/>
      </c>
    </row>
    <row r="26" spans="27:28" x14ac:dyDescent="0.2">
      <c r="AA26" s="725"/>
      <c r="AB26" s="725" t="str">
        <f>IFERROR(VALUE(RIGHT(AA26,LEN(AA26)-MIN(FIND({0;1;2;3;4;5;6;7;8;9},AA26&amp;"0123456789"))+1)),"")</f>
        <v/>
      </c>
    </row>
    <row r="27" spans="27:28" x14ac:dyDescent="0.2">
      <c r="AA27" s="725"/>
      <c r="AB27" s="725" t="str">
        <f>IFERROR(VALUE(RIGHT(AA27,LEN(AA27)-MIN(FIND({0;1;2;3;4;5;6;7;8;9},AA27&amp;"0123456789"))+1)),"")</f>
        <v/>
      </c>
    </row>
    <row r="28" spans="27:28" x14ac:dyDescent="0.2">
      <c r="AA28" s="725"/>
      <c r="AB28" s="725" t="str">
        <f>IFERROR(VALUE(RIGHT(AA28,LEN(AA28)-MIN(FIND({0;1;2;3;4;5;6;7;8;9},AA28&amp;"0123456789"))+1)),"")</f>
        <v/>
      </c>
    </row>
    <row r="29" spans="27:28" x14ac:dyDescent="0.2">
      <c r="AA29" s="725"/>
      <c r="AB29" s="725" t="str">
        <f>IFERROR(VALUE(RIGHT(AA29,LEN(AA29)-MIN(FIND({0;1;2;3;4;5;6;7;8;9},AA29&amp;"0123456789"))+1)),"")</f>
        <v/>
      </c>
    </row>
    <row r="30" spans="27:28" x14ac:dyDescent="0.2">
      <c r="AA30" s="725"/>
      <c r="AB30" s="725" t="str">
        <f>IFERROR(VALUE(RIGHT(AA30,LEN(AA30)-MIN(FIND({0;1;2;3;4;5;6;7;8;9},AA30&amp;"0123456789"))+1)),"")</f>
        <v/>
      </c>
    </row>
    <row r="31" spans="27:28" x14ac:dyDescent="0.2">
      <c r="AA31" s="725"/>
      <c r="AB31" s="725" t="str">
        <f>IFERROR(VALUE(RIGHT(AA31,LEN(AA31)-MIN(FIND({0;1;2;3;4;5;6;7;8;9},AA31&amp;"0123456789"))+1)),"")</f>
        <v/>
      </c>
    </row>
    <row r="32" spans="27:28" x14ac:dyDescent="0.2">
      <c r="AA32" s="725"/>
      <c r="AB32" s="725" t="str">
        <f>IFERROR(VALUE(RIGHT(AA32,LEN(AA32)-MIN(FIND({0;1;2;3;4;5;6;7;8;9},AA32&amp;"0123456789"))+1)),"")</f>
        <v/>
      </c>
    </row>
    <row r="33" spans="27:28" x14ac:dyDescent="0.2">
      <c r="AA33" s="725"/>
      <c r="AB33" s="725" t="str">
        <f>IFERROR(VALUE(RIGHT(AA33,LEN(AA33)-MIN(FIND({0;1;2;3;4;5;6;7;8;9},AA33&amp;"0123456789"))+1)),"")</f>
        <v/>
      </c>
    </row>
    <row r="34" spans="27:28" x14ac:dyDescent="0.2">
      <c r="AA34" s="725"/>
      <c r="AB34" s="725" t="str">
        <f>IFERROR(VALUE(RIGHT(AA34,LEN(AA34)-MIN(FIND({0;1;2;3;4;5;6;7;8;9},AA34&amp;"0123456789"))+1)),"")</f>
        <v/>
      </c>
    </row>
    <row r="35" spans="27:28" x14ac:dyDescent="0.2">
      <c r="AA35" s="725"/>
      <c r="AB35" s="725" t="str">
        <f>IFERROR(VALUE(RIGHT(AA35,LEN(AA35)-MIN(FIND({0;1;2;3;4;5;6;7;8;9},AA35&amp;"0123456789"))+1)),"")</f>
        <v/>
      </c>
    </row>
    <row r="36" spans="27:28" x14ac:dyDescent="0.2">
      <c r="AA36" s="725"/>
      <c r="AB36" s="725" t="str">
        <f>IFERROR(VALUE(RIGHT(AA36,LEN(AA36)-MIN(FIND({0;1;2;3;4;5;6;7;8;9},AA36&amp;"0123456789"))+1)),"")</f>
        <v/>
      </c>
    </row>
    <row r="37" spans="27:28" x14ac:dyDescent="0.2">
      <c r="AA37" s="725"/>
      <c r="AB37" s="725" t="str">
        <f>IFERROR(VALUE(RIGHT(AA37,LEN(AA37)-MIN(FIND({0;1;2;3;4;5;6;7;8;9},AA37&amp;"0123456789"))+1)),"")</f>
        <v/>
      </c>
    </row>
    <row r="38" spans="27:28" x14ac:dyDescent="0.2">
      <c r="AA38" s="725"/>
      <c r="AB38" s="725" t="str">
        <f>IFERROR(VALUE(RIGHT(AA38,LEN(AA38)-MIN(FIND({0;1;2;3;4;5;6;7;8;9},AA38&amp;"0123456789"))+1)),"")</f>
        <v/>
      </c>
    </row>
    <row r="39" spans="27:28" x14ac:dyDescent="0.2">
      <c r="AA39" s="725"/>
      <c r="AB39" s="725" t="str">
        <f>IFERROR(VALUE(RIGHT(AA39,LEN(AA39)-MIN(FIND({0;1;2;3;4;5;6;7;8;9},AA39&amp;"0123456789"))+1)),"")</f>
        <v/>
      </c>
    </row>
    <row r="40" spans="27:28" x14ac:dyDescent="0.2">
      <c r="AA40" s="725"/>
      <c r="AB40" s="725" t="str">
        <f>IFERROR(VALUE(RIGHT(AA40,LEN(AA40)-MIN(FIND({0;1;2;3;4;5;6;7;8;9},AA40&amp;"0123456789"))+1)),"")</f>
        <v/>
      </c>
    </row>
    <row r="41" spans="27:28" x14ac:dyDescent="0.2">
      <c r="AA41" s="725"/>
      <c r="AB41" s="725" t="str">
        <f>IFERROR(VALUE(RIGHT(AA41,LEN(AA41)-MIN(FIND({0;1;2;3;4;5;6;7;8;9},AA41&amp;"0123456789"))+1)),"")</f>
        <v/>
      </c>
    </row>
    <row r="42" spans="27:28" x14ac:dyDescent="0.2">
      <c r="AA42" s="725"/>
      <c r="AB42" s="725" t="str">
        <f>IFERROR(VALUE(RIGHT(AA42,LEN(AA42)-MIN(FIND({0;1;2;3;4;5;6;7;8;9},AA42&amp;"0123456789"))+1)),"")</f>
        <v/>
      </c>
    </row>
    <row r="43" spans="27:28" x14ac:dyDescent="0.2">
      <c r="AA43" s="725"/>
      <c r="AB43" s="725" t="str">
        <f>IFERROR(VALUE(RIGHT(AA43,LEN(AA43)-MIN(FIND({0;1;2;3;4;5;6;7;8;9},AA43&amp;"0123456789"))+1)),"")</f>
        <v/>
      </c>
    </row>
    <row r="44" spans="27:28" x14ac:dyDescent="0.2">
      <c r="AA44" s="725"/>
      <c r="AB44" s="725" t="str">
        <f>IFERROR(VALUE(RIGHT(AA44,LEN(AA44)-MIN(FIND({0;1;2;3;4;5;6;7;8;9},AA44&amp;"0123456789"))+1)),"")</f>
        <v/>
      </c>
    </row>
    <row r="45" spans="27:28" x14ac:dyDescent="0.2">
      <c r="AA45" s="725"/>
      <c r="AB45" s="725" t="str">
        <f>IFERROR(VALUE(RIGHT(AA45,LEN(AA45)-MIN(FIND({0;1;2;3;4;5;6;7;8;9},AA45&amp;"0123456789"))+1)),"")</f>
        <v/>
      </c>
    </row>
    <row r="46" spans="27:28" x14ac:dyDescent="0.2">
      <c r="AA46" s="725"/>
      <c r="AB46" s="725" t="str">
        <f>IFERROR(VALUE(RIGHT(AA46,LEN(AA46)-MIN(FIND({0;1;2;3;4;5;6;7;8;9},AA46&amp;"0123456789"))+1)),"")</f>
        <v/>
      </c>
    </row>
    <row r="47" spans="27:28" x14ac:dyDescent="0.2">
      <c r="AA47" s="725"/>
      <c r="AB47" s="725" t="str">
        <f>IFERROR(VALUE(RIGHT(AA47,LEN(AA47)-MIN(FIND({0;1;2;3;4;5;6;7;8;9},AA47&amp;"0123456789"))+1)),"")</f>
        <v/>
      </c>
    </row>
    <row r="48" spans="27:28" x14ac:dyDescent="0.2">
      <c r="AA48" s="725"/>
      <c r="AB48" s="725" t="str">
        <f>IFERROR(VALUE(RIGHT(AA48,LEN(AA48)-MIN(FIND({0;1;2;3;4;5;6;7;8;9},AA48&amp;"0123456789"))+1)),"")</f>
        <v/>
      </c>
    </row>
    <row r="49" spans="27:28" x14ac:dyDescent="0.2">
      <c r="AA49" s="725"/>
      <c r="AB49" s="725" t="str">
        <f>IFERROR(VALUE(RIGHT(AA49,LEN(AA49)-MIN(FIND({0;1;2;3;4;5;6;7;8;9},AA49&amp;"0123456789"))+1)),"")</f>
        <v/>
      </c>
    </row>
    <row r="50" spans="27:28" x14ac:dyDescent="0.2">
      <c r="AA50" s="725"/>
      <c r="AB50" s="725" t="str">
        <f>IFERROR(VALUE(RIGHT(AA50,LEN(AA50)-MIN(FIND({0;1;2;3;4;5;6;7;8;9},AA50&amp;"0123456789"))+1)),"")</f>
        <v/>
      </c>
    </row>
    <row r="51" spans="27:28" x14ac:dyDescent="0.2">
      <c r="AA51" s="725"/>
      <c r="AB51" s="725" t="str">
        <f>IFERROR(VALUE(RIGHT(AA51,LEN(AA51)-MIN(FIND({0;1;2;3;4;5;6;7;8;9},AA51&amp;"0123456789"))+1)),"")</f>
        <v/>
      </c>
    </row>
    <row r="52" spans="27:28" x14ac:dyDescent="0.2">
      <c r="AA52" s="725"/>
      <c r="AB52" s="725" t="str">
        <f>IFERROR(VALUE(RIGHT(AA52,LEN(AA52)-MIN(FIND({0;1;2;3;4;5;6;7;8;9},AA52&amp;"0123456789"))+1)),"")</f>
        <v/>
      </c>
    </row>
    <row r="53" spans="27:28" x14ac:dyDescent="0.2">
      <c r="AA53" s="725"/>
      <c r="AB53" s="725" t="str">
        <f>IFERROR(VALUE(RIGHT(AA53,LEN(AA53)-MIN(FIND({0;1;2;3;4;5;6;7;8;9},AA53&amp;"0123456789"))+1)),"")</f>
        <v/>
      </c>
    </row>
    <row r="54" spans="27:28" x14ac:dyDescent="0.2">
      <c r="AA54" s="725"/>
      <c r="AB54" s="725" t="str">
        <f>IFERROR(VALUE(RIGHT(AA54,LEN(AA54)-MIN(FIND({0;1;2;3;4;5;6;7;8;9},AA54&amp;"0123456789"))+1)),"")</f>
        <v/>
      </c>
    </row>
    <row r="55" spans="27:28" x14ac:dyDescent="0.2">
      <c r="AA55" s="725"/>
      <c r="AB55" s="725" t="str">
        <f>IFERROR(VALUE(RIGHT(AA55,LEN(AA55)-MIN(FIND({0;1;2;3;4;5;6;7;8;9},AA55&amp;"0123456789"))+1)),"")</f>
        <v/>
      </c>
    </row>
    <row r="56" spans="27:28" x14ac:dyDescent="0.2">
      <c r="AA56" s="725"/>
      <c r="AB56" s="725" t="str">
        <f>IFERROR(VALUE(RIGHT(AA56,LEN(AA56)-MIN(FIND({0;1;2;3;4;5;6;7;8;9},AA56&amp;"0123456789"))+1)),"")</f>
        <v/>
      </c>
    </row>
    <row r="57" spans="27:28" x14ac:dyDescent="0.2">
      <c r="AA57" s="725"/>
      <c r="AB57" s="725" t="str">
        <f>IFERROR(VALUE(RIGHT(AA57,LEN(AA57)-MIN(FIND({0;1;2;3;4;5;6;7;8;9},AA57&amp;"0123456789"))+1)),"")</f>
        <v/>
      </c>
    </row>
    <row r="58" spans="27:28" x14ac:dyDescent="0.2">
      <c r="AA58" s="725"/>
      <c r="AB58" s="725" t="str">
        <f>IFERROR(VALUE(RIGHT(AA58,LEN(AA58)-MIN(FIND({0;1;2;3;4;5;6;7;8;9},AA58&amp;"0123456789"))+1)),"")</f>
        <v/>
      </c>
    </row>
    <row r="59" spans="27:28" x14ac:dyDescent="0.2">
      <c r="AA59" s="725"/>
      <c r="AB59" s="725" t="str">
        <f>IFERROR(VALUE(RIGHT(AA59,LEN(AA59)-MIN(FIND({0;1;2;3;4;5;6;7;8;9},AA59&amp;"0123456789"))+1)),"")</f>
        <v/>
      </c>
    </row>
    <row r="60" spans="27:28" x14ac:dyDescent="0.2">
      <c r="AA60" s="725"/>
      <c r="AB60" s="725" t="str">
        <f>IFERROR(VALUE(RIGHT(AA60,LEN(AA60)-MIN(FIND({0;1;2;3;4;5;6;7;8;9},AA60&amp;"0123456789"))+1)),"")</f>
        <v/>
      </c>
    </row>
    <row r="61" spans="27:28" x14ac:dyDescent="0.2">
      <c r="AA61" s="725"/>
      <c r="AB61" s="725" t="str">
        <f>IFERROR(VALUE(RIGHT(AA61,LEN(AA61)-MIN(FIND({0;1;2;3;4;5;6;7;8;9},AA61&amp;"0123456789"))+1)),"")</f>
        <v/>
      </c>
    </row>
    <row r="62" spans="27:28" x14ac:dyDescent="0.2">
      <c r="AA62" s="725"/>
      <c r="AB62" s="725" t="str">
        <f>IFERROR(VALUE(RIGHT(AA62,LEN(AA62)-MIN(FIND({0;1;2;3;4;5;6;7;8;9},AA62&amp;"0123456789"))+1)),"")</f>
        <v/>
      </c>
    </row>
    <row r="63" spans="27:28" x14ac:dyDescent="0.2">
      <c r="AA63" s="725"/>
      <c r="AB63" s="725" t="str">
        <f>IFERROR(VALUE(RIGHT(AA63,LEN(AA63)-MIN(FIND({0;1;2;3;4;5;6;7;8;9},AA63&amp;"0123456789"))+1)),"")</f>
        <v/>
      </c>
    </row>
    <row r="64" spans="27:28" x14ac:dyDescent="0.2">
      <c r="AA64" s="725"/>
      <c r="AB64" s="725" t="str">
        <f>IFERROR(VALUE(RIGHT(AA64,LEN(AA64)-MIN(FIND({0;1;2;3;4;5;6;7;8;9},AA64&amp;"0123456789"))+1)),"")</f>
        <v/>
      </c>
    </row>
    <row r="65" spans="27:28" x14ac:dyDescent="0.2">
      <c r="AA65" s="725"/>
      <c r="AB65" s="725" t="str">
        <f>IFERROR(VALUE(RIGHT(AA65,LEN(AA65)-MIN(FIND({0;1;2;3;4;5;6;7;8;9},AA65&amp;"0123456789"))+1)),"")</f>
        <v/>
      </c>
    </row>
    <row r="66" spans="27:28" x14ac:dyDescent="0.2">
      <c r="AA66" s="725"/>
      <c r="AB66" s="725" t="str">
        <f>IFERROR(VALUE(RIGHT(AA66,LEN(AA66)-MIN(FIND({0;1;2;3;4;5;6;7;8;9},AA66&amp;"0123456789"))+1)),"")</f>
        <v/>
      </c>
    </row>
    <row r="67" spans="27:28" x14ac:dyDescent="0.2">
      <c r="AA67" s="725"/>
      <c r="AB67" s="725" t="str">
        <f>IFERROR(VALUE(RIGHT(AA67,LEN(AA67)-MIN(FIND({0;1;2;3;4;5;6;7;8;9},AA67&amp;"0123456789"))+1)),"")</f>
        <v/>
      </c>
    </row>
    <row r="68" spans="27:28" x14ac:dyDescent="0.2">
      <c r="AA68" s="725"/>
      <c r="AB68" s="725" t="str">
        <f>IFERROR(VALUE(RIGHT(AA68,LEN(AA68)-MIN(FIND({0;1;2;3;4;5;6;7;8;9},AA68&amp;"0123456789"))+1)),"")</f>
        <v/>
      </c>
    </row>
    <row r="69" spans="27:28" x14ac:dyDescent="0.2">
      <c r="AA69" s="725"/>
      <c r="AB69" s="725" t="str">
        <f>IFERROR(VALUE(RIGHT(AA69,LEN(AA69)-MIN(FIND({0;1;2;3;4;5;6;7;8;9},AA69&amp;"0123456789"))+1)),"")</f>
        <v/>
      </c>
    </row>
    <row r="70" spans="27:28" x14ac:dyDescent="0.2">
      <c r="AA70" s="725"/>
      <c r="AB70" s="725" t="str">
        <f>IFERROR(VALUE(RIGHT(AA70,LEN(AA70)-MIN(FIND({0;1;2;3;4;5;6;7;8;9},AA70&amp;"0123456789"))+1)),"")</f>
        <v/>
      </c>
    </row>
    <row r="71" spans="27:28" x14ac:dyDescent="0.2">
      <c r="AA71" s="725"/>
      <c r="AB71" s="725" t="str">
        <f>IFERROR(VALUE(RIGHT(AA71,LEN(AA71)-MIN(FIND({0;1;2;3;4;5;6;7;8;9},AA71&amp;"0123456789"))+1)),"")</f>
        <v/>
      </c>
    </row>
    <row r="72" spans="27:28" x14ac:dyDescent="0.2">
      <c r="AA72" s="725"/>
      <c r="AB72" s="725" t="str">
        <f>IFERROR(VALUE(RIGHT(AA72,LEN(AA72)-MIN(FIND({0;1;2;3;4;5;6;7;8;9},AA72&amp;"0123456789"))+1)),"")</f>
        <v/>
      </c>
    </row>
    <row r="73" spans="27:28" x14ac:dyDescent="0.2">
      <c r="AA73" s="725"/>
      <c r="AB73" s="725" t="str">
        <f>IFERROR(VALUE(RIGHT(AA73,LEN(AA73)-MIN(FIND({0;1;2;3;4;5;6;7;8;9},AA73&amp;"0123456789"))+1)),"")</f>
        <v/>
      </c>
    </row>
    <row r="74" spans="27:28" x14ac:dyDescent="0.2">
      <c r="AA74" s="725"/>
      <c r="AB74" s="725" t="str">
        <f>IFERROR(VALUE(RIGHT(AA74,LEN(AA74)-MIN(FIND({0;1;2;3;4;5;6;7;8;9},AA74&amp;"0123456789"))+1)),"")</f>
        <v/>
      </c>
    </row>
    <row r="75" spans="27:28" x14ac:dyDescent="0.2">
      <c r="AA75" s="725"/>
      <c r="AB75" s="725" t="str">
        <f>IFERROR(VALUE(RIGHT(AA75,LEN(AA75)-MIN(FIND({0;1;2;3;4;5;6;7;8;9},AA75&amp;"0123456789"))+1)),"")</f>
        <v/>
      </c>
    </row>
    <row r="76" spans="27:28" x14ac:dyDescent="0.2">
      <c r="AA76" s="725"/>
      <c r="AB76" s="725" t="str">
        <f>IFERROR(VALUE(RIGHT(AA76,LEN(AA76)-MIN(FIND({0;1;2;3;4;5;6;7;8;9},AA76&amp;"0123456789"))+1)),"")</f>
        <v/>
      </c>
    </row>
    <row r="77" spans="27:28" x14ac:dyDescent="0.2">
      <c r="AA77" s="725"/>
      <c r="AB77" s="725" t="str">
        <f>IFERROR(VALUE(RIGHT(AA77,LEN(AA77)-MIN(FIND({0;1;2;3;4;5;6;7;8;9},AA77&amp;"0123456789"))+1)),"")</f>
        <v/>
      </c>
    </row>
    <row r="78" spans="27:28" x14ac:dyDescent="0.2">
      <c r="AA78" s="725"/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7:28" x14ac:dyDescent="0.2">
      <c r="AA81" s="725"/>
      <c r="AB81" s="725" t="str">
        <f>IFERROR(VALUE(RIGHT(AA81,LEN(AA81)-MIN(FIND({0;1;2;3;4;5;6;7;8;9},AA81&amp;"0123456789"))+1)),"")</f>
        <v/>
      </c>
    </row>
    <row r="82" spans="27:28" x14ac:dyDescent="0.2">
      <c r="AA82" s="725"/>
      <c r="AB82" s="725" t="str">
        <f>IFERROR(VALUE(RIGHT(AA82,LEN(AA82)-MIN(FIND({0;1;2;3;4;5;6;7;8;9},AA82&amp;"0123456789"))+1)),"")</f>
        <v/>
      </c>
    </row>
    <row r="83" spans="27:28" x14ac:dyDescent="0.2">
      <c r="AA83" s="725"/>
      <c r="AB83" s="725" t="str">
        <f>IFERROR(VALUE(RIGHT(AA83,LEN(AA83)-MIN(FIND({0;1;2;3;4;5;6;7;8;9},AA83&amp;"0123456789"))+1)),"")</f>
        <v/>
      </c>
    </row>
    <row r="84" spans="27:28" x14ac:dyDescent="0.2">
      <c r="AA84" s="725"/>
      <c r="AB84" s="725" t="str">
        <f>IFERROR(VALUE(RIGHT(AA84,LEN(AA84)-MIN(FIND({0;1;2;3;4;5;6;7;8;9},AA84&amp;"0123456789"))+1)),"")</f>
        <v/>
      </c>
    </row>
    <row r="85" spans="27:28" x14ac:dyDescent="0.2">
      <c r="AA85" s="725"/>
      <c r="AB85" s="725" t="str">
        <f>IFERROR(VALUE(RIGHT(AA85,LEN(AA85)-MIN(FIND({0;1;2;3;4;5;6;7;8;9},AA85&amp;"0123456789"))+1)),"")</f>
        <v/>
      </c>
    </row>
    <row r="86" spans="27:28" x14ac:dyDescent="0.2">
      <c r="AA86" s="725"/>
      <c r="AB86" s="725" t="str">
        <f>IFERROR(VALUE(RIGHT(AA86,LEN(AA86)-MIN(FIND({0;1;2;3;4;5;6;7;8;9},AA86&amp;"0123456789"))+1)),"")</f>
        <v/>
      </c>
    </row>
    <row r="87" spans="27:28" x14ac:dyDescent="0.2">
      <c r="AA87" s="725"/>
      <c r="AB87" s="725" t="str">
        <f>IFERROR(VALUE(RIGHT(AA87,LEN(AA87)-MIN(FIND({0;1;2;3;4;5;6;7;8;9},AA87&amp;"0123456789"))+1)),"")</f>
        <v/>
      </c>
    </row>
    <row r="88" spans="27:28" x14ac:dyDescent="0.2">
      <c r="AA88" s="725"/>
      <c r="AB88" s="725" t="str">
        <f>IFERROR(VALUE(RIGHT(AA88,LEN(AA88)-MIN(FIND({0;1;2;3;4;5;6;7;8;9},AA88&amp;"0123456789"))+1)),"")</f>
        <v/>
      </c>
    </row>
    <row r="89" spans="27:28" x14ac:dyDescent="0.2">
      <c r="AA89" s="725"/>
      <c r="AB89" s="725" t="str">
        <f>IFERROR(VALUE(RIGHT(AA89,LEN(AA89)-MIN(FIND({0;1;2;3;4;5;6;7;8;9},AA89&amp;"0123456789"))+1)),"")</f>
        <v/>
      </c>
    </row>
    <row r="90" spans="27:28" x14ac:dyDescent="0.2">
      <c r="AA90" s="725"/>
      <c r="AB90" s="725" t="str">
        <f>IFERROR(VALUE(RIGHT(AA90,LEN(AA90)-MIN(FIND({0;1;2;3;4;5;6;7;8;9},AA90&amp;"0123456789"))+1)),"")</f>
        <v/>
      </c>
    </row>
    <row r="91" spans="27:28" x14ac:dyDescent="0.2">
      <c r="AA91" s="725"/>
      <c r="AB91" s="725" t="str">
        <f>IFERROR(VALUE(RIGHT(AA91,LEN(AA91)-MIN(FIND({0;1;2;3;4;5;6;7;8;9},AA91&amp;"0123456789"))+1)),"")</f>
        <v/>
      </c>
    </row>
    <row r="92" spans="27:28" x14ac:dyDescent="0.2">
      <c r="AA92" s="725"/>
      <c r="AB92" s="725" t="str">
        <f>IFERROR(VALUE(RIGHT(AA92,LEN(AA92)-MIN(FIND({0;1;2;3;4;5;6;7;8;9},AA92&amp;"0123456789"))+1)),"")</f>
        <v/>
      </c>
    </row>
    <row r="93" spans="27:28" x14ac:dyDescent="0.2">
      <c r="AA93" s="725"/>
      <c r="AB93" s="725" t="str">
        <f>IFERROR(VALUE(RIGHT(AA93,LEN(AA93)-MIN(FIND({0;1;2;3;4;5;6;7;8;9},AA93&amp;"0123456789"))+1)),"")</f>
        <v/>
      </c>
    </row>
    <row r="94" spans="27:28" x14ac:dyDescent="0.2">
      <c r="AA94" s="725"/>
      <c r="AB94" s="725" t="str">
        <f>IFERROR(VALUE(RIGHT(AA94,LEN(AA94)-MIN(FIND({0;1;2;3;4;5;6;7;8;9},AA94&amp;"0123456789"))+1)),"")</f>
        <v/>
      </c>
    </row>
    <row r="95" spans="27:28" x14ac:dyDescent="0.2">
      <c r="AA95" s="725"/>
      <c r="AB95" s="725" t="str">
        <f>IFERROR(VALUE(RIGHT(AA95,LEN(AA95)-MIN(FIND({0;1;2;3;4;5;6;7;8;9},AA95&amp;"0123456789"))+1)),"")</f>
        <v/>
      </c>
    </row>
    <row r="96" spans="27:28" x14ac:dyDescent="0.2">
      <c r="AA96" s="725"/>
      <c r="AB96" s="725" t="str">
        <f>IFERROR(VALUE(RIGHT(AA96,LEN(AA96)-MIN(FIND({0;1;2;3;4;5;6;7;8;9},AA96&amp;"0123456789"))+1)),"")</f>
        <v/>
      </c>
    </row>
    <row r="97" spans="27:28" x14ac:dyDescent="0.2">
      <c r="AA97" s="725"/>
      <c r="AB97" s="725" t="str">
        <f>IFERROR(VALUE(RIGHT(AA97,LEN(AA97)-MIN(FIND({0;1;2;3;4;5;6;7;8;9},AA97&amp;"0123456789"))+1)),"")</f>
        <v/>
      </c>
    </row>
    <row r="98" spans="27:28" x14ac:dyDescent="0.2">
      <c r="AA98" s="725"/>
      <c r="AB98" s="725" t="str">
        <f>IFERROR(VALUE(RIGHT(AA98,LEN(AA98)-MIN(FIND({0;1;2;3;4;5;6;7;8;9},AA98&amp;"0123456789"))+1)),"")</f>
        <v/>
      </c>
    </row>
    <row r="99" spans="27:28" x14ac:dyDescent="0.2">
      <c r="AA99" s="725"/>
      <c r="AB99" s="725" t="str">
        <f>IFERROR(VALUE(RIGHT(AA99,LEN(AA99)-MIN(FIND({0;1;2;3;4;5;6;7;8;9},AA99&amp;"0123456789"))+1)),"")</f>
        <v/>
      </c>
    </row>
    <row r="100" spans="27:28" x14ac:dyDescent="0.2">
      <c r="AA100" s="725"/>
      <c r="AB100" s="725" t="str">
        <f>IFERROR(VALUE(RIGHT(AA100,LEN(AA100)-MIN(FIND({0;1;2;3;4;5;6;7;8;9},AA100&amp;"0123456789"))+1)),"")</f>
        <v/>
      </c>
    </row>
    <row r="101" spans="27:28" x14ac:dyDescent="0.2">
      <c r="AA101" s="725"/>
      <c r="AB101" s="725" t="str">
        <f>IFERROR(VALUE(RIGHT(AA101,LEN(AA101)-MIN(FIND({0;1;2;3;4;5;6;7;8;9},AA101&amp;"0123456789"))+1)),"")</f>
        <v/>
      </c>
    </row>
    <row r="102" spans="27:28" x14ac:dyDescent="0.2">
      <c r="AA102" s="725"/>
      <c r="AB102" s="725" t="str">
        <f>IFERROR(VALUE(RIGHT(AA102,LEN(AA102)-MIN(FIND({0;1;2;3;4;5;6;7;8;9},AA102&amp;"0123456789"))+1)),"")</f>
        <v/>
      </c>
    </row>
    <row r="103" spans="27:28" x14ac:dyDescent="0.2">
      <c r="AA103" s="725"/>
      <c r="AB103" s="725" t="str">
        <f>IFERROR(VALUE(RIGHT(AA103,LEN(AA103)-MIN(FIND({0;1;2;3;4;5;6;7;8;9},AA103&amp;"0123456789"))+1)),"")</f>
        <v/>
      </c>
    </row>
    <row r="104" spans="27:28" x14ac:dyDescent="0.2">
      <c r="AA104" s="725"/>
      <c r="AB104" s="725" t="str">
        <f>IFERROR(VALUE(RIGHT(AA104,LEN(AA104)-MIN(FIND({0;1;2;3;4;5;6;7;8;9},AA104&amp;"0123456789"))+1)),"")</f>
        <v/>
      </c>
    </row>
    <row r="105" spans="27:28" x14ac:dyDescent="0.2">
      <c r="AA105" s="725"/>
      <c r="AB105" s="725" t="str">
        <f>IFERROR(VALUE(RIGHT(AA105,LEN(AA105)-MIN(FIND({0;1;2;3;4;5;6;7;8;9},AA105&amp;"0123456789"))+1)),"")</f>
        <v/>
      </c>
    </row>
    <row r="106" spans="27:28" x14ac:dyDescent="0.2">
      <c r="AA106" s="725"/>
      <c r="AB106" s="725" t="str">
        <f>IFERROR(VALUE(RIGHT(AA106,LEN(AA106)-MIN(FIND({0;1;2;3;4;5;6;7;8;9},AA106&amp;"0123456789"))+1)),"")</f>
        <v/>
      </c>
    </row>
    <row r="107" spans="27:28" x14ac:dyDescent="0.2">
      <c r="AA107" s="725"/>
      <c r="AB107" s="725" t="str">
        <f>IFERROR(VALUE(RIGHT(AA107,LEN(AA107)-MIN(FIND({0;1;2;3;4;5;6;7;8;9},AA107&amp;"0123456789"))+1)),"")</f>
        <v/>
      </c>
    </row>
    <row r="108" spans="27:28" x14ac:dyDescent="0.2">
      <c r="AA108" s="725"/>
      <c r="AB108" s="725" t="str">
        <f>IFERROR(VALUE(RIGHT(AA108,LEN(AA108)-MIN(FIND({0;1;2;3;4;5;6;7;8;9},AA108&amp;"0123456789"))+1)),"")</f>
        <v/>
      </c>
    </row>
    <row r="109" spans="27:28" x14ac:dyDescent="0.2">
      <c r="AA109" s="725"/>
      <c r="AB109" s="725" t="str">
        <f>IFERROR(VALUE(RIGHT(AA109,LEN(AA109)-MIN(FIND({0;1;2;3;4;5;6;7;8;9},AA109&amp;"0123456789"))+1)),"")</f>
        <v/>
      </c>
    </row>
    <row r="110" spans="27:28" x14ac:dyDescent="0.2">
      <c r="AA110" s="725"/>
      <c r="AB110" s="725" t="str">
        <f>IFERROR(VALUE(RIGHT(AA110,LEN(AA110)-MIN(FIND({0;1;2;3;4;5;6;7;8;9},AA110&amp;"0123456789"))+1)),"")</f>
        <v/>
      </c>
    </row>
    <row r="111" spans="27:28" x14ac:dyDescent="0.2">
      <c r="AA111" s="725"/>
      <c r="AB111" s="725" t="str">
        <f>IFERROR(VALUE(RIGHT(AA111,LEN(AA111)-MIN(FIND({0;1;2;3;4;5;6;7;8;9},AA111&amp;"0123456789"))+1)),"")</f>
        <v/>
      </c>
    </row>
    <row r="112" spans="27:28" x14ac:dyDescent="0.2">
      <c r="AA112" s="725"/>
      <c r="AB112" s="725" t="str">
        <f>IFERROR(VALUE(RIGHT(AA112,LEN(AA112)-MIN(FIND({0;1;2;3;4;5;6;7;8;9},AA112&amp;"0123456789"))+1)),"")</f>
        <v/>
      </c>
    </row>
    <row r="113" spans="27:28" x14ac:dyDescent="0.2">
      <c r="AA113" s="725"/>
      <c r="AB113" s="725" t="str">
        <f>IFERROR(VALUE(RIGHT(AA113,LEN(AA113)-MIN(FIND({0;1;2;3;4;5;6;7;8;9},AA113&amp;"0123456789"))+1)),"")</f>
        <v/>
      </c>
    </row>
    <row r="114" spans="27:28" x14ac:dyDescent="0.2">
      <c r="AA114" s="725"/>
      <c r="AB114" s="725" t="str">
        <f>IFERROR(VALUE(RIGHT(AA114,LEN(AA114)-MIN(FIND({0;1;2;3;4;5;6;7;8;9},AA114&amp;"0123456789"))+1)),"")</f>
        <v/>
      </c>
    </row>
    <row r="115" spans="27:28" x14ac:dyDescent="0.2">
      <c r="AA115" s="725"/>
      <c r="AB115" s="725" t="str">
        <f>IFERROR(VALUE(RIGHT(AA115,LEN(AA115)-MIN(FIND({0;1;2;3;4;5;6;7;8;9},AA115&amp;"0123456789"))+1)),"")</f>
        <v/>
      </c>
    </row>
    <row r="116" spans="27:28" x14ac:dyDescent="0.2">
      <c r="AA116" s="725"/>
      <c r="AB116" s="725" t="str">
        <f>IFERROR(VALUE(RIGHT(AA116,LEN(AA116)-MIN(FIND({0;1;2;3;4;5;6;7;8;9},AA116&amp;"0123456789"))+1)),"")</f>
        <v/>
      </c>
    </row>
    <row r="117" spans="27:28" x14ac:dyDescent="0.2">
      <c r="AA117" s="725"/>
      <c r="AB117" s="725" t="str">
        <f>IFERROR(VALUE(RIGHT(AA117,LEN(AA117)-MIN(FIND({0;1;2;3;4;5;6;7;8;9},AA117&amp;"0123456789"))+1)),"")</f>
        <v/>
      </c>
    </row>
    <row r="118" spans="27:28" x14ac:dyDescent="0.2">
      <c r="AA118" s="725"/>
      <c r="AB118" s="725" t="str">
        <f>IFERROR(VALUE(RIGHT(AA118,LEN(AA118)-MIN(FIND({0;1;2;3;4;5;6;7;8;9},AA118&amp;"0123456789"))+1)),"")</f>
        <v/>
      </c>
    </row>
    <row r="119" spans="27:28" x14ac:dyDescent="0.2">
      <c r="AA119" s="725"/>
      <c r="AB119" s="725" t="str">
        <f>IFERROR(VALUE(RIGHT(AA119,LEN(AA119)-MIN(FIND({0;1;2;3;4;5;6;7;8;9},AA119&amp;"0123456789"))+1)),"")</f>
        <v/>
      </c>
    </row>
    <row r="120" spans="27:28" x14ac:dyDescent="0.2">
      <c r="AA120" s="725"/>
      <c r="AB120" s="725" t="str">
        <f>IFERROR(VALUE(RIGHT(AA120,LEN(AA120)-MIN(FIND({0;1;2;3;4;5;6;7;8;9},AA120&amp;"0123456789"))+1)),"")</f>
        <v/>
      </c>
    </row>
    <row r="121" spans="27:28" x14ac:dyDescent="0.2">
      <c r="AA121" s="725"/>
      <c r="AB121" s="725" t="str">
        <f>IFERROR(VALUE(RIGHT(AA121,LEN(AA121)-MIN(FIND({0;1;2;3;4;5;6;7;8;9},AA121&amp;"0123456789"))+1)),"")</f>
        <v/>
      </c>
    </row>
    <row r="122" spans="27:28" x14ac:dyDescent="0.2">
      <c r="AA122" s="725"/>
      <c r="AB122" s="725" t="str">
        <f>IFERROR(VALUE(RIGHT(AA122,LEN(AA122)-MIN(FIND({0;1;2;3;4;5;6;7;8;9},AA122&amp;"0123456789"))+1)),"")</f>
        <v/>
      </c>
    </row>
    <row r="123" spans="27:28" x14ac:dyDescent="0.2">
      <c r="AA123" s="725"/>
      <c r="AB123" s="725" t="str">
        <f>IFERROR(VALUE(RIGHT(AA123,LEN(AA123)-MIN(FIND({0;1;2;3;4;5;6;7;8;9},AA123&amp;"0123456789"))+1)),"")</f>
        <v/>
      </c>
    </row>
    <row r="124" spans="27:28" x14ac:dyDescent="0.2">
      <c r="AA124" s="725"/>
      <c r="AB124" s="725" t="str">
        <f>IFERROR(VALUE(RIGHT(AA124,LEN(AA124)-MIN(FIND({0;1;2;3;4;5;6;7;8;9},AA124&amp;"0123456789"))+1)),"")</f>
        <v/>
      </c>
    </row>
    <row r="125" spans="27:28" x14ac:dyDescent="0.2">
      <c r="AA125" s="725"/>
      <c r="AB125" s="725" t="str">
        <f>IFERROR(VALUE(RIGHT(AA125,LEN(AA125)-MIN(FIND({0;1;2;3;4;5;6;7;8;9},AA125&amp;"0123456789"))+1)),"")</f>
        <v/>
      </c>
    </row>
    <row r="126" spans="27:28" x14ac:dyDescent="0.2">
      <c r="AA126" s="725"/>
      <c r="AB126" s="725" t="str">
        <f>IFERROR(VALUE(RIGHT(AA126,LEN(AA126)-MIN(FIND({0;1;2;3;4;5;6;7;8;9},AA126&amp;"0123456789"))+1)),"")</f>
        <v/>
      </c>
    </row>
    <row r="127" spans="27:28" x14ac:dyDescent="0.2">
      <c r="AA127" s="725"/>
      <c r="AB127" s="725" t="str">
        <f>IFERROR(VALUE(RIGHT(AA127,LEN(AA127)-MIN(FIND({0;1;2;3;4;5;6;7;8;9},AA127&amp;"0123456789"))+1)),"")</f>
        <v/>
      </c>
    </row>
    <row r="128" spans="27:28" x14ac:dyDescent="0.2">
      <c r="AA128" s="725"/>
      <c r="AB128" s="725" t="str">
        <f>IFERROR(VALUE(RIGHT(AA128,LEN(AA128)-MIN(FIND({0;1;2;3;4;5;6;7;8;9},AA128&amp;"0123456789"))+1)),"")</f>
        <v/>
      </c>
    </row>
    <row r="129" spans="27:28" x14ac:dyDescent="0.2">
      <c r="AA129" s="725"/>
      <c r="AB129" s="725" t="str">
        <f>IFERROR(VALUE(RIGHT(AA129,LEN(AA129)-MIN(FIND({0;1;2;3;4;5;6;7;8;9},AA129&amp;"0123456789"))+1)),"")</f>
        <v/>
      </c>
    </row>
    <row r="130" spans="27:28" x14ac:dyDescent="0.2">
      <c r="AA130" s="725"/>
      <c r="AB130" s="725" t="str">
        <f>IFERROR(VALUE(RIGHT(AA130,LEN(AA130)-MIN(FIND({0;1;2;3;4;5;6;7;8;9},AA130&amp;"0123456789"))+1)),"")</f>
        <v/>
      </c>
    </row>
    <row r="131" spans="27:28" x14ac:dyDescent="0.2">
      <c r="AA131" s="725"/>
      <c r="AB131" s="725" t="str">
        <f>IFERROR(VALUE(RIGHT(AA131,LEN(AA131)-MIN(FIND({0;1;2;3;4;5;6;7;8;9},AA131&amp;"0123456789"))+1)),"")</f>
        <v/>
      </c>
    </row>
    <row r="132" spans="27:28" x14ac:dyDescent="0.2">
      <c r="AA132" s="725"/>
      <c r="AB132" s="725" t="str">
        <f>IFERROR(VALUE(RIGHT(AA132,LEN(AA132)-MIN(FIND({0;1;2;3;4;5;6;7;8;9},AA132&amp;"0123456789"))+1)),"")</f>
        <v/>
      </c>
    </row>
    <row r="133" spans="27:28" x14ac:dyDescent="0.2">
      <c r="AA133" s="725"/>
      <c r="AB133" s="725" t="str">
        <f>IFERROR(VALUE(RIGHT(AA133,LEN(AA133)-MIN(FIND({0;1;2;3;4;5;6;7;8;9},AA133&amp;"0123456789"))+1)),"")</f>
        <v/>
      </c>
    </row>
    <row r="134" spans="27:28" x14ac:dyDescent="0.2">
      <c r="AA134" s="725"/>
      <c r="AB134" s="725" t="str">
        <f>IFERROR(VALUE(RIGHT(AA134,LEN(AA134)-MIN(FIND({0;1;2;3;4;5;6;7;8;9},AA134&amp;"0123456789"))+1)),"")</f>
        <v/>
      </c>
    </row>
    <row r="135" spans="27:28" x14ac:dyDescent="0.2">
      <c r="AA135" s="725"/>
      <c r="AB135" s="725" t="str">
        <f>IFERROR(VALUE(RIGHT(AA135,LEN(AA135)-MIN(FIND({0;1;2;3;4;5;6;7;8;9},AA135&amp;"0123456789"))+1)),"")</f>
        <v/>
      </c>
    </row>
    <row r="136" spans="27:28" x14ac:dyDescent="0.2">
      <c r="AA136" s="725"/>
      <c r="AB136" s="725" t="str">
        <f>IFERROR(VALUE(RIGHT(AA136,LEN(AA136)-MIN(FIND({0;1;2;3;4;5;6;7;8;9},AA136&amp;"0123456789"))+1)),"")</f>
        <v/>
      </c>
    </row>
    <row r="137" spans="27:28" x14ac:dyDescent="0.2">
      <c r="AA137" s="725"/>
      <c r="AB137" s="725" t="str">
        <f>IFERROR(VALUE(RIGHT(AA137,LEN(AA137)-MIN(FIND({0;1;2;3;4;5;6;7;8;9},AA137&amp;"0123456789"))+1)),"")</f>
        <v/>
      </c>
    </row>
    <row r="138" spans="27:28" x14ac:dyDescent="0.2">
      <c r="AA138" s="725"/>
      <c r="AB138" s="725" t="str">
        <f>IFERROR(VALUE(RIGHT(AA138,LEN(AA138)-MIN(FIND({0;1;2;3;4;5;6;7;8;9},AA138&amp;"0123456789"))+1)),"")</f>
        <v/>
      </c>
    </row>
    <row r="139" spans="27:28" x14ac:dyDescent="0.2">
      <c r="AA139" s="725"/>
      <c r="AB139" s="725" t="str">
        <f>IFERROR(VALUE(RIGHT(AA139,LEN(AA139)-MIN(FIND({0;1;2;3;4;5;6;7;8;9},AA139&amp;"0123456789"))+1)),"")</f>
        <v/>
      </c>
    </row>
    <row r="140" spans="27:28" x14ac:dyDescent="0.2">
      <c r="AA140" s="725"/>
      <c r="AB140" s="725" t="str">
        <f>IFERROR(VALUE(RIGHT(AA140,LEN(AA140)-MIN(FIND({0;1;2;3;4;5;6;7;8;9},AA140&amp;"0123456789"))+1)),"")</f>
        <v/>
      </c>
    </row>
    <row r="141" spans="27:28" x14ac:dyDescent="0.2">
      <c r="AA141" s="725"/>
      <c r="AB141" s="725" t="str">
        <f>IFERROR(VALUE(RIGHT(AA141,LEN(AA141)-MIN(FIND({0;1;2;3;4;5;6;7;8;9},AA141&amp;"0123456789"))+1)),"")</f>
        <v/>
      </c>
    </row>
    <row r="142" spans="27:28" x14ac:dyDescent="0.2">
      <c r="AA142" s="725"/>
      <c r="AB142" s="725" t="str">
        <f>IFERROR(VALUE(RIGHT(AA142,LEN(AA142)-MIN(FIND({0;1;2;3;4;5;6;7;8;9},AA142&amp;"0123456789"))+1)),"")</f>
        <v/>
      </c>
    </row>
    <row r="143" spans="27:28" x14ac:dyDescent="0.2">
      <c r="AA143" s="725"/>
      <c r="AB143" s="725" t="str">
        <f>IFERROR(VALUE(RIGHT(AA143,LEN(AA143)-MIN(FIND({0;1;2;3;4;5;6;7;8;9},AA143&amp;"0123456789"))+1)),"")</f>
        <v/>
      </c>
    </row>
    <row r="144" spans="27:28" x14ac:dyDescent="0.2">
      <c r="AA144" s="725"/>
      <c r="AB144" s="725" t="str">
        <f>IFERROR(VALUE(RIGHT(AA144,LEN(AA144)-MIN(FIND({0;1;2;3;4;5;6;7;8;9},AA144&amp;"0123456789"))+1)),"")</f>
        <v/>
      </c>
    </row>
    <row r="145" spans="27:28" x14ac:dyDescent="0.2">
      <c r="AA145" s="725"/>
      <c r="AB145" s="725" t="str">
        <f>IFERROR(VALUE(RIGHT(AA145,LEN(AA145)-MIN(FIND({0;1;2;3;4;5;6;7;8;9},AA145&amp;"0123456789"))+1)),"")</f>
        <v/>
      </c>
    </row>
    <row r="146" spans="27:28" x14ac:dyDescent="0.2">
      <c r="AA146" s="725"/>
      <c r="AB146" s="725" t="str">
        <f>IFERROR(VALUE(RIGHT(AA146,LEN(AA146)-MIN(FIND({0;1;2;3;4;5;6;7;8;9},AA146&amp;"0123456789"))+1)),"")</f>
        <v/>
      </c>
    </row>
    <row r="147" spans="27:28" x14ac:dyDescent="0.2">
      <c r="AA147" s="725"/>
      <c r="AB147" s="725" t="str">
        <f>IFERROR(VALUE(RIGHT(AA147,LEN(AA147)-MIN(FIND({0;1;2;3;4;5;6;7;8;9},AA147&amp;"0123456789"))+1)),"")</f>
        <v/>
      </c>
    </row>
    <row r="148" spans="27:28" x14ac:dyDescent="0.2">
      <c r="AA148" s="725"/>
      <c r="AB148" s="725" t="str">
        <f>IFERROR(VALUE(RIGHT(AA148,LEN(AA148)-MIN(FIND({0;1;2;3;4;5;6;7;8;9},AA148&amp;"0123456789"))+1)),"")</f>
        <v/>
      </c>
    </row>
    <row r="149" spans="27:28" x14ac:dyDescent="0.2">
      <c r="AA149" s="725"/>
      <c r="AB149" s="725" t="str">
        <f>IFERROR(VALUE(RIGHT(AA149,LEN(AA149)-MIN(FIND({0;1;2;3;4;5;6;7;8;9},AA149&amp;"0123456789"))+1)),"")</f>
        <v/>
      </c>
    </row>
    <row r="150" spans="27:28" x14ac:dyDescent="0.2">
      <c r="AA150" s="725"/>
      <c r="AB150" s="725" t="str">
        <f>IFERROR(VALUE(RIGHT(AA150,LEN(AA150)-MIN(FIND({0;1;2;3;4;5;6;7;8;9},AA150&amp;"0123456789"))+1)),"")</f>
        <v/>
      </c>
    </row>
    <row r="151" spans="27:28" x14ac:dyDescent="0.2">
      <c r="AA151" s="725"/>
      <c r="AB151" s="725" t="str">
        <f>IFERROR(VALUE(RIGHT(AA151,LEN(AA151)-MIN(FIND({0;1;2;3;4;5;6;7;8;9},AA151&amp;"0123456789"))+1)),"")</f>
        <v/>
      </c>
    </row>
    <row r="152" spans="27:28" x14ac:dyDescent="0.2">
      <c r="AA152" s="725"/>
      <c r="AB152" s="725" t="str">
        <f>IFERROR(VALUE(RIGHT(AA152,LEN(AA152)-MIN(FIND({0;1;2;3;4;5;6;7;8;9},AA152&amp;"0123456789"))+1)),"")</f>
        <v/>
      </c>
    </row>
    <row r="153" spans="27:28" x14ac:dyDescent="0.2">
      <c r="AA153" s="725"/>
      <c r="AB153" s="725" t="str">
        <f>IFERROR(VALUE(RIGHT(AA153,LEN(AA153)-MIN(FIND({0;1;2;3;4;5;6;7;8;9},AA153&amp;"0123456789"))+1)),"")</f>
        <v/>
      </c>
    </row>
    <row r="154" spans="27:28" x14ac:dyDescent="0.2">
      <c r="AA154" s="725"/>
      <c r="AB154" s="725" t="str">
        <f>IFERROR(VALUE(RIGHT(AA154,LEN(AA154)-MIN(FIND({0;1;2;3;4;5;6;7;8;9},AA154&amp;"0123456789"))+1)),"")</f>
        <v/>
      </c>
    </row>
    <row r="155" spans="27:28" x14ac:dyDescent="0.2">
      <c r="AA155" s="725"/>
      <c r="AB155" s="725" t="str">
        <f>IFERROR(VALUE(RIGHT(AA155,LEN(AA155)-MIN(FIND({0;1;2;3;4;5;6;7;8;9},AA155&amp;"0123456789"))+1)),"")</f>
        <v/>
      </c>
    </row>
    <row r="156" spans="27:28" x14ac:dyDescent="0.2">
      <c r="AA156" s="725"/>
      <c r="AB156" s="725" t="str">
        <f>IFERROR(VALUE(RIGHT(AA156,LEN(AA156)-MIN(FIND({0;1;2;3;4;5;6;7;8;9},AA156&amp;"0123456789"))+1)),"")</f>
        <v/>
      </c>
    </row>
    <row r="157" spans="27:28" x14ac:dyDescent="0.2">
      <c r="AA157" s="725"/>
      <c r="AB157" s="725" t="str">
        <f>IFERROR(VALUE(RIGHT(AA157,LEN(AA157)-MIN(FIND({0;1;2;3;4;5;6;7;8;9},AA157&amp;"0123456789"))+1)),"")</f>
        <v/>
      </c>
    </row>
    <row r="158" spans="27:28" x14ac:dyDescent="0.2">
      <c r="AA158" s="725"/>
      <c r="AB158" s="725" t="str">
        <f>IFERROR(VALUE(RIGHT(AA158,LEN(AA158)-MIN(FIND({0;1;2;3;4;5;6;7;8;9},AA158&amp;"0123456789"))+1)),"")</f>
        <v/>
      </c>
    </row>
    <row r="159" spans="27:28" x14ac:dyDescent="0.2">
      <c r="AA159" s="725"/>
      <c r="AB159" s="725" t="str">
        <f>IFERROR(VALUE(RIGHT(AA159,LEN(AA159)-MIN(FIND({0;1;2;3;4;5;6;7;8;9},AA159&amp;"0123456789"))+1)),"")</f>
        <v/>
      </c>
    </row>
    <row r="160" spans="27:28" x14ac:dyDescent="0.2">
      <c r="AA160" s="725"/>
      <c r="AB160" s="725" t="str">
        <f>IFERROR(VALUE(RIGHT(AA160,LEN(AA160)-MIN(FIND({0;1;2;3;4;5;6;7;8;9},AA160&amp;"0123456789"))+1)),"")</f>
        <v/>
      </c>
    </row>
    <row r="161" spans="27:28" x14ac:dyDescent="0.2">
      <c r="AA161" s="725"/>
      <c r="AB161" s="725" t="str">
        <f>IFERROR(VALUE(RIGHT(AA161,LEN(AA161)-MIN(FIND({0;1;2;3;4;5;6;7;8;9},AA161&amp;"0123456789"))+1)),"")</f>
        <v/>
      </c>
    </row>
    <row r="162" spans="27:28" x14ac:dyDescent="0.2">
      <c r="AA162" s="725"/>
      <c r="AB162" s="725" t="str">
        <f>IFERROR(VALUE(RIGHT(AA162,LEN(AA162)-MIN(FIND({0;1;2;3;4;5;6;7;8;9},AA162&amp;"0123456789"))+1)),"")</f>
        <v/>
      </c>
    </row>
    <row r="163" spans="27:28" x14ac:dyDescent="0.2">
      <c r="AA163" s="725"/>
      <c r="AB163" s="725" t="str">
        <f>IFERROR(VALUE(RIGHT(AA163,LEN(AA163)-MIN(FIND({0;1;2;3;4;5;6;7;8;9},AA163&amp;"0123456789"))+1)),"")</f>
        <v/>
      </c>
    </row>
    <row r="164" spans="27:28" x14ac:dyDescent="0.2">
      <c r="AA164" s="725"/>
      <c r="AB164" s="725" t="str">
        <f>IFERROR(VALUE(RIGHT(AA164,LEN(AA164)-MIN(FIND({0;1;2;3;4;5;6;7;8;9},AA164&amp;"0123456789"))+1)),"")</f>
        <v/>
      </c>
    </row>
    <row r="165" spans="27:28" x14ac:dyDescent="0.2">
      <c r="AA165" s="725"/>
      <c r="AB165" s="725" t="str">
        <f>IFERROR(VALUE(RIGHT(AA165,LEN(AA165)-MIN(FIND({0;1;2;3;4;5;6;7;8;9},AA165&amp;"0123456789"))+1)),"")</f>
        <v/>
      </c>
    </row>
    <row r="166" spans="27:28" x14ac:dyDescent="0.2">
      <c r="AA166" s="725"/>
      <c r="AB166" s="725" t="str">
        <f>IFERROR(VALUE(RIGHT(AA166,LEN(AA166)-MIN(FIND({0;1;2;3;4;5;6;7;8;9},AA166&amp;"0123456789"))+1)),"")</f>
        <v/>
      </c>
    </row>
    <row r="167" spans="27:28" x14ac:dyDescent="0.2">
      <c r="AA167" s="725"/>
      <c r="AB167" s="725" t="str">
        <f>IFERROR(VALUE(RIGHT(AA167,LEN(AA167)-MIN(FIND({0;1;2;3;4;5;6;7;8;9},AA167&amp;"0123456789"))+1)),"")</f>
        <v/>
      </c>
    </row>
    <row r="168" spans="27:28" x14ac:dyDescent="0.2">
      <c r="AA168" s="725"/>
      <c r="AB168" s="725" t="str">
        <f>IFERROR(VALUE(RIGHT(AA168,LEN(AA168)-MIN(FIND({0;1;2;3;4;5;6;7;8;9},AA168&amp;"0123456789"))+1)),"")</f>
        <v/>
      </c>
    </row>
    <row r="169" spans="27:28" x14ac:dyDescent="0.2">
      <c r="AA169" s="725"/>
      <c r="AB169" s="725" t="str">
        <f>IFERROR(VALUE(RIGHT(AA169,LEN(AA169)-MIN(FIND({0;1;2;3;4;5;6;7;8;9},AA169&amp;"0123456789"))+1)),"")</f>
        <v/>
      </c>
    </row>
    <row r="170" spans="27:28" x14ac:dyDescent="0.2">
      <c r="AA170" s="725"/>
      <c r="AB170" s="725" t="str">
        <f>IFERROR(VALUE(RIGHT(AA170,LEN(AA170)-MIN(FIND({0;1;2;3;4;5;6;7;8;9},AA170&amp;"0123456789"))+1)),"")</f>
        <v/>
      </c>
    </row>
    <row r="171" spans="27:28" x14ac:dyDescent="0.2">
      <c r="AA171" s="725"/>
      <c r="AB171" s="725" t="str">
        <f>IFERROR(VALUE(RIGHT(AA171,LEN(AA171)-MIN(FIND({0;1;2;3;4;5;6;7;8;9},AA171&amp;"0123456789"))+1)),"")</f>
        <v/>
      </c>
    </row>
    <row r="172" spans="27:28" x14ac:dyDescent="0.2">
      <c r="AA172" s="725"/>
      <c r="AB172" s="725" t="str">
        <f>IFERROR(VALUE(RIGHT(AA172,LEN(AA172)-MIN(FIND({0;1;2;3;4;5;6;7;8;9},AA172&amp;"0123456789"))+1)),"")</f>
        <v/>
      </c>
    </row>
    <row r="173" spans="27:28" x14ac:dyDescent="0.2">
      <c r="AA173" s="725"/>
      <c r="AB173" s="725" t="str">
        <f>IFERROR(VALUE(RIGHT(AA173,LEN(AA173)-MIN(FIND({0;1;2;3;4;5;6;7;8;9},AA173&amp;"0123456789"))+1)),"")</f>
        <v/>
      </c>
    </row>
    <row r="174" spans="27:28" x14ac:dyDescent="0.2">
      <c r="AA174" s="725"/>
      <c r="AB174" s="725" t="str">
        <f>IFERROR(VALUE(RIGHT(AA174,LEN(AA174)-MIN(FIND({0;1;2;3;4;5;6;7;8;9},AA174&amp;"0123456789"))+1)),"")</f>
        <v/>
      </c>
    </row>
    <row r="175" spans="27:28" x14ac:dyDescent="0.2">
      <c r="AA175" s="725"/>
      <c r="AB175" s="725" t="str">
        <f>IFERROR(VALUE(RIGHT(AA175,LEN(AA175)-MIN(FIND({0;1;2;3;4;5;6;7;8;9},AA175&amp;"0123456789"))+1)),"")</f>
        <v/>
      </c>
    </row>
    <row r="176" spans="27:28" x14ac:dyDescent="0.2">
      <c r="AA176" s="725"/>
      <c r="AB176" s="725" t="str">
        <f>IFERROR(VALUE(RIGHT(AA176,LEN(AA176)-MIN(FIND({0;1;2;3;4;5;6;7;8;9},AA176&amp;"0123456789"))+1)),"")</f>
        <v/>
      </c>
    </row>
    <row r="177" spans="27:28" x14ac:dyDescent="0.2">
      <c r="AA177" s="725"/>
      <c r="AB177" s="725" t="str">
        <f>IFERROR(VALUE(RIGHT(AA177,LEN(AA177)-MIN(FIND({0;1;2;3;4;5;6;7;8;9},AA177&amp;"0123456789"))+1)),"")</f>
        <v/>
      </c>
    </row>
    <row r="178" spans="27:28" x14ac:dyDescent="0.2">
      <c r="AA178" s="725"/>
      <c r="AB178" s="725" t="str">
        <f>IFERROR(VALUE(RIGHT(AA178,LEN(AA178)-MIN(FIND({0;1;2;3;4;5;6;7;8;9},AA178&amp;"0123456789"))+1)),"")</f>
        <v/>
      </c>
    </row>
    <row r="179" spans="27:28" x14ac:dyDescent="0.2">
      <c r="AA179" s="725"/>
      <c r="AB179" s="725" t="str">
        <f>IFERROR(VALUE(RIGHT(AA179,LEN(AA179)-MIN(FIND({0;1;2;3;4;5;6;7;8;9},AA179&amp;"0123456789"))+1)),"")</f>
        <v/>
      </c>
    </row>
    <row r="180" spans="27:28" x14ac:dyDescent="0.2">
      <c r="AA180" s="725"/>
      <c r="AB180" s="725" t="str">
        <f>IFERROR(VALUE(RIGHT(AA180,LEN(AA180)-MIN(FIND({0;1;2;3;4;5;6;7;8;9},AA180&amp;"0123456789"))+1)),"")</f>
        <v/>
      </c>
    </row>
    <row r="181" spans="27:28" x14ac:dyDescent="0.2">
      <c r="AA181" s="725"/>
      <c r="AB181" s="725" t="str">
        <f>IFERROR(VALUE(RIGHT(AA181,LEN(AA181)-MIN(FIND({0;1;2;3;4;5;6;7;8;9},AA181&amp;"0123456789"))+1)),"")</f>
        <v/>
      </c>
    </row>
    <row r="182" spans="27:28" x14ac:dyDescent="0.2">
      <c r="AA182" s="725"/>
      <c r="AB182" s="725" t="str">
        <f>IFERROR(VALUE(RIGHT(AA182,LEN(AA182)-MIN(FIND({0;1;2;3;4;5;6;7;8;9},AA182&amp;"0123456789"))+1)),"")</f>
        <v/>
      </c>
    </row>
    <row r="183" spans="27:28" x14ac:dyDescent="0.2">
      <c r="AA183" s="725"/>
      <c r="AB183" s="725" t="str">
        <f>IFERROR(VALUE(RIGHT(AA183,LEN(AA183)-MIN(FIND({0;1;2;3;4;5;6;7;8;9},AA183&amp;"0123456789"))+1)),"")</f>
        <v/>
      </c>
    </row>
    <row r="184" spans="27:28" x14ac:dyDescent="0.2">
      <c r="AA184" s="725"/>
      <c r="AB184" s="725" t="str">
        <f>IFERROR(VALUE(RIGHT(AA184,LEN(AA184)-MIN(FIND({0;1;2;3;4;5;6;7;8;9},AA184&amp;"0123456789"))+1)),"")</f>
        <v/>
      </c>
    </row>
    <row r="185" spans="27:28" x14ac:dyDescent="0.2">
      <c r="AA185" s="725"/>
      <c r="AB185" s="725" t="str">
        <f>IFERROR(VALUE(RIGHT(AA185,LEN(AA185)-MIN(FIND({0;1;2;3;4;5;6;7;8;9},AA185&amp;"0123456789"))+1)),"")</f>
        <v/>
      </c>
    </row>
    <row r="186" spans="27:28" x14ac:dyDescent="0.2">
      <c r="AA186" s="725"/>
      <c r="AB186" s="725" t="str">
        <f>IFERROR(VALUE(RIGHT(AA186,LEN(AA186)-MIN(FIND({0;1;2;3;4;5;6;7;8;9},AA186&amp;"0123456789"))+1)),"")</f>
        <v/>
      </c>
    </row>
    <row r="187" spans="27:28" x14ac:dyDescent="0.2">
      <c r="AA187" s="725"/>
      <c r="AB187" s="725" t="str">
        <f>IFERROR(VALUE(RIGHT(AA187,LEN(AA187)-MIN(FIND({0;1;2;3;4;5;6;7;8;9},AA187&amp;"0123456789"))+1)),"")</f>
        <v/>
      </c>
    </row>
    <row r="188" spans="27:28" x14ac:dyDescent="0.2">
      <c r="AA188" s="725"/>
      <c r="AB188" s="725" t="str">
        <f>IFERROR(VALUE(RIGHT(AA188,LEN(AA188)-MIN(FIND({0;1;2;3;4;5;6;7;8;9},AA188&amp;"0123456789"))+1)),"")</f>
        <v/>
      </c>
    </row>
    <row r="189" spans="27:28" x14ac:dyDescent="0.2">
      <c r="AA189" s="725"/>
      <c r="AB189" s="725" t="str">
        <f>IFERROR(VALUE(RIGHT(AA189,LEN(AA189)-MIN(FIND({0;1;2;3;4;5;6;7;8;9},AA189&amp;"0123456789"))+1)),"")</f>
        <v/>
      </c>
    </row>
    <row r="190" spans="27:28" x14ac:dyDescent="0.2">
      <c r="AA190" s="725"/>
      <c r="AB190" s="725" t="str">
        <f>IFERROR(VALUE(RIGHT(AA190,LEN(AA190)-MIN(FIND({0;1;2;3;4;5;6;7;8;9},AA190&amp;"0123456789"))+1)),"")</f>
        <v/>
      </c>
    </row>
    <row r="191" spans="27:28" x14ac:dyDescent="0.2">
      <c r="AA191" s="725"/>
      <c r="AB191" s="725" t="str">
        <f>IFERROR(VALUE(RIGHT(AA191,LEN(AA191)-MIN(FIND({0;1;2;3;4;5;6;7;8;9},AA191&amp;"0123456789"))+1)),"")</f>
        <v/>
      </c>
    </row>
    <row r="192" spans="27:28" x14ac:dyDescent="0.2">
      <c r="AA192" s="725"/>
      <c r="AB192" s="725" t="str">
        <f>IFERROR(VALUE(RIGHT(AA192,LEN(AA192)-MIN(FIND({0;1;2;3;4;5;6;7;8;9},AA192&amp;"0123456789"))+1)),"")</f>
        <v/>
      </c>
    </row>
    <row r="193" spans="27:28" x14ac:dyDescent="0.2">
      <c r="AA193" s="725"/>
      <c r="AB193" s="725" t="str">
        <f>IFERROR(VALUE(RIGHT(AA193,LEN(AA193)-MIN(FIND({0;1;2;3;4;5;6;7;8;9},AA193&amp;"0123456789"))+1)),"")</f>
        <v/>
      </c>
    </row>
    <row r="194" spans="27:28" x14ac:dyDescent="0.2">
      <c r="AA194" s="725"/>
      <c r="AB194" s="725" t="str">
        <f>IFERROR(VALUE(RIGHT(AA194,LEN(AA194)-MIN(FIND({0;1;2;3;4;5;6;7;8;9},AA194&amp;"0123456789"))+1)),"")</f>
        <v/>
      </c>
    </row>
    <row r="195" spans="27:28" x14ac:dyDescent="0.2">
      <c r="AA195" s="725"/>
      <c r="AB195" s="725" t="str">
        <f>IFERROR(VALUE(RIGHT(AA195,LEN(AA195)-MIN(FIND({0;1;2;3;4;5;6;7;8;9},AA195&amp;"0123456789"))+1)),"")</f>
        <v/>
      </c>
    </row>
    <row r="196" spans="27:28" x14ac:dyDescent="0.2">
      <c r="AA196" s="725"/>
      <c r="AB196" s="725" t="str">
        <f>IFERROR(VALUE(RIGHT(AA196,LEN(AA196)-MIN(FIND({0;1;2;3;4;5;6;7;8;9},AA196&amp;"0123456789"))+1)),"")</f>
        <v/>
      </c>
    </row>
    <row r="197" spans="27:28" x14ac:dyDescent="0.2">
      <c r="AA197" s="725"/>
      <c r="AB197" s="725" t="str">
        <f>IFERROR(VALUE(RIGHT(AA197,LEN(AA197)-MIN(FIND({0;1;2;3;4;5;6;7;8;9},AA197&amp;"0123456789"))+1)),"")</f>
        <v/>
      </c>
    </row>
    <row r="198" spans="27:28" x14ac:dyDescent="0.2">
      <c r="AA198" s="725"/>
      <c r="AB198" s="725" t="str">
        <f>IFERROR(VALUE(RIGHT(AA198,LEN(AA198)-MIN(FIND({0;1;2;3;4;5;6;7;8;9},AA198&amp;"0123456789"))+1)),"")</f>
        <v/>
      </c>
    </row>
    <row r="199" spans="27:28" x14ac:dyDescent="0.2">
      <c r="AA199" s="725"/>
      <c r="AB199" s="725" t="str">
        <f>IFERROR(VALUE(RIGHT(AA199,LEN(AA199)-MIN(FIND({0;1;2;3;4;5;6;7;8;9},AA199&amp;"0123456789"))+1)),"")</f>
        <v/>
      </c>
    </row>
    <row r="200" spans="27:28" x14ac:dyDescent="0.2">
      <c r="AA200" s="725"/>
      <c r="AB200" s="725" t="str">
        <f>IFERROR(VALUE(RIGHT(AA200,LEN(AA200)-MIN(FIND({0;1;2;3;4;5;6;7;8;9},AA200&amp;"0123456789"))+1)),"")</f>
        <v/>
      </c>
    </row>
    <row r="201" spans="27:28" x14ac:dyDescent="0.2">
      <c r="AA201" s="725"/>
      <c r="AB201" s="725" t="str">
        <f>IFERROR(VALUE(RIGHT(AA201,LEN(AA201)-MIN(FIND({0;1;2;3;4;5;6;7;8;9},AA201&amp;"0123456789"))+1)),"")</f>
        <v/>
      </c>
    </row>
    <row r="202" spans="27:28" x14ac:dyDescent="0.2">
      <c r="AA202" s="725"/>
      <c r="AB202" s="725" t="str">
        <f>IFERROR(VALUE(RIGHT(AA202,LEN(AA202)-MIN(FIND({0;1;2;3;4;5;6;7;8;9},AA202&amp;"0123456789"))+1)),"")</f>
        <v/>
      </c>
    </row>
    <row r="203" spans="27:28" x14ac:dyDescent="0.2">
      <c r="AA203" s="725"/>
      <c r="AB203" s="725" t="str">
        <f>IFERROR(VALUE(RIGHT(AA203,LEN(AA203)-MIN(FIND({0;1;2;3;4;5;6;7;8;9},AA203&amp;"0123456789"))+1)),"")</f>
        <v/>
      </c>
    </row>
    <row r="204" spans="27:28" x14ac:dyDescent="0.2">
      <c r="AA204" s="725"/>
      <c r="AB204" s="725" t="str">
        <f>IFERROR(VALUE(RIGHT(AA204,LEN(AA204)-MIN(FIND({0;1;2;3;4;5;6;7;8;9},AA204&amp;"0123456789"))+1)),"")</f>
        <v/>
      </c>
    </row>
    <row r="205" spans="27:28" x14ac:dyDescent="0.2">
      <c r="AA205" s="725"/>
      <c r="AB205" s="725" t="str">
        <f>IFERROR(VALUE(RIGHT(AA205,LEN(AA205)-MIN(FIND({0;1;2;3;4;5;6;7;8;9},AA205&amp;"0123456789"))+1)),"")</f>
        <v/>
      </c>
    </row>
    <row r="206" spans="27:28" x14ac:dyDescent="0.2">
      <c r="AA206" s="725"/>
      <c r="AB206" s="725" t="str">
        <f>IFERROR(VALUE(RIGHT(AA206,LEN(AA206)-MIN(FIND({0;1;2;3;4;5;6;7;8;9},AA206&amp;"0123456789"))+1)),"")</f>
        <v/>
      </c>
    </row>
    <row r="207" spans="27:28" x14ac:dyDescent="0.2">
      <c r="AA207" s="725"/>
      <c r="AB207" s="725" t="str">
        <f>IFERROR(VALUE(RIGHT(AA207,LEN(AA207)-MIN(FIND({0;1;2;3;4;5;6;7;8;9},AA207&amp;"0123456789"))+1)),"")</f>
        <v/>
      </c>
    </row>
    <row r="208" spans="27:28" x14ac:dyDescent="0.2">
      <c r="AA208" s="725"/>
      <c r="AB208" s="725" t="str">
        <f>IFERROR(VALUE(RIGHT(AA208,LEN(AA208)-MIN(FIND({0;1;2;3;4;5;6;7;8;9},AA208&amp;"0123456789"))+1)),"")</f>
        <v/>
      </c>
    </row>
    <row r="209" spans="27:28" x14ac:dyDescent="0.2">
      <c r="AA209" s="725"/>
      <c r="AB209" s="725" t="str">
        <f>IFERROR(VALUE(RIGHT(AA209,LEN(AA209)-MIN(FIND({0;1;2;3;4;5;6;7;8;9},AA209&amp;"0123456789"))+1)),"")</f>
        <v/>
      </c>
    </row>
    <row r="210" spans="27:28" x14ac:dyDescent="0.2">
      <c r="AA210" s="725"/>
      <c r="AB210" s="725" t="str">
        <f>IFERROR(VALUE(RIGHT(AA210,LEN(AA210)-MIN(FIND({0;1;2;3;4;5;6;7;8;9},AA210&amp;"0123456789"))+1)),"")</f>
        <v/>
      </c>
    </row>
    <row r="211" spans="27:28" x14ac:dyDescent="0.2">
      <c r="AA211" s="725"/>
      <c r="AB211" s="725" t="str">
        <f>IFERROR(VALUE(RIGHT(AA211,LEN(AA211)-MIN(FIND({0;1;2;3;4;5;6;7;8;9},AA211&amp;"0123456789"))+1)),"")</f>
        <v/>
      </c>
    </row>
    <row r="212" spans="27:28" x14ac:dyDescent="0.2">
      <c r="AA212" s="725"/>
      <c r="AB212" s="725" t="str">
        <f>IFERROR(VALUE(RIGHT(AA212,LEN(AA212)-MIN(FIND({0;1;2;3;4;5;6;7;8;9},AA212&amp;"0123456789"))+1)),"")</f>
        <v/>
      </c>
    </row>
    <row r="213" spans="27:28" x14ac:dyDescent="0.2">
      <c r="AA213" s="725"/>
      <c r="AB213" s="725" t="str">
        <f>IFERROR(VALUE(RIGHT(AA213,LEN(AA213)-MIN(FIND({0;1;2;3;4;5;6;7;8;9},AA213&amp;"0123456789"))+1)),"")</f>
        <v/>
      </c>
    </row>
    <row r="214" spans="27:28" x14ac:dyDescent="0.2">
      <c r="AA214" s="725"/>
      <c r="AB214" s="725" t="str">
        <f>IFERROR(VALUE(RIGHT(AA214,LEN(AA214)-MIN(FIND({0;1;2;3;4;5;6;7;8;9},AA214&amp;"0123456789"))+1)),"")</f>
        <v/>
      </c>
    </row>
    <row r="215" spans="27:28" x14ac:dyDescent="0.2">
      <c r="AA215" s="725"/>
      <c r="AB215" s="725" t="str">
        <f>IFERROR(VALUE(RIGHT(AA215,LEN(AA215)-MIN(FIND({0;1;2;3;4;5;6;7;8;9},AA215&amp;"0123456789"))+1)),"")</f>
        <v/>
      </c>
    </row>
    <row r="216" spans="27:28" x14ac:dyDescent="0.2">
      <c r="AA216" s="725"/>
      <c r="AB216" s="725" t="str">
        <f>IFERROR(VALUE(RIGHT(AA216,LEN(AA216)-MIN(FIND({0;1;2;3;4;5;6;7;8;9},AA216&amp;"0123456789"))+1)),"")</f>
        <v/>
      </c>
    </row>
    <row r="217" spans="27:28" x14ac:dyDescent="0.2">
      <c r="AA217" s="725"/>
      <c r="AB217" s="725" t="str">
        <f>IFERROR(VALUE(RIGHT(AA217,LEN(AA217)-MIN(FIND({0;1;2;3;4;5;6;7;8;9},AA217&amp;"0123456789"))+1)),"")</f>
        <v/>
      </c>
    </row>
    <row r="218" spans="27:28" x14ac:dyDescent="0.2">
      <c r="AA218" s="725"/>
      <c r="AB218" s="725" t="str">
        <f>IFERROR(VALUE(RIGHT(AA218,LEN(AA218)-MIN(FIND({0;1;2;3;4;5;6;7;8;9},AA218&amp;"0123456789"))+1)),"")</f>
        <v/>
      </c>
    </row>
    <row r="219" spans="27:28" x14ac:dyDescent="0.2">
      <c r="AA219" s="725"/>
      <c r="AB219" s="725" t="str">
        <f>IFERROR(VALUE(RIGHT(AA219,LEN(AA219)-MIN(FIND({0;1;2;3;4;5;6;7;8;9},AA219&amp;"0123456789"))+1)),"")</f>
        <v/>
      </c>
    </row>
    <row r="220" spans="27:28" x14ac:dyDescent="0.2">
      <c r="AA220" s="725"/>
      <c r="AB220" s="725" t="str">
        <f>IFERROR(VALUE(RIGHT(AA220,LEN(AA220)-MIN(FIND({0;1;2;3;4;5;6;7;8;9},AA220&amp;"0123456789"))+1)),"")</f>
        <v/>
      </c>
    </row>
    <row r="221" spans="27:28" x14ac:dyDescent="0.2">
      <c r="AA221" s="725"/>
      <c r="AB221" s="725" t="str">
        <f>IFERROR(VALUE(RIGHT(AA221,LEN(AA221)-MIN(FIND({0;1;2;3;4;5;6;7;8;9},AA221&amp;"0123456789"))+1)),"")</f>
        <v/>
      </c>
    </row>
    <row r="222" spans="27:28" x14ac:dyDescent="0.2">
      <c r="AA222" s="725"/>
      <c r="AB222" s="725" t="str">
        <f>IFERROR(VALUE(RIGHT(AA222,LEN(AA222)-MIN(FIND({0;1;2;3;4;5;6;7;8;9},AA222&amp;"0123456789"))+1)),"")</f>
        <v/>
      </c>
    </row>
    <row r="223" spans="27:28" x14ac:dyDescent="0.2">
      <c r="AA223" s="725"/>
      <c r="AB223" s="725" t="str">
        <f>IFERROR(VALUE(RIGHT(AA223,LEN(AA223)-MIN(FIND({0;1;2;3;4;5;6;7;8;9},AA223&amp;"0123456789"))+1)),"")</f>
        <v/>
      </c>
    </row>
    <row r="224" spans="27:28" x14ac:dyDescent="0.2">
      <c r="AA224" s="725"/>
      <c r="AB224" s="725" t="str">
        <f>IFERROR(VALUE(RIGHT(AA224,LEN(AA224)-MIN(FIND({0;1;2;3;4;5;6;7;8;9},AA224&amp;"0123456789"))+1)),"")</f>
        <v/>
      </c>
    </row>
    <row r="225" spans="27:28" x14ac:dyDescent="0.2">
      <c r="AA225" s="725"/>
      <c r="AB225" s="725" t="str">
        <f>IFERROR(VALUE(RIGHT(AA225,LEN(AA225)-MIN(FIND({0;1;2;3;4;5;6;7;8;9},AA225&amp;"0123456789"))+1)),"")</f>
        <v/>
      </c>
    </row>
    <row r="226" spans="27:28" x14ac:dyDescent="0.2">
      <c r="AA226" s="725"/>
      <c r="AB226" s="725" t="str">
        <f>IFERROR(VALUE(RIGHT(AA226,LEN(AA226)-MIN(FIND({0;1;2;3;4;5;6;7;8;9},AA226&amp;"0123456789"))+1)),"")</f>
        <v/>
      </c>
    </row>
    <row r="227" spans="27:28" x14ac:dyDescent="0.2">
      <c r="AA227" s="725"/>
      <c r="AB227" s="725" t="str">
        <f>IFERROR(VALUE(RIGHT(AA227,LEN(AA227)-MIN(FIND({0;1;2;3;4;5;6;7;8;9},AA227&amp;"0123456789"))+1)),"")</f>
        <v/>
      </c>
    </row>
    <row r="228" spans="27:28" x14ac:dyDescent="0.2">
      <c r="AA228" s="725"/>
      <c r="AB228" s="725" t="str">
        <f>IFERROR(VALUE(RIGHT(AA228,LEN(AA228)-MIN(FIND({0;1;2;3;4;5;6;7;8;9},AA228&amp;"0123456789"))+1)),"")</f>
        <v/>
      </c>
    </row>
    <row r="229" spans="27:28" x14ac:dyDescent="0.2">
      <c r="AA229" s="725"/>
      <c r="AB229" s="725" t="str">
        <f>IFERROR(VALUE(RIGHT(AA229,LEN(AA229)-MIN(FIND({0;1;2;3;4;5;6;7;8;9},AA229&amp;"0123456789"))+1)),"")</f>
        <v/>
      </c>
    </row>
    <row r="230" spans="27:28" x14ac:dyDescent="0.2">
      <c r="AA230" s="725"/>
      <c r="AB230" s="725" t="str">
        <f>IFERROR(VALUE(RIGHT(AA230,LEN(AA230)-MIN(FIND({0;1;2;3;4;5;6;7;8;9},AA230&amp;"0123456789"))+1)),"")</f>
        <v/>
      </c>
    </row>
    <row r="231" spans="27:28" x14ac:dyDescent="0.2">
      <c r="AA231" s="725"/>
      <c r="AB231" s="725" t="str">
        <f>IFERROR(VALUE(RIGHT(AA231,LEN(AA231)-MIN(FIND({0;1;2;3;4;5;6;7;8;9},AA231&amp;"0123456789"))+1)),"")</f>
        <v/>
      </c>
    </row>
    <row r="232" spans="27:28" x14ac:dyDescent="0.2">
      <c r="AA232" s="725"/>
      <c r="AB232" s="725" t="str">
        <f>IFERROR(VALUE(RIGHT(AA232,LEN(AA232)-MIN(FIND({0;1;2;3;4;5;6;7;8;9},AA232&amp;"0123456789"))+1)),"")</f>
        <v/>
      </c>
    </row>
    <row r="233" spans="27:28" x14ac:dyDescent="0.2">
      <c r="AA233" s="725"/>
      <c r="AB233" s="725" t="str">
        <f>IFERROR(VALUE(RIGHT(AA233,LEN(AA233)-MIN(FIND({0;1;2;3;4;5;6;7;8;9},AA233&amp;"0123456789"))+1)),"")</f>
        <v/>
      </c>
    </row>
    <row r="234" spans="27:28" x14ac:dyDescent="0.2">
      <c r="AA234" s="725"/>
      <c r="AB234" s="725" t="str">
        <f>IFERROR(VALUE(RIGHT(AA234,LEN(AA234)-MIN(FIND({0;1;2;3;4;5;6;7;8;9},AA234&amp;"0123456789"))+1)),"")</f>
        <v/>
      </c>
    </row>
    <row r="235" spans="27:28" x14ac:dyDescent="0.2">
      <c r="AA235" s="725"/>
      <c r="AB235" s="725" t="str">
        <f>IFERROR(VALUE(RIGHT(AA235,LEN(AA235)-MIN(FIND({0;1;2;3;4;5;6;7;8;9},AA235&amp;"0123456789"))+1)),"")</f>
        <v/>
      </c>
    </row>
    <row r="236" spans="27:28" x14ac:dyDescent="0.2">
      <c r="AA236" s="725"/>
      <c r="AB236" s="725" t="str">
        <f>IFERROR(VALUE(RIGHT(AA236,LEN(AA236)-MIN(FIND({0;1;2;3;4;5;6;7;8;9},AA236&amp;"0123456789"))+1)),"")</f>
        <v/>
      </c>
    </row>
    <row r="237" spans="27:28" x14ac:dyDescent="0.2">
      <c r="AB237" s="725" t="str">
        <f>IFERROR(VALUE(RIGHT(AA237,LEN(AA237)-MIN(FIND({0;1;2;3;4;5;6;7;8;9},AA237&amp;"0123456789"))+1)),"")</f>
        <v/>
      </c>
    </row>
    <row r="238" spans="27:28" x14ac:dyDescent="0.2">
      <c r="AB238" s="725" t="str">
        <f>IFERROR(VALUE(RIGHT(AA238,LEN(AA238)-MIN(FIND({0;1;2;3;4;5;6;7;8;9},AA238&amp;"0123456789"))+1)),"")</f>
        <v/>
      </c>
    </row>
    <row r="239" spans="27:28" x14ac:dyDescent="0.2">
      <c r="AB239" s="725" t="str">
        <f>IFERROR(VALUE(RIGHT(AA239,LEN(AA239)-MIN(FIND({0;1;2;3;4;5;6;7;8;9},AA239&amp;"0123456789"))+1)),"")</f>
        <v/>
      </c>
    </row>
    <row r="240" spans="27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">
        <v>1965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CONCATENATE("_figures\",Results!C31,".png")</f>
        <v>_figures\Estatico.png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Results!C31, ".py")</f>
        <v>_figures\Estatico.py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525</v>
      </c>
      <c r="C10" s="712" t="s">
        <v>524</v>
      </c>
    </row>
    <row r="11" spans="1:4" ht="14.25" thickTop="1" thickBot="1" x14ac:dyDescent="0.25">
      <c r="A11" s="713">
        <f>Results!$C$46</f>
        <v>24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527</v>
      </c>
      <c r="C13" s="712" t="s">
        <v>528</v>
      </c>
    </row>
    <row r="14" spans="1:4" ht="15.75" thickTop="1" x14ac:dyDescent="0.2">
      <c r="A14" s="716" t="str">
        <f>'1st_Post_Processing'!$L$6</f>
        <v>Line</v>
      </c>
      <c r="B14" s="715"/>
      <c r="C14" s="712" t="str">
        <f>_xlfn.CONCAT("filename_static = r'",$A$2,"'")</f>
        <v>filename_static = r'Estatico.sim'</v>
      </c>
    </row>
    <row r="15" spans="1:4" ht="15" x14ac:dyDescent="0.2">
      <c r="A15" s="717" t="str">
        <f>'1st_Post_Processing'!$L$7</f>
        <v>Stiffener1</v>
      </c>
      <c r="C15" s="712" t="s">
        <v>2194</v>
      </c>
    </row>
    <row r="16" spans="1:4" ht="15.75" thickBot="1" x14ac:dyDescent="0.25">
      <c r="A16" s="718" t="str">
        <f>'1st_Post_Processing'!$L$8</f>
        <v>P7000048060_/_'DU700154300_Rev._C</v>
      </c>
      <c r="C16" s="712"/>
    </row>
    <row r="17" spans="1:3" ht="15.75" thickBot="1" x14ac:dyDescent="0.25">
      <c r="C17" s="712" t="s">
        <v>529</v>
      </c>
    </row>
    <row r="18" spans="1:3" ht="15.75" thickBot="1" x14ac:dyDescent="0.25">
      <c r="A18" s="711" t="s">
        <v>530</v>
      </c>
      <c r="B18" s="715"/>
      <c r="C18" s="712" t="str">
        <f>_xlfn.CONCAT("pngname = r'",$A$5,"'")</f>
        <v>pngname = r'_figures\Estatico.png'</v>
      </c>
    </row>
    <row r="19" spans="1:3" ht="14.25" thickTop="1" thickBot="1" x14ac:dyDescent="0.25">
      <c r="A19" s="722" t="str">
        <f>IF(COUNTBLANK(Results!C26:C28)&lt;3,  "True", "False")</f>
        <v>False</v>
      </c>
    </row>
    <row r="20" spans="1:3" ht="15" x14ac:dyDescent="0.2">
      <c r="C20" s="712" t="s">
        <v>531</v>
      </c>
    </row>
    <row r="22" spans="1:3" ht="15" x14ac:dyDescent="0.2">
      <c r="C22" s="712" t="s">
        <v>532</v>
      </c>
    </row>
    <row r="23" spans="1:3" ht="15" x14ac:dyDescent="0.2">
      <c r="C23" s="712" t="s">
        <v>533</v>
      </c>
    </row>
    <row r="24" spans="1:3" ht="15" x14ac:dyDescent="0.2">
      <c r="C24" s="712" t="s">
        <v>534</v>
      </c>
    </row>
    <row r="26" spans="1:3" ht="15" x14ac:dyDescent="0.2">
      <c r="C26" s="712" t="s">
        <v>535</v>
      </c>
    </row>
    <row r="27" spans="1:3" ht="15" x14ac:dyDescent="0.2">
      <c r="C27" s="712" t="s">
        <v>536</v>
      </c>
    </row>
    <row r="28" spans="1:3" ht="15" x14ac:dyDescent="0.2">
      <c r="C28" s="712" t="s">
        <v>537</v>
      </c>
    </row>
    <row r="29" spans="1:3" ht="15" x14ac:dyDescent="0.2">
      <c r="C29" s="712" t="s">
        <v>538</v>
      </c>
    </row>
    <row r="30" spans="1:3" ht="15" x14ac:dyDescent="0.2">
      <c r="C30" s="712" t="s">
        <v>539</v>
      </c>
    </row>
    <row r="32" spans="1:3" ht="15" x14ac:dyDescent="0.2">
      <c r="C32" s="712" t="s">
        <v>1967</v>
      </c>
    </row>
    <row r="33" spans="3:3" ht="15" x14ac:dyDescent="0.2">
      <c r="C33" s="712" t="s">
        <v>1968</v>
      </c>
    </row>
    <row r="34" spans="3:3" ht="15" x14ac:dyDescent="0.2">
      <c r="C34" s="712" t="s">
        <v>1969</v>
      </c>
    </row>
    <row r="36" spans="3:3" ht="15" x14ac:dyDescent="0.2">
      <c r="C36" s="712" t="s">
        <v>1970</v>
      </c>
    </row>
    <row r="37" spans="3:3" ht="15" x14ac:dyDescent="0.2">
      <c r="C37" s="712" t="s">
        <v>1971</v>
      </c>
    </row>
    <row r="38" spans="3:3" ht="15" x14ac:dyDescent="0.2">
      <c r="C38" s="712" t="s">
        <v>1972</v>
      </c>
    </row>
    <row r="40" spans="3:3" ht="15" x14ac:dyDescent="0.2">
      <c r="C40" s="712" t="s">
        <v>1973</v>
      </c>
    </row>
    <row r="41" spans="3:3" ht="15" x14ac:dyDescent="0.2">
      <c r="C41" s="712" t="s">
        <v>1974</v>
      </c>
    </row>
    <row r="42" spans="3:3" ht="15" x14ac:dyDescent="0.2">
      <c r="C42" s="712" t="s">
        <v>1975</v>
      </c>
    </row>
    <row r="44" spans="3:3" ht="15" x14ac:dyDescent="0.2">
      <c r="C44" s="712" t="s">
        <v>1976</v>
      </c>
    </row>
    <row r="45" spans="3:3" ht="15" x14ac:dyDescent="0.2">
      <c r="C45" s="712" t="s">
        <v>1977</v>
      </c>
    </row>
    <row r="46" spans="3:3" ht="15" x14ac:dyDescent="0.2">
      <c r="C46" s="712" t="s">
        <v>1978</v>
      </c>
    </row>
    <row r="48" spans="3:3" ht="15" x14ac:dyDescent="0.2">
      <c r="C48" s="712" t="s">
        <v>1979</v>
      </c>
    </row>
    <row r="49" spans="3:3" ht="15" x14ac:dyDescent="0.2">
      <c r="C49" s="712" t="s">
        <v>1980</v>
      </c>
    </row>
    <row r="50" spans="3:3" ht="15" x14ac:dyDescent="0.2">
      <c r="C50" s="712" t="s">
        <v>1981</v>
      </c>
    </row>
    <row r="52" spans="3:3" ht="15" x14ac:dyDescent="0.2">
      <c r="C52" s="712" t="s">
        <v>1982</v>
      </c>
    </row>
    <row r="53" spans="3:3" ht="15" x14ac:dyDescent="0.2">
      <c r="C53" s="712" t="s">
        <v>1983</v>
      </c>
    </row>
    <row r="54" spans="3:3" ht="15" x14ac:dyDescent="0.2">
      <c r="C54" s="712" t="s">
        <v>1984</v>
      </c>
    </row>
    <row r="56" spans="3:3" ht="15" x14ac:dyDescent="0.2">
      <c r="C56" s="712" t="s">
        <v>1985</v>
      </c>
    </row>
    <row r="57" spans="3:3" ht="15" x14ac:dyDescent="0.2">
      <c r="C57" s="712" t="s">
        <v>1986</v>
      </c>
    </row>
    <row r="58" spans="3:3" ht="15" x14ac:dyDescent="0.2">
      <c r="C58" s="712" t="s">
        <v>1987</v>
      </c>
    </row>
    <row r="60" spans="3:3" ht="15" x14ac:dyDescent="0.2">
      <c r="C60" s="712" t="s">
        <v>1988</v>
      </c>
    </row>
    <row r="61" spans="3:3" ht="15" x14ac:dyDescent="0.2">
      <c r="C61" s="712" t="s">
        <v>1989</v>
      </c>
    </row>
    <row r="62" spans="3:3" ht="15" x14ac:dyDescent="0.2">
      <c r="C62" s="712" t="s">
        <v>1990</v>
      </c>
    </row>
    <row r="64" spans="3:3" ht="15" x14ac:dyDescent="0.2">
      <c r="C64" s="712" t="s">
        <v>1991</v>
      </c>
    </row>
    <row r="65" spans="3:3" ht="15" x14ac:dyDescent="0.2">
      <c r="C65" s="712" t="s">
        <v>1992</v>
      </c>
    </row>
    <row r="66" spans="3:3" ht="15" x14ac:dyDescent="0.2">
      <c r="C66" s="712" t="s">
        <v>1993</v>
      </c>
    </row>
    <row r="68" spans="3:3" ht="15" x14ac:dyDescent="0.2">
      <c r="C68" s="712" t="s">
        <v>1994</v>
      </c>
    </row>
    <row r="69" spans="3:3" ht="15" x14ac:dyDescent="0.2">
      <c r="C69" s="712" t="s">
        <v>1995</v>
      </c>
    </row>
    <row r="70" spans="3:3" ht="15" x14ac:dyDescent="0.2">
      <c r="C70" s="712" t="s">
        <v>1996</v>
      </c>
    </row>
    <row r="72" spans="3:3" ht="15" x14ac:dyDescent="0.2">
      <c r="C72" s="712" t="s">
        <v>1997</v>
      </c>
    </row>
    <row r="73" spans="3:3" ht="15" x14ac:dyDescent="0.2">
      <c r="C73" s="712" t="s">
        <v>1998</v>
      </c>
    </row>
    <row r="74" spans="3:3" ht="15" x14ac:dyDescent="0.2">
      <c r="C74" s="712" t="s">
        <v>1999</v>
      </c>
    </row>
    <row r="75" spans="3:3" ht="15" x14ac:dyDescent="0.2">
      <c r="C75" s="712"/>
    </row>
    <row r="76" spans="3:3" ht="15" x14ac:dyDescent="0.2">
      <c r="C76" s="712" t="s">
        <v>2000</v>
      </c>
    </row>
    <row r="77" spans="3:3" ht="15" x14ac:dyDescent="0.2">
      <c r="C77" s="712" t="s">
        <v>2001</v>
      </c>
    </row>
    <row r="78" spans="3:3" ht="15" x14ac:dyDescent="0.2">
      <c r="C78" s="712" t="s">
        <v>2002</v>
      </c>
    </row>
    <row r="80" spans="3:3" ht="15" x14ac:dyDescent="0.2">
      <c r="C80" s="712" t="s">
        <v>2003</v>
      </c>
    </row>
    <row r="81" spans="2:3" ht="15" x14ac:dyDescent="0.2">
      <c r="C81" s="712" t="s">
        <v>2004</v>
      </c>
    </row>
    <row r="82" spans="2:3" ht="15" x14ac:dyDescent="0.2">
      <c r="C82" s="712" t="s">
        <v>2005</v>
      </c>
    </row>
    <row r="83" spans="2:3" ht="15" x14ac:dyDescent="0.2">
      <c r="C83" s="712"/>
    </row>
    <row r="84" spans="2:3" ht="15" x14ac:dyDescent="0.2">
      <c r="C84" s="712" t="s">
        <v>572</v>
      </c>
    </row>
    <row r="85" spans="2:3" ht="15" x14ac:dyDescent="0.2">
      <c r="B85" s="715"/>
      <c r="C85" s="712" t="str">
        <f>_xlfn.CONCAT("font_size = ", $A$11)</f>
        <v>font_size = 24</v>
      </c>
    </row>
    <row r="87" spans="2:3" ht="15" x14ac:dyDescent="0.2">
      <c r="C87" s="712" t="s">
        <v>573</v>
      </c>
    </row>
    <row r="88" spans="2:3" ht="15" x14ac:dyDescent="0.2">
      <c r="B88" s="715"/>
      <c r="C88" s="712" t="str">
        <f>_xlfn.CONCAT("dred = ",$A$19)</f>
        <v>dred = False</v>
      </c>
    </row>
    <row r="90" spans="2:3" ht="15" x14ac:dyDescent="0.2">
      <c r="C90" s="712" t="s">
        <v>1010</v>
      </c>
    </row>
    <row r="91" spans="2:3" ht="15" x14ac:dyDescent="0.2">
      <c r="C91" s="712" t="s">
        <v>2006</v>
      </c>
    </row>
    <row r="92" spans="2:3" ht="15" x14ac:dyDescent="0.2">
      <c r="C92" s="712" t="s">
        <v>2007</v>
      </c>
    </row>
    <row r="93" spans="2:3" ht="15" x14ac:dyDescent="0.2">
      <c r="C93" s="712" t="s">
        <v>2008</v>
      </c>
    </row>
    <row r="94" spans="2:3" ht="15" x14ac:dyDescent="0.2">
      <c r="C94" s="712" t="s">
        <v>2009</v>
      </c>
    </row>
    <row r="96" spans="2:3" ht="15" x14ac:dyDescent="0.2">
      <c r="C96" s="712" t="s">
        <v>574</v>
      </c>
    </row>
    <row r="97" spans="2:3" ht="15" x14ac:dyDescent="0.2">
      <c r="C97" s="719" t="s">
        <v>575</v>
      </c>
    </row>
    <row r="98" spans="2:3" ht="15" x14ac:dyDescent="0.2">
      <c r="B98" s="715"/>
      <c r="C98" s="719" t="str">
        <f>_xlfn.CONCAT("profile_dist0 = float('",'MCV e Guindaste'!N21,"'.replace(',','.'))")</f>
        <v>profile_dist0 = float('0'.replace(',','.'))</v>
      </c>
    </row>
    <row r="99" spans="2:3" ht="15" x14ac:dyDescent="0.2">
      <c r="B99" s="715"/>
      <c r="C99" s="719" t="str">
        <f>_xlfn.CONCAT("profile_dist1 = float('",'MCV e Guindaste'!N22,"'.replace(',','.'))")</f>
        <v>profile_dist1 = float('5'.replace(',','.'))</v>
      </c>
    </row>
    <row r="100" spans="2:3" ht="15" x14ac:dyDescent="0.2">
      <c r="B100" s="715"/>
      <c r="C100" s="719" t="str">
        <f>_xlfn.CONCAT("profile_dist2 = float('",'MCV e Guindaste'!N23,"'.replace(',','.'))")</f>
        <v>profile_dist2 = float('10'.replace(',','.'))</v>
      </c>
    </row>
    <row r="101" spans="2:3" ht="15" x14ac:dyDescent="0.2">
      <c r="B101" s="715"/>
      <c r="C101" s="719" t="str">
        <f>_xlfn.CONCAT("profile_dist3 = float('",'MCV e Guindaste'!N24,"'.replace(',','.'))")</f>
        <v>profile_dist3 = float('15'.replace(',','.'))</v>
      </c>
    </row>
    <row r="102" spans="2:3" x14ac:dyDescent="0.2">
      <c r="C102" s="720"/>
    </row>
    <row r="103" spans="2:3" ht="15" x14ac:dyDescent="0.2">
      <c r="B103" s="715"/>
      <c r="C103" s="719" t="str">
        <f>_xlfn.CONCAT("profile_depth0 = float('",'MCV e Guindaste'!P21,"'.replace(',','.'))")</f>
        <v>profile_depth0 = float('2301'.replace(',','.'))</v>
      </c>
    </row>
    <row r="104" spans="2:3" ht="15" x14ac:dyDescent="0.2">
      <c r="B104" s="715"/>
      <c r="C104" s="719" t="str">
        <f>_xlfn.CONCAT("profile_depth1 = float('",'MCV e Guindaste'!P22,"'.replace(',','.'))")</f>
        <v>profile_depth1 = float('2301'.replace(',','.'))</v>
      </c>
    </row>
    <row r="105" spans="2:3" ht="15" x14ac:dyDescent="0.2">
      <c r="B105" s="715"/>
      <c r="C105" s="719" t="str">
        <f>_xlfn.CONCAT("profile_depth2 = float('",'MCV e Guindaste'!P23,"'.replace(',','.'))")</f>
        <v>profile_depth2 = float('2301'.replace(',','.'))</v>
      </c>
    </row>
    <row r="106" spans="2:3" ht="15" x14ac:dyDescent="0.2">
      <c r="B106" s="715"/>
      <c r="C106" s="719" t="str">
        <f>_xlfn.CONCAT("profile_depth3 = float('",'MCV e Guindaste'!P24,"'.replace(',','.'))")</f>
        <v>profile_depth3 = float('2301'.replace(',','.'))</v>
      </c>
    </row>
    <row r="108" spans="2:3" ht="15" x14ac:dyDescent="0.2">
      <c r="C108" s="712" t="s">
        <v>576</v>
      </c>
    </row>
    <row r="109" spans="2:3" ht="15" x14ac:dyDescent="0.2">
      <c r="C109" s="712" t="s">
        <v>577</v>
      </c>
    </row>
    <row r="111" spans="2:3" ht="15" x14ac:dyDescent="0.2">
      <c r="C111" s="712" t="s">
        <v>578</v>
      </c>
    </row>
    <row r="112" spans="2:3" ht="15" x14ac:dyDescent="0.2">
      <c r="C112" s="712" t="s">
        <v>579</v>
      </c>
    </row>
    <row r="113" spans="3:3" ht="15" x14ac:dyDescent="0.2">
      <c r="C113" s="712" t="s">
        <v>580</v>
      </c>
    </row>
    <row r="114" spans="3:3" ht="15" x14ac:dyDescent="0.2">
      <c r="C114" s="712" t="s">
        <v>579</v>
      </c>
    </row>
    <row r="115" spans="3:3" ht="15" x14ac:dyDescent="0.2">
      <c r="C115" s="712" t="s">
        <v>581</v>
      </c>
    </row>
    <row r="116" spans="3:3" ht="15" x14ac:dyDescent="0.2">
      <c r="C116" s="712" t="s">
        <v>582</v>
      </c>
    </row>
    <row r="117" spans="3:3" ht="15" x14ac:dyDescent="0.2">
      <c r="C117" s="712" t="s">
        <v>583</v>
      </c>
    </row>
    <row r="118" spans="3:3" ht="15" x14ac:dyDescent="0.2">
      <c r="C118" s="712" t="s">
        <v>584</v>
      </c>
    </row>
    <row r="119" spans="3:3" ht="15" x14ac:dyDescent="0.2">
      <c r="C119" s="712" t="s">
        <v>585</v>
      </c>
    </row>
    <row r="120" spans="3:3" ht="15" x14ac:dyDescent="0.2">
      <c r="C120" s="712" t="s">
        <v>586</v>
      </c>
    </row>
    <row r="121" spans="3:3" ht="15" x14ac:dyDescent="0.2">
      <c r="C121" s="712" t="s">
        <v>587</v>
      </c>
    </row>
    <row r="122" spans="3:3" ht="15" x14ac:dyDescent="0.2">
      <c r="C122" s="712" t="s">
        <v>588</v>
      </c>
    </row>
    <row r="123" spans="3:3" ht="15" x14ac:dyDescent="0.2">
      <c r="C123" s="712" t="s">
        <v>586</v>
      </c>
    </row>
    <row r="124" spans="3:3" ht="15" x14ac:dyDescent="0.2">
      <c r="C124" s="712" t="s">
        <v>589</v>
      </c>
    </row>
    <row r="125" spans="3:3" ht="15" x14ac:dyDescent="0.2">
      <c r="C125" s="712" t="s">
        <v>590</v>
      </c>
    </row>
    <row r="126" spans="3:3" ht="15" x14ac:dyDescent="0.2">
      <c r="C126" s="712" t="s">
        <v>591</v>
      </c>
    </row>
    <row r="127" spans="3:3" ht="15" x14ac:dyDescent="0.2">
      <c r="C127" s="712" t="s">
        <v>592</v>
      </c>
    </row>
    <row r="128" spans="3:3" ht="15" x14ac:dyDescent="0.2">
      <c r="C128" s="712" t="s">
        <v>593</v>
      </c>
    </row>
    <row r="129" spans="2:3" ht="15" x14ac:dyDescent="0.2">
      <c r="C129" s="712" t="s">
        <v>594</v>
      </c>
    </row>
    <row r="130" spans="2:3" ht="15" x14ac:dyDescent="0.2">
      <c r="C130" s="712" t="s">
        <v>595</v>
      </c>
    </row>
    <row r="131" spans="2:3" ht="15" x14ac:dyDescent="0.2">
      <c r="C131" s="712" t="s">
        <v>596</v>
      </c>
    </row>
    <row r="132" spans="2:3" ht="15" x14ac:dyDescent="0.2">
      <c r="C132" s="712" t="s">
        <v>597</v>
      </c>
    </row>
    <row r="133" spans="2:3" ht="15" x14ac:dyDescent="0.2">
      <c r="C133" s="712" t="s">
        <v>2010</v>
      </c>
    </row>
    <row r="135" spans="2:3" ht="15" x14ac:dyDescent="0.2">
      <c r="C135" s="712" t="s">
        <v>599</v>
      </c>
    </row>
    <row r="136" spans="2:3" ht="15" x14ac:dyDescent="0.2">
      <c r="C136" s="712" t="s">
        <v>600</v>
      </c>
    </row>
    <row r="138" spans="2:3" ht="15" x14ac:dyDescent="0.2">
      <c r="C138" s="712" t="s">
        <v>601</v>
      </c>
    </row>
    <row r="139" spans="2:3" ht="15" x14ac:dyDescent="0.2">
      <c r="B139" s="715"/>
      <c r="C139" s="712" t="str">
        <f>_xlfn.CONCAT("vcm1=model['",$A$16,"']")</f>
        <v>vcm1=model['P7000048060_/_'DU700154300_Rev._C']</v>
      </c>
    </row>
    <row r="141" spans="2:3" ht="15" x14ac:dyDescent="0.2">
      <c r="C141" s="712" t="s">
        <v>602</v>
      </c>
    </row>
    <row r="142" spans="2:3" ht="15" x14ac:dyDescent="0.2">
      <c r="B142" s="715"/>
      <c r="C142" s="712" t="str">
        <f>_xlfn.CONCAT("line1=model['",$A$14,"']")</f>
        <v>line1=model['Line']</v>
      </c>
    </row>
    <row r="143" spans="2:3" ht="15" x14ac:dyDescent="0.2">
      <c r="B143" s="715"/>
      <c r="C143" s="712" t="str">
        <f>_xlfn.CONCAT("att_lines=list(['",$A$15,"'])")</f>
        <v>att_lines=list(['Stiffener1'])</v>
      </c>
    </row>
    <row r="145" spans="3:3" ht="15" x14ac:dyDescent="0.2">
      <c r="C145" s="712" t="s">
        <v>2011</v>
      </c>
    </row>
    <row r="146" spans="3:3" ht="15" x14ac:dyDescent="0.2">
      <c r="C146" s="712" t="s">
        <v>2012</v>
      </c>
    </row>
    <row r="148" spans="3:3" ht="15" x14ac:dyDescent="0.2">
      <c r="C148" s="712" t="s">
        <v>634</v>
      </c>
    </row>
    <row r="149" spans="3:3" ht="15" x14ac:dyDescent="0.2">
      <c r="C149" s="712" t="s">
        <v>635</v>
      </c>
    </row>
    <row r="151" spans="3:3" ht="15" x14ac:dyDescent="0.2">
      <c r="C151" s="712" t="s">
        <v>636</v>
      </c>
    </row>
    <row r="152" spans="3:3" ht="15" x14ac:dyDescent="0.2">
      <c r="C152" s="712" t="s">
        <v>637</v>
      </c>
    </row>
    <row r="153" spans="3:3" ht="15" x14ac:dyDescent="0.2">
      <c r="C153" s="712" t="s">
        <v>638</v>
      </c>
    </row>
    <row r="154" spans="3:3" ht="15" x14ac:dyDescent="0.2">
      <c r="C154" s="712" t="s">
        <v>639</v>
      </c>
    </row>
    <row r="155" spans="3:3" ht="15" x14ac:dyDescent="0.2">
      <c r="C155" s="712" t="s">
        <v>640</v>
      </c>
    </row>
    <row r="156" spans="3:3" ht="15" x14ac:dyDescent="0.2">
      <c r="C156" s="712" t="s">
        <v>641</v>
      </c>
    </row>
    <row r="157" spans="3:3" ht="15" x14ac:dyDescent="0.2">
      <c r="C157" s="712" t="s">
        <v>642</v>
      </c>
    </row>
    <row r="158" spans="3:3" ht="15" x14ac:dyDescent="0.2">
      <c r="C158" s="712" t="s">
        <v>643</v>
      </c>
    </row>
    <row r="159" spans="3:3" ht="15" x14ac:dyDescent="0.2">
      <c r="C159" s="712" t="s">
        <v>644</v>
      </c>
    </row>
    <row r="160" spans="3:3" ht="15" x14ac:dyDescent="0.2">
      <c r="C160" s="712" t="s">
        <v>645</v>
      </c>
    </row>
    <row r="161" spans="3:3" ht="15" x14ac:dyDescent="0.2">
      <c r="C161" s="712" t="s">
        <v>646</v>
      </c>
    </row>
    <row r="162" spans="3:3" ht="15" x14ac:dyDescent="0.2">
      <c r="C162" s="712" t="s">
        <v>647</v>
      </c>
    </row>
    <row r="164" spans="3:3" ht="15" x14ac:dyDescent="0.2">
      <c r="C164" s="712" t="s">
        <v>648</v>
      </c>
    </row>
    <row r="165" spans="3:3" ht="15" x14ac:dyDescent="0.2">
      <c r="C165" s="712" t="s">
        <v>649</v>
      </c>
    </row>
    <row r="166" spans="3:3" ht="15" x14ac:dyDescent="0.2">
      <c r="C166" s="712" t="s">
        <v>650</v>
      </c>
    </row>
    <row r="167" spans="3:3" ht="15" x14ac:dyDescent="0.2">
      <c r="C167" s="712" t="s">
        <v>651</v>
      </c>
    </row>
    <row r="168" spans="3:3" ht="15" x14ac:dyDescent="0.2">
      <c r="C168" s="712" t="s">
        <v>652</v>
      </c>
    </row>
    <row r="169" spans="3:3" ht="15" x14ac:dyDescent="0.2">
      <c r="C169" s="712" t="s">
        <v>653</v>
      </c>
    </row>
    <row r="170" spans="3:3" ht="15" x14ac:dyDescent="0.2">
      <c r="C170" s="712" t="s">
        <v>654</v>
      </c>
    </row>
    <row r="171" spans="3:3" ht="15" x14ac:dyDescent="0.2">
      <c r="C171" s="712" t="s">
        <v>646</v>
      </c>
    </row>
    <row r="172" spans="3:3" ht="15" x14ac:dyDescent="0.2">
      <c r="C172" s="712" t="s">
        <v>655</v>
      </c>
    </row>
    <row r="174" spans="3:3" ht="15" x14ac:dyDescent="0.2">
      <c r="C174" s="712" t="s">
        <v>656</v>
      </c>
    </row>
    <row r="175" spans="3:3" ht="15" x14ac:dyDescent="0.2">
      <c r="C175" s="712" t="s">
        <v>657</v>
      </c>
    </row>
    <row r="176" spans="3:3" ht="15" x14ac:dyDescent="0.2">
      <c r="C176" s="712" t="s">
        <v>658</v>
      </c>
    </row>
    <row r="178" spans="3:3" ht="15" x14ac:dyDescent="0.2">
      <c r="C178" s="712" t="s">
        <v>659</v>
      </c>
    </row>
    <row r="179" spans="3:3" ht="15" x14ac:dyDescent="0.2">
      <c r="C179" s="712" t="s">
        <v>660</v>
      </c>
    </row>
    <row r="180" spans="3:3" ht="15" x14ac:dyDescent="0.2">
      <c r="C180" s="712" t="s">
        <v>661</v>
      </c>
    </row>
    <row r="181" spans="3:3" ht="15" x14ac:dyDescent="0.2">
      <c r="C181" s="712" t="s">
        <v>662</v>
      </c>
    </row>
    <row r="182" spans="3:3" ht="15" x14ac:dyDescent="0.2">
      <c r="C182" s="712" t="s">
        <v>663</v>
      </c>
    </row>
    <row r="183" spans="3:3" ht="15" x14ac:dyDescent="0.2">
      <c r="C183" s="712" t="s">
        <v>664</v>
      </c>
    </row>
    <row r="184" spans="3:3" ht="15" x14ac:dyDescent="0.2">
      <c r="C184" s="712" t="s">
        <v>665</v>
      </c>
    </row>
    <row r="186" spans="3:3" ht="15" x14ac:dyDescent="0.2">
      <c r="C186" s="712" t="s">
        <v>666</v>
      </c>
    </row>
    <row r="187" spans="3:3" ht="15" x14ac:dyDescent="0.2">
      <c r="C187" s="712" t="s">
        <v>667</v>
      </c>
    </row>
    <row r="188" spans="3:3" ht="15" x14ac:dyDescent="0.2">
      <c r="C188" s="712" t="s">
        <v>668</v>
      </c>
    </row>
    <row r="190" spans="3:3" ht="15" x14ac:dyDescent="0.2">
      <c r="C190" s="712" t="s">
        <v>669</v>
      </c>
    </row>
    <row r="191" spans="3:3" ht="15" x14ac:dyDescent="0.2">
      <c r="C191" s="712" t="s">
        <v>670</v>
      </c>
    </row>
    <row r="192" spans="3:3" ht="15" x14ac:dyDescent="0.2">
      <c r="C192" s="712" t="s">
        <v>671</v>
      </c>
    </row>
    <row r="193" spans="3:3" ht="15" x14ac:dyDescent="0.2">
      <c r="C193" s="712" t="s">
        <v>672</v>
      </c>
    </row>
    <row r="194" spans="3:3" ht="15" x14ac:dyDescent="0.2">
      <c r="C194" s="712" t="s">
        <v>673</v>
      </c>
    </row>
    <row r="195" spans="3:3" ht="15" x14ac:dyDescent="0.2">
      <c r="C195" s="712" t="s">
        <v>674</v>
      </c>
    </row>
    <row r="196" spans="3:3" ht="15" x14ac:dyDescent="0.2">
      <c r="C196" s="712" t="s">
        <v>675</v>
      </c>
    </row>
    <row r="197" spans="3:3" ht="15" x14ac:dyDescent="0.2">
      <c r="C197" s="712" t="s">
        <v>676</v>
      </c>
    </row>
    <row r="198" spans="3:3" ht="15" x14ac:dyDescent="0.2">
      <c r="C198" s="712" t="s">
        <v>677</v>
      </c>
    </row>
    <row r="199" spans="3:3" ht="15" x14ac:dyDescent="0.2">
      <c r="C199" s="712" t="s">
        <v>678</v>
      </c>
    </row>
    <row r="201" spans="3:3" ht="15" x14ac:dyDescent="0.2">
      <c r="C201" s="712" t="s">
        <v>679</v>
      </c>
    </row>
    <row r="202" spans="3:3" ht="15" x14ac:dyDescent="0.2">
      <c r="C202" s="712" t="s">
        <v>680</v>
      </c>
    </row>
    <row r="204" spans="3:3" ht="15" x14ac:dyDescent="0.2">
      <c r="C204" s="712" t="s">
        <v>681</v>
      </c>
    </row>
    <row r="205" spans="3:3" ht="15" x14ac:dyDescent="0.2">
      <c r="C205" s="712" t="s">
        <v>682</v>
      </c>
    </row>
    <row r="206" spans="3:3" ht="15" x14ac:dyDescent="0.2">
      <c r="C206" s="712" t="s">
        <v>683</v>
      </c>
    </row>
    <row r="208" spans="3:3" ht="15" x14ac:dyDescent="0.2">
      <c r="C208" s="712" t="s">
        <v>684</v>
      </c>
    </row>
    <row r="209" spans="3:3" ht="15" x14ac:dyDescent="0.2">
      <c r="C209" s="712" t="s">
        <v>685</v>
      </c>
    </row>
    <row r="210" spans="3:3" ht="15" x14ac:dyDescent="0.2">
      <c r="C210" s="712" t="s">
        <v>686</v>
      </c>
    </row>
    <row r="211" spans="3:3" ht="15" x14ac:dyDescent="0.2">
      <c r="C211" s="712" t="s">
        <v>687</v>
      </c>
    </row>
    <row r="213" spans="3:3" ht="15" x14ac:dyDescent="0.2">
      <c r="C213" s="712" t="s">
        <v>688</v>
      </c>
    </row>
    <row r="214" spans="3:3" ht="15" x14ac:dyDescent="0.2">
      <c r="C214" s="712" t="s">
        <v>689</v>
      </c>
    </row>
    <row r="215" spans="3:3" ht="15" x14ac:dyDescent="0.2">
      <c r="C215" s="712" t="s">
        <v>690</v>
      </c>
    </row>
    <row r="216" spans="3:3" ht="15" x14ac:dyDescent="0.2">
      <c r="C216" s="712" t="s">
        <v>691</v>
      </c>
    </row>
    <row r="217" spans="3:3" ht="15" x14ac:dyDescent="0.2">
      <c r="C217" s="712" t="s">
        <v>650</v>
      </c>
    </row>
    <row r="218" spans="3:3" ht="15" x14ac:dyDescent="0.2">
      <c r="C218" s="712" t="s">
        <v>651</v>
      </c>
    </row>
    <row r="219" spans="3:3" ht="15" x14ac:dyDescent="0.2">
      <c r="C219" s="712" t="s">
        <v>692</v>
      </c>
    </row>
    <row r="220" spans="3:3" ht="15" x14ac:dyDescent="0.2">
      <c r="C220" s="712" t="s">
        <v>693</v>
      </c>
    </row>
    <row r="221" spans="3:3" ht="15" x14ac:dyDescent="0.2">
      <c r="C221" s="712" t="s">
        <v>694</v>
      </c>
    </row>
    <row r="223" spans="3:3" ht="15" x14ac:dyDescent="0.2">
      <c r="C223" s="712" t="s">
        <v>695</v>
      </c>
    </row>
    <row r="224" spans="3:3" ht="15" x14ac:dyDescent="0.2">
      <c r="C224" s="712" t="s">
        <v>696</v>
      </c>
    </row>
    <row r="225" spans="3:3" ht="15" x14ac:dyDescent="0.2">
      <c r="C225" s="712" t="s">
        <v>697</v>
      </c>
    </row>
    <row r="226" spans="3:3" ht="15" x14ac:dyDescent="0.2">
      <c r="C226" s="712" t="s">
        <v>698</v>
      </c>
    </row>
    <row r="227" spans="3:3" ht="15" x14ac:dyDescent="0.2">
      <c r="C227" s="712" t="s">
        <v>699</v>
      </c>
    </row>
    <row r="228" spans="3:3" ht="15" x14ac:dyDescent="0.2">
      <c r="C228" s="712" t="s">
        <v>2013</v>
      </c>
    </row>
    <row r="229" spans="3:3" ht="15" x14ac:dyDescent="0.2">
      <c r="C229" s="712" t="s">
        <v>2014</v>
      </c>
    </row>
    <row r="230" spans="3:3" ht="15" x14ac:dyDescent="0.2">
      <c r="C230" s="712" t="s">
        <v>2015</v>
      </c>
    </row>
    <row r="231" spans="3:3" ht="15" x14ac:dyDescent="0.2">
      <c r="C231" s="712" t="s">
        <v>2016</v>
      </c>
    </row>
    <row r="232" spans="3:3" ht="15" x14ac:dyDescent="0.2">
      <c r="C232" s="712" t="s">
        <v>2017</v>
      </c>
    </row>
    <row r="233" spans="3:3" ht="15" x14ac:dyDescent="0.2">
      <c r="C233" s="712" t="s">
        <v>2018</v>
      </c>
    </row>
    <row r="234" spans="3:3" ht="15" x14ac:dyDescent="0.2">
      <c r="C234" s="712" t="s">
        <v>2019</v>
      </c>
    </row>
    <row r="235" spans="3:3" ht="15" x14ac:dyDescent="0.2">
      <c r="C235" s="712" t="s">
        <v>700</v>
      </c>
    </row>
    <row r="236" spans="3:3" ht="15" x14ac:dyDescent="0.2">
      <c r="C236" s="712" t="s">
        <v>701</v>
      </c>
    </row>
    <row r="237" spans="3:3" ht="15" x14ac:dyDescent="0.2">
      <c r="C237" s="712" t="s">
        <v>702</v>
      </c>
    </row>
    <row r="238" spans="3:3" ht="15" x14ac:dyDescent="0.2">
      <c r="C238" s="712" t="s">
        <v>703</v>
      </c>
    </row>
    <row r="239" spans="3:3" ht="15" x14ac:dyDescent="0.2">
      <c r="C239" s="712" t="s">
        <v>704</v>
      </c>
    </row>
    <row r="240" spans="3:3" ht="15" x14ac:dyDescent="0.2">
      <c r="C240" s="712" t="s">
        <v>705</v>
      </c>
    </row>
    <row r="241" spans="3:3" ht="15" x14ac:dyDescent="0.2">
      <c r="C241" s="712" t="s">
        <v>706</v>
      </c>
    </row>
    <row r="242" spans="3:3" ht="15" x14ac:dyDescent="0.2">
      <c r="C242" s="712" t="s">
        <v>707</v>
      </c>
    </row>
    <row r="243" spans="3:3" ht="15" x14ac:dyDescent="0.2">
      <c r="C243" s="712" t="s">
        <v>708</v>
      </c>
    </row>
    <row r="244" spans="3:3" ht="15" x14ac:dyDescent="0.2">
      <c r="C244" s="712" t="s">
        <v>709</v>
      </c>
    </row>
    <row r="245" spans="3:3" ht="15" x14ac:dyDescent="0.2">
      <c r="C245" s="712" t="s">
        <v>710</v>
      </c>
    </row>
    <row r="246" spans="3:3" ht="15" x14ac:dyDescent="0.2">
      <c r="C246" s="712" t="s">
        <v>711</v>
      </c>
    </row>
    <row r="247" spans="3:3" ht="15" x14ac:dyDescent="0.2">
      <c r="C247" s="712" t="s">
        <v>712</v>
      </c>
    </row>
    <row r="248" spans="3:3" ht="15" x14ac:dyDescent="0.2">
      <c r="C248" s="712" t="s">
        <v>713</v>
      </c>
    </row>
    <row r="249" spans="3:3" ht="15" x14ac:dyDescent="0.2">
      <c r="C249" s="712" t="s">
        <v>714</v>
      </c>
    </row>
    <row r="250" spans="3:3" ht="15" x14ac:dyDescent="0.2">
      <c r="C250" s="712" t="s">
        <v>715</v>
      </c>
    </row>
    <row r="251" spans="3:3" ht="15" x14ac:dyDescent="0.2">
      <c r="C251" s="712" t="s">
        <v>716</v>
      </c>
    </row>
    <row r="252" spans="3:3" ht="15" x14ac:dyDescent="0.2">
      <c r="C252" s="712" t="s">
        <v>717</v>
      </c>
    </row>
    <row r="253" spans="3:3" ht="15" x14ac:dyDescent="0.2">
      <c r="C253" s="712" t="s">
        <v>718</v>
      </c>
    </row>
    <row r="254" spans="3:3" ht="15" x14ac:dyDescent="0.2">
      <c r="C254" s="712" t="s">
        <v>719</v>
      </c>
    </row>
    <row r="255" spans="3:3" ht="15" x14ac:dyDescent="0.2">
      <c r="C255" s="712" t="s">
        <v>720</v>
      </c>
    </row>
    <row r="256" spans="3:3" ht="15" x14ac:dyDescent="0.2">
      <c r="C256" s="712" t="s">
        <v>721</v>
      </c>
    </row>
    <row r="257" spans="3:3" ht="15" x14ac:dyDescent="0.2">
      <c r="C257" s="712" t="s">
        <v>722</v>
      </c>
    </row>
    <row r="258" spans="3:3" ht="15" x14ac:dyDescent="0.2">
      <c r="C258" s="712" t="s">
        <v>595</v>
      </c>
    </row>
    <row r="259" spans="3:3" ht="15" x14ac:dyDescent="0.2">
      <c r="C259" s="712" t="s">
        <v>723</v>
      </c>
    </row>
    <row r="260" spans="3:3" ht="15" x14ac:dyDescent="0.2">
      <c r="C260" s="712" t="s">
        <v>724</v>
      </c>
    </row>
    <row r="261" spans="3:3" ht="15" x14ac:dyDescent="0.2">
      <c r="C261" s="712" t="s">
        <v>725</v>
      </c>
    </row>
    <row r="262" spans="3:3" ht="15" x14ac:dyDescent="0.2">
      <c r="C262" s="712" t="s">
        <v>726</v>
      </c>
    </row>
    <row r="263" spans="3:3" ht="15" x14ac:dyDescent="0.2">
      <c r="C263" s="712" t="s">
        <v>712</v>
      </c>
    </row>
    <row r="264" spans="3:3" ht="15" x14ac:dyDescent="0.2">
      <c r="C264" s="712" t="s">
        <v>713</v>
      </c>
    </row>
    <row r="265" spans="3:3" ht="15" x14ac:dyDescent="0.2">
      <c r="C265" s="712" t="s">
        <v>714</v>
      </c>
    </row>
    <row r="266" spans="3:3" ht="15" x14ac:dyDescent="0.2">
      <c r="C266" s="712" t="s">
        <v>727</v>
      </c>
    </row>
    <row r="267" spans="3:3" ht="15" x14ac:dyDescent="0.2">
      <c r="C267" s="712" t="s">
        <v>728</v>
      </c>
    </row>
    <row r="268" spans="3:3" ht="15" x14ac:dyDescent="0.2">
      <c r="C268" s="712" t="s">
        <v>729</v>
      </c>
    </row>
    <row r="269" spans="3:3" ht="15" x14ac:dyDescent="0.2">
      <c r="C269" s="712" t="s">
        <v>730</v>
      </c>
    </row>
    <row r="270" spans="3:3" ht="15" x14ac:dyDescent="0.2">
      <c r="C270" s="712" t="s">
        <v>731</v>
      </c>
    </row>
    <row r="271" spans="3:3" ht="15" x14ac:dyDescent="0.2">
      <c r="C271" s="712" t="s">
        <v>732</v>
      </c>
    </row>
    <row r="272" spans="3:3" ht="15" x14ac:dyDescent="0.2">
      <c r="C272" s="712" t="s">
        <v>733</v>
      </c>
    </row>
    <row r="273" spans="3:3" ht="15" x14ac:dyDescent="0.2">
      <c r="C273" s="712" t="s">
        <v>595</v>
      </c>
    </row>
    <row r="274" spans="3:3" ht="15" x14ac:dyDescent="0.2">
      <c r="C274" s="712" t="s">
        <v>734</v>
      </c>
    </row>
    <row r="275" spans="3:3" ht="15" x14ac:dyDescent="0.2">
      <c r="C275" s="712" t="s">
        <v>735</v>
      </c>
    </row>
    <row r="276" spans="3:3" ht="15" x14ac:dyDescent="0.2">
      <c r="C276" s="712" t="s">
        <v>736</v>
      </c>
    </row>
    <row r="277" spans="3:3" ht="15" x14ac:dyDescent="0.2">
      <c r="C277" s="712" t="s">
        <v>712</v>
      </c>
    </row>
    <row r="278" spans="3:3" ht="15" x14ac:dyDescent="0.2">
      <c r="C278" s="712" t="s">
        <v>713</v>
      </c>
    </row>
    <row r="279" spans="3:3" ht="15" x14ac:dyDescent="0.2">
      <c r="C279" s="712" t="s">
        <v>714</v>
      </c>
    </row>
    <row r="280" spans="3:3" ht="15" x14ac:dyDescent="0.2">
      <c r="C280" s="712" t="s">
        <v>737</v>
      </c>
    </row>
    <row r="281" spans="3:3" ht="15" x14ac:dyDescent="0.2">
      <c r="C281" s="712" t="s">
        <v>738</v>
      </c>
    </row>
    <row r="282" spans="3:3" ht="15" x14ac:dyDescent="0.2">
      <c r="C282" s="712" t="s">
        <v>595</v>
      </c>
    </row>
    <row r="283" spans="3:3" ht="15" x14ac:dyDescent="0.2">
      <c r="C283" s="712" t="s">
        <v>739</v>
      </c>
    </row>
    <row r="284" spans="3:3" ht="15" x14ac:dyDescent="0.2">
      <c r="C284" s="712" t="s">
        <v>740</v>
      </c>
    </row>
    <row r="285" spans="3:3" ht="15" x14ac:dyDescent="0.2">
      <c r="C285" s="712" t="s">
        <v>712</v>
      </c>
    </row>
    <row r="286" spans="3:3" ht="15" x14ac:dyDescent="0.2">
      <c r="C286" s="712" t="s">
        <v>713</v>
      </c>
    </row>
    <row r="287" spans="3:3" ht="15" x14ac:dyDescent="0.2">
      <c r="C287" s="712" t="s">
        <v>714</v>
      </c>
    </row>
    <row r="288" spans="3:3" ht="15" x14ac:dyDescent="0.2">
      <c r="C288" s="712" t="s">
        <v>728</v>
      </c>
    </row>
    <row r="289" spans="3:3" ht="15" x14ac:dyDescent="0.2">
      <c r="C289" s="712" t="s">
        <v>729</v>
      </c>
    </row>
    <row r="290" spans="3:3" ht="15" x14ac:dyDescent="0.2">
      <c r="C290" s="712" t="s">
        <v>730</v>
      </c>
    </row>
    <row r="291" spans="3:3" ht="15" x14ac:dyDescent="0.2">
      <c r="C291" s="712" t="s">
        <v>731</v>
      </c>
    </row>
    <row r="292" spans="3:3" ht="15" x14ac:dyDescent="0.2">
      <c r="C292" s="712" t="s">
        <v>732</v>
      </c>
    </row>
    <row r="293" spans="3:3" ht="15" x14ac:dyDescent="0.2">
      <c r="C293" s="712" t="s">
        <v>741</v>
      </c>
    </row>
    <row r="294" spans="3:3" ht="15" x14ac:dyDescent="0.2">
      <c r="C294" s="712" t="s">
        <v>742</v>
      </c>
    </row>
    <row r="295" spans="3:3" ht="15" x14ac:dyDescent="0.2">
      <c r="C295" s="712" t="s">
        <v>743</v>
      </c>
    </row>
    <row r="296" spans="3:3" ht="15" x14ac:dyDescent="0.2">
      <c r="C296" s="712" t="s">
        <v>744</v>
      </c>
    </row>
    <row r="297" spans="3:3" ht="15" x14ac:dyDescent="0.2">
      <c r="C297" s="712" t="s">
        <v>1063</v>
      </c>
    </row>
    <row r="298" spans="3:3" ht="15" x14ac:dyDescent="0.2">
      <c r="C298" s="712" t="s">
        <v>746</v>
      </c>
    </row>
    <row r="299" spans="3:3" ht="15" x14ac:dyDescent="0.2">
      <c r="C299" s="712" t="s">
        <v>747</v>
      </c>
    </row>
    <row r="300" spans="3:3" ht="15" x14ac:dyDescent="0.2">
      <c r="C300" s="712" t="s">
        <v>748</v>
      </c>
    </row>
    <row r="301" spans="3:3" ht="15" x14ac:dyDescent="0.2">
      <c r="C301" s="712" t="s">
        <v>749</v>
      </c>
    </row>
    <row r="302" spans="3:3" ht="15" x14ac:dyDescent="0.2">
      <c r="C302" s="712" t="s">
        <v>750</v>
      </c>
    </row>
    <row r="303" spans="3:3" ht="15" x14ac:dyDescent="0.2">
      <c r="C303" s="712" t="s">
        <v>751</v>
      </c>
    </row>
    <row r="304" spans="3:3" ht="15" x14ac:dyDescent="0.2">
      <c r="C304" s="712" t="s">
        <v>752</v>
      </c>
    </row>
    <row r="305" spans="3:3" ht="15" x14ac:dyDescent="0.2">
      <c r="C305" s="712" t="s">
        <v>753</v>
      </c>
    </row>
    <row r="306" spans="3:3" ht="15" x14ac:dyDescent="0.2">
      <c r="C306" s="712" t="s">
        <v>754</v>
      </c>
    </row>
    <row r="307" spans="3:3" ht="15" x14ac:dyDescent="0.2">
      <c r="C307" s="712" t="s">
        <v>755</v>
      </c>
    </row>
    <row r="308" spans="3:3" ht="15" x14ac:dyDescent="0.2">
      <c r="C308" s="712" t="s">
        <v>756</v>
      </c>
    </row>
    <row r="309" spans="3:3" ht="15" x14ac:dyDescent="0.2">
      <c r="C309" s="712" t="s">
        <v>757</v>
      </c>
    </row>
    <row r="310" spans="3:3" ht="15" x14ac:dyDescent="0.2">
      <c r="C310" s="712" t="s">
        <v>758</v>
      </c>
    </row>
    <row r="311" spans="3:3" ht="15" x14ac:dyDescent="0.2">
      <c r="C311" s="712" t="s">
        <v>750</v>
      </c>
    </row>
    <row r="312" spans="3:3" ht="15" x14ac:dyDescent="0.2">
      <c r="C312" s="712" t="s">
        <v>759</v>
      </c>
    </row>
    <row r="313" spans="3:3" ht="15" x14ac:dyDescent="0.2">
      <c r="C313" s="712" t="s">
        <v>760</v>
      </c>
    </row>
    <row r="314" spans="3:3" ht="15" x14ac:dyDescent="0.2">
      <c r="C314" s="712" t="s">
        <v>761</v>
      </c>
    </row>
    <row r="315" spans="3:3" ht="15" x14ac:dyDescent="0.2">
      <c r="C315" s="712" t="s">
        <v>762</v>
      </c>
    </row>
    <row r="316" spans="3:3" ht="15" x14ac:dyDescent="0.2">
      <c r="C316" s="712" t="s">
        <v>595</v>
      </c>
    </row>
    <row r="317" spans="3:3" ht="15" x14ac:dyDescent="0.2">
      <c r="C317" s="712" t="s">
        <v>763</v>
      </c>
    </row>
    <row r="318" spans="3:3" ht="15" x14ac:dyDescent="0.2">
      <c r="C318" s="712" t="s">
        <v>764</v>
      </c>
    </row>
    <row r="319" spans="3:3" ht="15" x14ac:dyDescent="0.2">
      <c r="C319" s="712" t="s">
        <v>765</v>
      </c>
    </row>
    <row r="320" spans="3:3" ht="15" x14ac:dyDescent="0.2">
      <c r="C320" s="712" t="s">
        <v>750</v>
      </c>
    </row>
    <row r="321" spans="3:3" ht="15" x14ac:dyDescent="0.2">
      <c r="C321" s="712" t="s">
        <v>766</v>
      </c>
    </row>
    <row r="322" spans="3:3" ht="15" x14ac:dyDescent="0.2">
      <c r="C322" s="712" t="s">
        <v>767</v>
      </c>
    </row>
    <row r="323" spans="3:3" ht="15" x14ac:dyDescent="0.2">
      <c r="C323" s="712" t="s">
        <v>768</v>
      </c>
    </row>
    <row r="324" spans="3:3" ht="15" x14ac:dyDescent="0.2">
      <c r="C324" s="712" t="s">
        <v>769</v>
      </c>
    </row>
    <row r="325" spans="3:3" ht="15" x14ac:dyDescent="0.2">
      <c r="C325" s="712" t="s">
        <v>770</v>
      </c>
    </row>
    <row r="326" spans="3:3" ht="15" x14ac:dyDescent="0.2">
      <c r="C326" s="712" t="s">
        <v>771</v>
      </c>
    </row>
    <row r="327" spans="3:3" ht="15" x14ac:dyDescent="0.2">
      <c r="C327" s="712" t="s">
        <v>772</v>
      </c>
    </row>
    <row r="328" spans="3:3" ht="15" x14ac:dyDescent="0.2">
      <c r="C328" s="712" t="s">
        <v>2020</v>
      </c>
    </row>
    <row r="329" spans="3:3" ht="15" x14ac:dyDescent="0.2">
      <c r="C329" s="712" t="s">
        <v>2021</v>
      </c>
    </row>
    <row r="331" spans="3:3" ht="15" x14ac:dyDescent="0.2">
      <c r="C331" s="712" t="s">
        <v>2022</v>
      </c>
    </row>
    <row r="332" spans="3:3" ht="15" x14ac:dyDescent="0.2">
      <c r="C332" s="712" t="s">
        <v>2023</v>
      </c>
    </row>
    <row r="333" spans="3:3" ht="15" x14ac:dyDescent="0.2">
      <c r="C333" s="712" t="s">
        <v>2024</v>
      </c>
    </row>
    <row r="335" spans="3:3" ht="15" x14ac:dyDescent="0.2">
      <c r="C335" s="712" t="s">
        <v>650</v>
      </c>
    </row>
    <row r="336" spans="3:3" ht="15" x14ac:dyDescent="0.2">
      <c r="C336" s="712" t="s">
        <v>2025</v>
      </c>
    </row>
    <row r="337" spans="3:3" ht="15" x14ac:dyDescent="0.2">
      <c r="C337" s="712" t="s">
        <v>2026</v>
      </c>
    </row>
    <row r="338" spans="3:3" ht="15" x14ac:dyDescent="0.2">
      <c r="C338" s="712" t="s">
        <v>2027</v>
      </c>
    </row>
    <row r="339" spans="3:3" ht="15" x14ac:dyDescent="0.2">
      <c r="C339" s="712" t="s">
        <v>2028</v>
      </c>
    </row>
    <row r="340" spans="3:3" ht="15" x14ac:dyDescent="0.2">
      <c r="C340" s="712" t="s">
        <v>2029</v>
      </c>
    </row>
    <row r="341" spans="3:3" ht="15" x14ac:dyDescent="0.2">
      <c r="C341" s="712" t="s">
        <v>2030</v>
      </c>
    </row>
    <row r="342" spans="3:3" ht="15" x14ac:dyDescent="0.2">
      <c r="C342" s="712" t="s">
        <v>2031</v>
      </c>
    </row>
    <row r="343" spans="3:3" ht="15" x14ac:dyDescent="0.2">
      <c r="C343" s="712" t="s">
        <v>2032</v>
      </c>
    </row>
    <row r="344" spans="3:3" ht="15" x14ac:dyDescent="0.2">
      <c r="C344" s="712" t="s">
        <v>2033</v>
      </c>
    </row>
    <row r="346" spans="3:3" ht="15" x14ac:dyDescent="0.2">
      <c r="C346" s="712" t="s">
        <v>640</v>
      </c>
    </row>
    <row r="347" spans="3:3" ht="15" x14ac:dyDescent="0.2">
      <c r="C347" s="712" t="s">
        <v>839</v>
      </c>
    </row>
    <row r="348" spans="3:3" ht="15" x14ac:dyDescent="0.2">
      <c r="C348" s="712" t="s">
        <v>2034</v>
      </c>
    </row>
    <row r="349" spans="3:3" ht="15" x14ac:dyDescent="0.2">
      <c r="C349" s="712" t="s">
        <v>842</v>
      </c>
    </row>
    <row r="350" spans="3:3" ht="15" x14ac:dyDescent="0.2">
      <c r="C350" s="712" t="s">
        <v>843</v>
      </c>
    </row>
    <row r="351" spans="3:3" ht="15" x14ac:dyDescent="0.2">
      <c r="C351" s="712" t="s">
        <v>2035</v>
      </c>
    </row>
    <row r="352" spans="3:3" ht="15" x14ac:dyDescent="0.2">
      <c r="C352" s="712" t="s">
        <v>2036</v>
      </c>
    </row>
    <row r="353" spans="3:3" ht="15" x14ac:dyDescent="0.2">
      <c r="C353" s="712" t="s">
        <v>845</v>
      </c>
    </row>
    <row r="354" spans="3:3" ht="15" x14ac:dyDescent="0.2">
      <c r="C354" s="712" t="s">
        <v>2037</v>
      </c>
    </row>
    <row r="355" spans="3:3" ht="15" x14ac:dyDescent="0.2">
      <c r="C355" s="712" t="s">
        <v>2038</v>
      </c>
    </row>
    <row r="356" spans="3:3" ht="15" x14ac:dyDescent="0.2">
      <c r="C356" s="712" t="s">
        <v>847</v>
      </c>
    </row>
    <row r="357" spans="3:3" ht="15" x14ac:dyDescent="0.2">
      <c r="C357" s="712" t="s">
        <v>2039</v>
      </c>
    </row>
    <row r="358" spans="3:3" ht="15" x14ac:dyDescent="0.2">
      <c r="C358" s="712" t="s">
        <v>842</v>
      </c>
    </row>
    <row r="359" spans="3:3" ht="15" x14ac:dyDescent="0.2">
      <c r="C359" s="712" t="s">
        <v>843</v>
      </c>
    </row>
    <row r="360" spans="3:3" ht="15" x14ac:dyDescent="0.2">
      <c r="C360" s="712" t="s">
        <v>2035</v>
      </c>
    </row>
    <row r="361" spans="3:3" ht="15" x14ac:dyDescent="0.2">
      <c r="C361" s="712" t="s">
        <v>2036</v>
      </c>
    </row>
    <row r="362" spans="3:3" ht="15" x14ac:dyDescent="0.2">
      <c r="C362" s="712" t="s">
        <v>845</v>
      </c>
    </row>
    <row r="363" spans="3:3" ht="15" x14ac:dyDescent="0.2">
      <c r="C363" s="712" t="s">
        <v>2037</v>
      </c>
    </row>
    <row r="364" spans="3:3" ht="15" x14ac:dyDescent="0.2">
      <c r="C364" s="712" t="s">
        <v>2038</v>
      </c>
    </row>
    <row r="366" spans="3:3" ht="15" x14ac:dyDescent="0.2">
      <c r="C366" s="712" t="s">
        <v>2040</v>
      </c>
    </row>
    <row r="367" spans="3:3" ht="15" x14ac:dyDescent="0.2">
      <c r="C367" s="712" t="s">
        <v>2041</v>
      </c>
    </row>
    <row r="369" spans="3:3" ht="15" x14ac:dyDescent="0.2">
      <c r="C369" s="712" t="s">
        <v>2042</v>
      </c>
    </row>
    <row r="371" spans="3:3" ht="15" x14ac:dyDescent="0.2">
      <c r="C371" s="712" t="s">
        <v>2043</v>
      </c>
    </row>
    <row r="372" spans="3:3" ht="15" x14ac:dyDescent="0.2">
      <c r="C372" s="712" t="s">
        <v>2044</v>
      </c>
    </row>
    <row r="373" spans="3:3" ht="15" x14ac:dyDescent="0.2">
      <c r="C373" s="712" t="s">
        <v>2045</v>
      </c>
    </row>
    <row r="374" spans="3:3" ht="15" x14ac:dyDescent="0.2">
      <c r="C374" s="712" t="s">
        <v>2046</v>
      </c>
    </row>
    <row r="376" spans="3:3" ht="15" x14ac:dyDescent="0.2">
      <c r="C376" s="712" t="s">
        <v>2047</v>
      </c>
    </row>
    <row r="377" spans="3:3" ht="15" x14ac:dyDescent="0.2">
      <c r="C377" s="712" t="s">
        <v>2048</v>
      </c>
    </row>
    <row r="378" spans="3:3" ht="15" x14ac:dyDescent="0.2">
      <c r="C378" s="712" t="s">
        <v>2049</v>
      </c>
    </row>
    <row r="379" spans="3:3" ht="15" x14ac:dyDescent="0.2">
      <c r="C379" s="712" t="s">
        <v>2050</v>
      </c>
    </row>
    <row r="380" spans="3:3" ht="15" x14ac:dyDescent="0.2">
      <c r="C380" s="712" t="s">
        <v>2051</v>
      </c>
    </row>
    <row r="381" spans="3:3" ht="15" x14ac:dyDescent="0.2">
      <c r="C381" s="712" t="s">
        <v>2019</v>
      </c>
    </row>
    <row r="383" spans="3:3" ht="15" x14ac:dyDescent="0.2">
      <c r="C383" s="712" t="s">
        <v>2052</v>
      </c>
    </row>
    <row r="384" spans="3:3" ht="15" x14ac:dyDescent="0.2">
      <c r="C384" s="712" t="s">
        <v>2053</v>
      </c>
    </row>
    <row r="385" spans="3:3" ht="15" x14ac:dyDescent="0.2">
      <c r="C385" s="712" t="s">
        <v>782</v>
      </c>
    </row>
    <row r="386" spans="3:3" ht="15" x14ac:dyDescent="0.2">
      <c r="C386" s="712" t="s">
        <v>650</v>
      </c>
    </row>
    <row r="387" spans="3:3" ht="15" x14ac:dyDescent="0.2">
      <c r="C387" s="712" t="s">
        <v>651</v>
      </c>
    </row>
    <row r="388" spans="3:3" ht="15" x14ac:dyDescent="0.2">
      <c r="C388" s="712" t="s">
        <v>783</v>
      </c>
    </row>
    <row r="389" spans="3:3" ht="15" x14ac:dyDescent="0.2">
      <c r="C389" s="712" t="s">
        <v>784</v>
      </c>
    </row>
    <row r="390" spans="3:3" ht="15" x14ac:dyDescent="0.2">
      <c r="C390" s="712" t="s">
        <v>785</v>
      </c>
    </row>
    <row r="391" spans="3:3" ht="15" x14ac:dyDescent="0.2">
      <c r="C391" s="712" t="s">
        <v>776</v>
      </c>
    </row>
    <row r="392" spans="3:3" ht="15" x14ac:dyDescent="0.2">
      <c r="C392" s="712" t="s">
        <v>2054</v>
      </c>
    </row>
    <row r="393" spans="3:3" ht="15" x14ac:dyDescent="0.2">
      <c r="C393" s="712" t="s">
        <v>2055</v>
      </c>
    </row>
    <row r="394" spans="3:3" ht="15" x14ac:dyDescent="0.2">
      <c r="C394" s="712" t="s">
        <v>788</v>
      </c>
    </row>
    <row r="396" spans="3:3" ht="15" x14ac:dyDescent="0.2">
      <c r="C396" s="712" t="s">
        <v>2056</v>
      </c>
    </row>
    <row r="397" spans="3:3" ht="15" x14ac:dyDescent="0.2">
      <c r="C397" s="712" t="s">
        <v>2057</v>
      </c>
    </row>
    <row r="398" spans="3:3" ht="15" x14ac:dyDescent="0.2">
      <c r="C398" s="712" t="s">
        <v>790</v>
      </c>
    </row>
    <row r="399" spans="3:3" ht="15" x14ac:dyDescent="0.2">
      <c r="C399" s="712" t="s">
        <v>791</v>
      </c>
    </row>
    <row r="400" spans="3:3" ht="15" x14ac:dyDescent="0.2">
      <c r="C400" s="712" t="s">
        <v>792</v>
      </c>
    </row>
    <row r="401" spans="3:3" ht="15" x14ac:dyDescent="0.2">
      <c r="C401" s="712" t="s">
        <v>793</v>
      </c>
    </row>
    <row r="402" spans="3:3" ht="15" x14ac:dyDescent="0.2">
      <c r="C402" s="712" t="s">
        <v>794</v>
      </c>
    </row>
    <row r="403" spans="3:3" ht="15" x14ac:dyDescent="0.2">
      <c r="C403" s="712" t="s">
        <v>624</v>
      </c>
    </row>
    <row r="404" spans="3:3" ht="15" x14ac:dyDescent="0.2">
      <c r="C404" s="712" t="s">
        <v>795</v>
      </c>
    </row>
    <row r="405" spans="3:3" ht="15" x14ac:dyDescent="0.2">
      <c r="C405" s="712" t="s">
        <v>796</v>
      </c>
    </row>
    <row r="406" spans="3:3" ht="15" x14ac:dyDescent="0.2">
      <c r="C406" s="712" t="s">
        <v>797</v>
      </c>
    </row>
    <row r="407" spans="3:3" ht="15" x14ac:dyDescent="0.2">
      <c r="C407" s="712" t="s">
        <v>798</v>
      </c>
    </row>
    <row r="408" spans="3:3" ht="15" x14ac:dyDescent="0.2">
      <c r="C408" s="712" t="s">
        <v>799</v>
      </c>
    </row>
    <row r="409" spans="3:3" ht="15" x14ac:dyDescent="0.2">
      <c r="C409" s="712" t="s">
        <v>800</v>
      </c>
    </row>
    <row r="410" spans="3:3" ht="15" x14ac:dyDescent="0.2">
      <c r="C410" s="712" t="s">
        <v>801</v>
      </c>
    </row>
    <row r="411" spans="3:3" ht="15" x14ac:dyDescent="0.2">
      <c r="C411" s="712" t="s">
        <v>802</v>
      </c>
    </row>
    <row r="412" spans="3:3" ht="15" x14ac:dyDescent="0.2">
      <c r="C412" s="712" t="s">
        <v>803</v>
      </c>
    </row>
    <row r="413" spans="3:3" ht="15" x14ac:dyDescent="0.2">
      <c r="C413" s="712" t="s">
        <v>804</v>
      </c>
    </row>
    <row r="414" spans="3:3" ht="15" x14ac:dyDescent="0.2">
      <c r="C414" s="712" t="s">
        <v>805</v>
      </c>
    </row>
    <row r="415" spans="3:3" ht="15" x14ac:dyDescent="0.2">
      <c r="C415" s="712" t="s">
        <v>806</v>
      </c>
    </row>
    <row r="416" spans="3:3" ht="15" x14ac:dyDescent="0.2">
      <c r="C416" s="712" t="s">
        <v>807</v>
      </c>
    </row>
    <row r="417" spans="3:3" ht="15" x14ac:dyDescent="0.2">
      <c r="C417" s="712" t="s">
        <v>801</v>
      </c>
    </row>
    <row r="418" spans="3:3" ht="15" x14ac:dyDescent="0.2">
      <c r="C418" s="712" t="s">
        <v>802</v>
      </c>
    </row>
    <row r="419" spans="3:3" ht="15" x14ac:dyDescent="0.2">
      <c r="C419" s="712" t="s">
        <v>803</v>
      </c>
    </row>
    <row r="420" spans="3:3" ht="15" x14ac:dyDescent="0.2">
      <c r="C420" s="712" t="s">
        <v>804</v>
      </c>
    </row>
    <row r="421" spans="3:3" ht="15" x14ac:dyDescent="0.2">
      <c r="C421" s="712" t="s">
        <v>805</v>
      </c>
    </row>
    <row r="422" spans="3:3" ht="15" x14ac:dyDescent="0.2">
      <c r="C422" s="712" t="s">
        <v>808</v>
      </c>
    </row>
    <row r="423" spans="3:3" ht="15" x14ac:dyDescent="0.2">
      <c r="C423" s="712" t="s">
        <v>809</v>
      </c>
    </row>
    <row r="425" spans="3:3" ht="15" x14ac:dyDescent="0.2">
      <c r="C425" s="712" t="s">
        <v>2058</v>
      </c>
    </row>
    <row r="426" spans="3:3" ht="15" x14ac:dyDescent="0.2">
      <c r="C426" s="712" t="s">
        <v>2059</v>
      </c>
    </row>
    <row r="427" spans="3:3" ht="15" x14ac:dyDescent="0.2">
      <c r="C427" s="712" t="s">
        <v>2060</v>
      </c>
    </row>
    <row r="428" spans="3:3" ht="15" x14ac:dyDescent="0.2">
      <c r="C428" s="712" t="s">
        <v>2061</v>
      </c>
    </row>
    <row r="429" spans="3:3" ht="15" x14ac:dyDescent="0.2">
      <c r="C429" s="712" t="s">
        <v>2062</v>
      </c>
    </row>
    <row r="430" spans="3:3" ht="15" x14ac:dyDescent="0.2">
      <c r="C430" s="712" t="s">
        <v>2063</v>
      </c>
    </row>
    <row r="432" spans="3:3" ht="15" x14ac:dyDescent="0.2">
      <c r="C432" s="712" t="s">
        <v>855</v>
      </c>
    </row>
    <row r="433" spans="3:3" ht="15" x14ac:dyDescent="0.2">
      <c r="C433" s="712" t="s">
        <v>856</v>
      </c>
    </row>
    <row r="434" spans="3:3" ht="15" x14ac:dyDescent="0.2">
      <c r="C434" s="712" t="s">
        <v>857</v>
      </c>
    </row>
    <row r="436" spans="3:3" ht="15" x14ac:dyDescent="0.2">
      <c r="C436" s="712" t="s">
        <v>858</v>
      </c>
    </row>
    <row r="437" spans="3:3" ht="15" x14ac:dyDescent="0.2">
      <c r="C437" s="712" t="s">
        <v>859</v>
      </c>
    </row>
    <row r="439" spans="3:3" ht="15" x14ac:dyDescent="0.2">
      <c r="C439" s="712" t="s">
        <v>860</v>
      </c>
    </row>
    <row r="440" spans="3:3" ht="15" x14ac:dyDescent="0.2">
      <c r="C440" s="712" t="s">
        <v>861</v>
      </c>
    </row>
    <row r="441" spans="3:3" ht="15" x14ac:dyDescent="0.2">
      <c r="C441" s="712" t="s">
        <v>862</v>
      </c>
    </row>
    <row r="442" spans="3:3" ht="15" x14ac:dyDescent="0.2">
      <c r="C442" s="712" t="s">
        <v>863</v>
      </c>
    </row>
    <row r="443" spans="3:3" ht="15" x14ac:dyDescent="0.2">
      <c r="C443" s="712" t="s">
        <v>864</v>
      </c>
    </row>
    <row r="444" spans="3:3" ht="15" x14ac:dyDescent="0.2">
      <c r="C444" s="712" t="s">
        <v>865</v>
      </c>
    </row>
    <row r="445" spans="3:3" ht="15" x14ac:dyDescent="0.2">
      <c r="C445" s="712" t="s">
        <v>866</v>
      </c>
    </row>
    <row r="446" spans="3:3" ht="15" x14ac:dyDescent="0.2">
      <c r="C446" s="712" t="s">
        <v>867</v>
      </c>
    </row>
    <row r="447" spans="3:3" ht="15" x14ac:dyDescent="0.2">
      <c r="C447" s="712" t="s">
        <v>868</v>
      </c>
    </row>
    <row r="448" spans="3:3" ht="15" x14ac:dyDescent="0.2">
      <c r="C448" s="712" t="s">
        <v>869</v>
      </c>
    </row>
    <row r="449" spans="3:3" ht="15" x14ac:dyDescent="0.2">
      <c r="C449" s="712" t="s">
        <v>870</v>
      </c>
    </row>
    <row r="450" spans="3:3" ht="15" x14ac:dyDescent="0.2">
      <c r="C450" s="712" t="s">
        <v>871</v>
      </c>
    </row>
    <row r="451" spans="3:3" ht="15" x14ac:dyDescent="0.2">
      <c r="C451" s="712"/>
    </row>
    <row r="452" spans="3:3" ht="15" x14ac:dyDescent="0.2">
      <c r="C452" s="712" t="s">
        <v>872</v>
      </c>
    </row>
    <row r="454" spans="3:3" ht="15" x14ac:dyDescent="0.2">
      <c r="C454" s="712" t="s">
        <v>873</v>
      </c>
    </row>
    <row r="455" spans="3:3" ht="15" x14ac:dyDescent="0.2">
      <c r="C455" s="712" t="s">
        <v>2064</v>
      </c>
    </row>
    <row r="456" spans="3:3" ht="15" x14ac:dyDescent="0.2">
      <c r="C456" s="712" t="s">
        <v>2065</v>
      </c>
    </row>
    <row r="457" spans="3:3" ht="15" x14ac:dyDescent="0.2">
      <c r="C457" s="712" t="s">
        <v>876</v>
      </c>
    </row>
    <row r="458" spans="3:3" ht="15" x14ac:dyDescent="0.2">
      <c r="C458" s="712" t="s">
        <v>877</v>
      </c>
    </row>
    <row r="460" spans="3:3" ht="15" x14ac:dyDescent="0.2">
      <c r="C460" s="712" t="s">
        <v>878</v>
      </c>
    </row>
    <row r="461" spans="3:3" ht="15" x14ac:dyDescent="0.2">
      <c r="C461" s="712" t="s">
        <v>879</v>
      </c>
    </row>
    <row r="462" spans="3:3" ht="15" x14ac:dyDescent="0.2">
      <c r="C462" s="712" t="s">
        <v>880</v>
      </c>
    </row>
    <row r="463" spans="3:3" ht="15" x14ac:dyDescent="0.2">
      <c r="C463" s="712" t="s">
        <v>881</v>
      </c>
    </row>
    <row r="464" spans="3:3" ht="15" x14ac:dyDescent="0.2">
      <c r="C464" s="712" t="s">
        <v>882</v>
      </c>
    </row>
    <row r="465" spans="3:3" ht="15" x14ac:dyDescent="0.2">
      <c r="C465" s="712" t="s">
        <v>883</v>
      </c>
    </row>
    <row r="466" spans="3:3" ht="15" x14ac:dyDescent="0.2">
      <c r="C466" s="712" t="s">
        <v>884</v>
      </c>
    </row>
    <row r="467" spans="3:3" ht="15" x14ac:dyDescent="0.2">
      <c r="C467" s="712" t="s">
        <v>885</v>
      </c>
    </row>
    <row r="468" spans="3:3" ht="15" x14ac:dyDescent="0.2">
      <c r="C468" s="712" t="s">
        <v>886</v>
      </c>
    </row>
    <row r="469" spans="3:3" ht="15" x14ac:dyDescent="0.2">
      <c r="C469" s="712" t="s">
        <v>887</v>
      </c>
    </row>
    <row r="470" spans="3:3" ht="15" x14ac:dyDescent="0.2">
      <c r="C470" s="712" t="s">
        <v>888</v>
      </c>
    </row>
    <row r="471" spans="3:3" ht="15" x14ac:dyDescent="0.2">
      <c r="C471" s="712" t="s">
        <v>889</v>
      </c>
    </row>
    <row r="472" spans="3:3" ht="15" x14ac:dyDescent="0.2">
      <c r="C472" s="712" t="s">
        <v>890</v>
      </c>
    </row>
    <row r="474" spans="3:3" ht="15" x14ac:dyDescent="0.2">
      <c r="C474" s="712" t="s">
        <v>891</v>
      </c>
    </row>
    <row r="476" spans="3:3" ht="15" x14ac:dyDescent="0.2">
      <c r="C476" s="712" t="s">
        <v>892</v>
      </c>
    </row>
    <row r="477" spans="3:3" ht="15" x14ac:dyDescent="0.2">
      <c r="C477" s="712" t="s">
        <v>893</v>
      </c>
    </row>
    <row r="478" spans="3:3" ht="15" x14ac:dyDescent="0.2">
      <c r="C478" s="712" t="s">
        <v>894</v>
      </c>
    </row>
    <row r="479" spans="3:3" ht="15" x14ac:dyDescent="0.2">
      <c r="C479" s="712" t="s">
        <v>895</v>
      </c>
    </row>
    <row r="480" spans="3:3" ht="15" x14ac:dyDescent="0.2">
      <c r="C480" s="712" t="s">
        <v>896</v>
      </c>
    </row>
    <row r="481" spans="3:3" ht="15" x14ac:dyDescent="0.2">
      <c r="C481" s="712" t="s">
        <v>897</v>
      </c>
    </row>
    <row r="482" spans="3:3" ht="15" x14ac:dyDescent="0.2">
      <c r="C482" s="712" t="s">
        <v>876</v>
      </c>
    </row>
    <row r="484" spans="3:3" ht="15" x14ac:dyDescent="0.2">
      <c r="C484" s="712" t="s">
        <v>898</v>
      </c>
    </row>
    <row r="485" spans="3:3" ht="15" x14ac:dyDescent="0.2">
      <c r="C485" s="712" t="s">
        <v>899</v>
      </c>
    </row>
    <row r="487" spans="3:3" ht="15" x14ac:dyDescent="0.2">
      <c r="C487" s="712" t="s">
        <v>900</v>
      </c>
    </row>
    <row r="488" spans="3:3" ht="15" x14ac:dyDescent="0.2">
      <c r="C488" s="712" t="s">
        <v>901</v>
      </c>
    </row>
    <row r="489" spans="3:3" ht="15" x14ac:dyDescent="0.2">
      <c r="C489" s="712" t="s">
        <v>902</v>
      </c>
    </row>
    <row r="490" spans="3:3" ht="15" x14ac:dyDescent="0.2">
      <c r="C490" s="712" t="s">
        <v>903</v>
      </c>
    </row>
    <row r="491" spans="3:3" ht="15" x14ac:dyDescent="0.2">
      <c r="C491" s="712" t="s">
        <v>904</v>
      </c>
    </row>
    <row r="492" spans="3:3" ht="15" x14ac:dyDescent="0.2">
      <c r="C492" s="712" t="s">
        <v>905</v>
      </c>
    </row>
    <row r="494" spans="3:3" ht="15" x14ac:dyDescent="0.2">
      <c r="C494" s="712" t="s">
        <v>900</v>
      </c>
    </row>
    <row r="495" spans="3:3" ht="15" x14ac:dyDescent="0.2">
      <c r="C495" s="712" t="s">
        <v>906</v>
      </c>
    </row>
    <row r="496" spans="3:3" ht="15" x14ac:dyDescent="0.2">
      <c r="C496" s="712" t="s">
        <v>907</v>
      </c>
    </row>
    <row r="497" spans="3:3" ht="15" x14ac:dyDescent="0.2">
      <c r="C497" s="712" t="s">
        <v>908</v>
      </c>
    </row>
    <row r="498" spans="3:3" ht="15" x14ac:dyDescent="0.2">
      <c r="C498" s="712" t="s">
        <v>909</v>
      </c>
    </row>
    <row r="500" spans="3:3" ht="15" x14ac:dyDescent="0.2">
      <c r="C500" s="712" t="s">
        <v>910</v>
      </c>
    </row>
    <row r="501" spans="3:3" ht="15" x14ac:dyDescent="0.2">
      <c r="C501" s="712" t="s">
        <v>911</v>
      </c>
    </row>
    <row r="502" spans="3:3" ht="15" x14ac:dyDescent="0.2">
      <c r="C502" s="712" t="s">
        <v>912</v>
      </c>
    </row>
    <row r="503" spans="3:3" ht="15" x14ac:dyDescent="0.2">
      <c r="C503" s="712" t="s">
        <v>913</v>
      </c>
    </row>
    <row r="504" spans="3:3" ht="15" x14ac:dyDescent="0.2">
      <c r="C504" s="712" t="s">
        <v>914</v>
      </c>
    </row>
    <row r="506" spans="3:3" ht="15" x14ac:dyDescent="0.2">
      <c r="C506" s="712" t="s">
        <v>915</v>
      </c>
    </row>
    <row r="507" spans="3:3" ht="15" x14ac:dyDescent="0.2">
      <c r="C507" s="712" t="s">
        <v>916</v>
      </c>
    </row>
    <row r="508" spans="3:3" ht="15" x14ac:dyDescent="0.2">
      <c r="C508" s="712" t="s">
        <v>650</v>
      </c>
    </row>
    <row r="509" spans="3:3" ht="15" x14ac:dyDescent="0.2">
      <c r="C509" s="712" t="s">
        <v>651</v>
      </c>
    </row>
    <row r="510" spans="3:3" ht="15" x14ac:dyDescent="0.2">
      <c r="C510" s="712" t="s">
        <v>917</v>
      </c>
    </row>
    <row r="511" spans="3:3" ht="15" x14ac:dyDescent="0.2">
      <c r="C511" s="712" t="s">
        <v>918</v>
      </c>
    </row>
    <row r="512" spans="3:3" ht="15" x14ac:dyDescent="0.2">
      <c r="C512" s="712" t="s">
        <v>919</v>
      </c>
    </row>
    <row r="514" spans="3:3" ht="15" x14ac:dyDescent="0.2">
      <c r="C514" s="712" t="s">
        <v>920</v>
      </c>
    </row>
    <row r="515" spans="3:3" ht="15" x14ac:dyDescent="0.2">
      <c r="C515" s="712" t="s">
        <v>651</v>
      </c>
    </row>
    <row r="517" spans="3:3" ht="15" x14ac:dyDescent="0.2">
      <c r="C517" s="712" t="s">
        <v>921</v>
      </c>
    </row>
    <row r="518" spans="3:3" ht="15" x14ac:dyDescent="0.2">
      <c r="C518" s="712" t="s">
        <v>922</v>
      </c>
    </row>
    <row r="519" spans="3:3" ht="15" x14ac:dyDescent="0.2">
      <c r="C519" s="712" t="s">
        <v>923</v>
      </c>
    </row>
    <row r="521" spans="3:3" ht="15" x14ac:dyDescent="0.2">
      <c r="C521" s="712" t="s">
        <v>924</v>
      </c>
    </row>
    <row r="522" spans="3:3" ht="15" x14ac:dyDescent="0.2">
      <c r="C522" s="712" t="s">
        <v>925</v>
      </c>
    </row>
    <row r="523" spans="3:3" ht="15" x14ac:dyDescent="0.2">
      <c r="C523" s="712" t="s">
        <v>926</v>
      </c>
    </row>
    <row r="524" spans="3:3" ht="15" x14ac:dyDescent="0.2">
      <c r="C524" s="712" t="s">
        <v>927</v>
      </c>
    </row>
    <row r="525" spans="3:3" ht="15" x14ac:dyDescent="0.2">
      <c r="C525" s="712" t="s">
        <v>928</v>
      </c>
    </row>
    <row r="527" spans="3:3" ht="15" x14ac:dyDescent="0.2">
      <c r="C527" s="712" t="s">
        <v>979</v>
      </c>
    </row>
    <row r="528" spans="3:3" ht="15" x14ac:dyDescent="0.2">
      <c r="C528" s="712" t="s">
        <v>930</v>
      </c>
    </row>
    <row r="529" spans="3:3" ht="15" x14ac:dyDescent="0.2">
      <c r="C529" s="712" t="s">
        <v>931</v>
      </c>
    </row>
    <row r="530" spans="3:3" ht="15" x14ac:dyDescent="0.2">
      <c r="C530" s="712" t="s">
        <v>2066</v>
      </c>
    </row>
    <row r="531" spans="3:3" ht="15" x14ac:dyDescent="0.2">
      <c r="C531" s="712" t="s">
        <v>933</v>
      </c>
    </row>
    <row r="532" spans="3:3" ht="15" x14ac:dyDescent="0.2">
      <c r="C532" s="712" t="s">
        <v>981</v>
      </c>
    </row>
    <row r="533" spans="3:3" ht="15" x14ac:dyDescent="0.2">
      <c r="C533" s="712" t="s">
        <v>935</v>
      </c>
    </row>
    <row r="534" spans="3:3" ht="15" x14ac:dyDescent="0.2">
      <c r="C534" s="712" t="s">
        <v>936</v>
      </c>
    </row>
    <row r="535" spans="3:3" ht="15" x14ac:dyDescent="0.2">
      <c r="C535" s="712" t="s">
        <v>876</v>
      </c>
    </row>
    <row r="537" spans="3:3" ht="15" x14ac:dyDescent="0.2">
      <c r="C537" s="712" t="s">
        <v>2067</v>
      </c>
    </row>
    <row r="538" spans="3:3" ht="15" x14ac:dyDescent="0.2">
      <c r="C538" s="712" t="s">
        <v>983</v>
      </c>
    </row>
    <row r="539" spans="3:3" ht="15" x14ac:dyDescent="0.2">
      <c r="C539" s="712" t="s">
        <v>1107</v>
      </c>
    </row>
    <row r="540" spans="3:3" ht="15" x14ac:dyDescent="0.2">
      <c r="C540" s="712" t="s">
        <v>930</v>
      </c>
    </row>
    <row r="541" spans="3:3" ht="15" x14ac:dyDescent="0.2">
      <c r="C541" s="712" t="s">
        <v>2068</v>
      </c>
    </row>
    <row r="542" spans="3:3" ht="15" x14ac:dyDescent="0.2">
      <c r="C542" s="712" t="s">
        <v>2069</v>
      </c>
    </row>
    <row r="543" spans="3:3" ht="15" x14ac:dyDescent="0.2">
      <c r="C543" s="712" t="s">
        <v>933</v>
      </c>
    </row>
    <row r="544" spans="3:3" ht="15" x14ac:dyDescent="0.2">
      <c r="C544" s="712" t="s">
        <v>941</v>
      </c>
    </row>
    <row r="545" spans="3:3" ht="15" x14ac:dyDescent="0.2">
      <c r="C545" s="712" t="s">
        <v>942</v>
      </c>
    </row>
    <row r="546" spans="3:3" ht="15" x14ac:dyDescent="0.2">
      <c r="C546" s="712" t="s">
        <v>943</v>
      </c>
    </row>
    <row r="547" spans="3:3" ht="15" x14ac:dyDescent="0.2">
      <c r="C547" s="712" t="s">
        <v>944</v>
      </c>
    </row>
    <row r="548" spans="3:3" ht="15" x14ac:dyDescent="0.2">
      <c r="C548" s="712" t="s">
        <v>876</v>
      </c>
    </row>
    <row r="550" spans="3:3" ht="15" x14ac:dyDescent="0.2">
      <c r="C550" s="712" t="s">
        <v>929</v>
      </c>
    </row>
    <row r="551" spans="3:3" ht="15" x14ac:dyDescent="0.2">
      <c r="C551" s="712" t="s">
        <v>930</v>
      </c>
    </row>
    <row r="552" spans="3:3" ht="15" x14ac:dyDescent="0.2">
      <c r="C552" s="712" t="s">
        <v>931</v>
      </c>
    </row>
    <row r="553" spans="3:3" ht="15" x14ac:dyDescent="0.2">
      <c r="C553" s="712" t="s">
        <v>932</v>
      </c>
    </row>
    <row r="554" spans="3:3" ht="15" x14ac:dyDescent="0.2">
      <c r="C554" s="712" t="s">
        <v>933</v>
      </c>
    </row>
    <row r="555" spans="3:3" ht="15" x14ac:dyDescent="0.2">
      <c r="C555" s="712" t="s">
        <v>934</v>
      </c>
    </row>
    <row r="556" spans="3:3" ht="15" x14ac:dyDescent="0.2">
      <c r="C556" s="712" t="s">
        <v>935</v>
      </c>
    </row>
    <row r="557" spans="3:3" ht="15" x14ac:dyDescent="0.2">
      <c r="C557" s="712" t="s">
        <v>936</v>
      </c>
    </row>
    <row r="558" spans="3:3" ht="15" x14ac:dyDescent="0.2">
      <c r="C558" s="712" t="s">
        <v>876</v>
      </c>
    </row>
    <row r="560" spans="3:3" ht="15" x14ac:dyDescent="0.2">
      <c r="C560" s="712" t="s">
        <v>937</v>
      </c>
    </row>
    <row r="561" spans="3:3" ht="15" x14ac:dyDescent="0.2">
      <c r="C561" s="712" t="s">
        <v>938</v>
      </c>
    </row>
    <row r="563" spans="3:3" ht="15" x14ac:dyDescent="0.2">
      <c r="C563" s="712" t="s">
        <v>930</v>
      </c>
    </row>
    <row r="564" spans="3:3" ht="15" x14ac:dyDescent="0.2">
      <c r="C564" s="712" t="s">
        <v>939</v>
      </c>
    </row>
    <row r="565" spans="3:3" ht="15" x14ac:dyDescent="0.2">
      <c r="C565" s="712" t="s">
        <v>1261</v>
      </c>
    </row>
    <row r="566" spans="3:3" ht="15" x14ac:dyDescent="0.2">
      <c r="C566" s="712" t="s">
        <v>933</v>
      </c>
    </row>
    <row r="567" spans="3:3" ht="15" x14ac:dyDescent="0.2">
      <c r="C567" s="712" t="s">
        <v>941</v>
      </c>
    </row>
    <row r="568" spans="3:3" ht="15" x14ac:dyDescent="0.2">
      <c r="C568" s="712" t="s">
        <v>942</v>
      </c>
    </row>
    <row r="569" spans="3:3" ht="15" x14ac:dyDescent="0.2">
      <c r="C569" s="712" t="s">
        <v>943</v>
      </c>
    </row>
    <row r="570" spans="3:3" ht="15" x14ac:dyDescent="0.2">
      <c r="C570" s="712" t="s">
        <v>944</v>
      </c>
    </row>
    <row r="571" spans="3:3" ht="15" x14ac:dyDescent="0.2">
      <c r="C571" s="712" t="s">
        <v>876</v>
      </c>
    </row>
    <row r="573" spans="3:3" ht="15" x14ac:dyDescent="0.2">
      <c r="C573" s="712" t="s">
        <v>946</v>
      </c>
    </row>
    <row r="574" spans="3:3" ht="15" x14ac:dyDescent="0.2">
      <c r="C574" s="712" t="s">
        <v>947</v>
      </c>
    </row>
    <row r="575" spans="3:3" ht="15" x14ac:dyDescent="0.2">
      <c r="C575" s="712" t="s">
        <v>948</v>
      </c>
    </row>
    <row r="576" spans="3:3" ht="15" x14ac:dyDescent="0.2">
      <c r="C576" s="712" t="s">
        <v>949</v>
      </c>
    </row>
    <row r="577" spans="3:3" ht="15" x14ac:dyDescent="0.2">
      <c r="C577" s="712" t="s">
        <v>950</v>
      </c>
    </row>
    <row r="578" spans="3:3" ht="15" x14ac:dyDescent="0.2">
      <c r="C578" s="712" t="s">
        <v>951</v>
      </c>
    </row>
    <row r="579" spans="3:3" ht="15" x14ac:dyDescent="0.2">
      <c r="C579" s="712" t="s">
        <v>952</v>
      </c>
    </row>
    <row r="580" spans="3:3" ht="15" x14ac:dyDescent="0.2">
      <c r="C580" s="712" t="s">
        <v>953</v>
      </c>
    </row>
    <row r="581" spans="3:3" ht="15" x14ac:dyDescent="0.2">
      <c r="C581" s="712" t="s">
        <v>954</v>
      </c>
    </row>
    <row r="582" spans="3:3" ht="15" x14ac:dyDescent="0.2">
      <c r="C582" s="712" t="s">
        <v>1068</v>
      </c>
    </row>
    <row r="583" spans="3:3" ht="15" x14ac:dyDescent="0.2">
      <c r="C583" s="712" t="s">
        <v>1069</v>
      </c>
    </row>
    <row r="584" spans="3:3" ht="15" x14ac:dyDescent="0.2">
      <c r="C584" s="712" t="s">
        <v>1070</v>
      </c>
    </row>
    <row r="585" spans="3:3" ht="15" x14ac:dyDescent="0.2">
      <c r="C585" s="712" t="s">
        <v>1071</v>
      </c>
    </row>
    <row r="586" spans="3:3" ht="15" x14ac:dyDescent="0.2">
      <c r="C586" s="712" t="s">
        <v>2070</v>
      </c>
    </row>
    <row r="587" spans="3:3" ht="15" x14ac:dyDescent="0.2">
      <c r="C587" s="712" t="s">
        <v>1073</v>
      </c>
    </row>
    <row r="588" spans="3:3" ht="15" x14ac:dyDescent="0.2">
      <c r="C588" s="712" t="s">
        <v>1074</v>
      </c>
    </row>
    <row r="589" spans="3:3" ht="15" x14ac:dyDescent="0.2">
      <c r="C589" s="712" t="s">
        <v>1075</v>
      </c>
    </row>
    <row r="590" spans="3:3" ht="15" x14ac:dyDescent="0.2">
      <c r="C590" s="712" t="s">
        <v>1076</v>
      </c>
    </row>
    <row r="591" spans="3:3" ht="15" x14ac:dyDescent="0.2">
      <c r="C591" s="712" t="s">
        <v>955</v>
      </c>
    </row>
    <row r="592" spans="3:3" ht="15" x14ac:dyDescent="0.2">
      <c r="C592" s="712" t="s">
        <v>956</v>
      </c>
    </row>
    <row r="593" spans="3:3" ht="15" x14ac:dyDescent="0.2">
      <c r="C593" s="712" t="s">
        <v>957</v>
      </c>
    </row>
    <row r="594" spans="3:3" ht="15" x14ac:dyDescent="0.2">
      <c r="C594" s="712" t="s">
        <v>958</v>
      </c>
    </row>
    <row r="595" spans="3:3" ht="15" x14ac:dyDescent="0.2">
      <c r="C595" s="712" t="s">
        <v>959</v>
      </c>
    </row>
    <row r="596" spans="3:3" ht="15" x14ac:dyDescent="0.2">
      <c r="C596" s="712" t="s">
        <v>960</v>
      </c>
    </row>
    <row r="597" spans="3:3" ht="15" x14ac:dyDescent="0.2">
      <c r="C597" s="712" t="s">
        <v>961</v>
      </c>
    </row>
    <row r="598" spans="3:3" ht="15" x14ac:dyDescent="0.2">
      <c r="C598" s="712" t="s">
        <v>962</v>
      </c>
    </row>
    <row r="599" spans="3:3" ht="15" x14ac:dyDescent="0.2">
      <c r="C599" s="712" t="s">
        <v>963</v>
      </c>
    </row>
    <row r="600" spans="3:3" ht="15" x14ac:dyDescent="0.2">
      <c r="C600" s="712" t="s">
        <v>964</v>
      </c>
    </row>
    <row r="601" spans="3:3" ht="15" x14ac:dyDescent="0.2">
      <c r="C601" s="712" t="s">
        <v>965</v>
      </c>
    </row>
    <row r="602" spans="3:3" ht="15" x14ac:dyDescent="0.2">
      <c r="C602" s="712" t="s">
        <v>966</v>
      </c>
    </row>
    <row r="603" spans="3:3" ht="15" x14ac:dyDescent="0.2">
      <c r="C603" s="712" t="s">
        <v>2071</v>
      </c>
    </row>
    <row r="604" spans="3:3" ht="15" x14ac:dyDescent="0.2">
      <c r="C604" s="712" t="s">
        <v>804</v>
      </c>
    </row>
    <row r="605" spans="3:3" ht="15" x14ac:dyDescent="0.2">
      <c r="C605" s="712" t="s">
        <v>968</v>
      </c>
    </row>
    <row r="606" spans="3:3" ht="15" x14ac:dyDescent="0.2">
      <c r="C606" s="712" t="s">
        <v>969</v>
      </c>
    </row>
    <row r="607" spans="3:3" ht="15" x14ac:dyDescent="0.2">
      <c r="C607" s="712" t="s">
        <v>2072</v>
      </c>
    </row>
    <row r="608" spans="3:3" ht="15" x14ac:dyDescent="0.2">
      <c r="C608" s="712" t="s">
        <v>971</v>
      </c>
    </row>
    <row r="609" spans="3:3" ht="15" x14ac:dyDescent="0.2">
      <c r="C609" s="712" t="s">
        <v>972</v>
      </c>
    </row>
    <row r="610" spans="3:3" ht="15" x14ac:dyDescent="0.2">
      <c r="C610" s="712" t="s">
        <v>973</v>
      </c>
    </row>
    <row r="611" spans="3:3" ht="15" x14ac:dyDescent="0.2">
      <c r="C611" s="712" t="s">
        <v>974</v>
      </c>
    </row>
    <row r="613" spans="3:3" ht="15" x14ac:dyDescent="0.2">
      <c r="C613" s="712" t="s">
        <v>2073</v>
      </c>
    </row>
    <row r="614" spans="3:3" ht="15" x14ac:dyDescent="0.2">
      <c r="C614" s="712" t="s">
        <v>1079</v>
      </c>
    </row>
    <row r="615" spans="3:3" ht="15" x14ac:dyDescent="0.2">
      <c r="C615" s="712" t="s">
        <v>1080</v>
      </c>
    </row>
    <row r="616" spans="3:3" ht="15" x14ac:dyDescent="0.2">
      <c r="C616" s="712" t="s">
        <v>1081</v>
      </c>
    </row>
    <row r="617" spans="3:3" ht="15" x14ac:dyDescent="0.2">
      <c r="C617" s="712" t="s">
        <v>1082</v>
      </c>
    </row>
    <row r="618" spans="3:3" ht="15" x14ac:dyDescent="0.2">
      <c r="C618" s="712" t="s">
        <v>1083</v>
      </c>
    </row>
    <row r="619" spans="3:3" ht="15" x14ac:dyDescent="0.2">
      <c r="C619" s="712" t="s">
        <v>2074</v>
      </c>
    </row>
    <row r="620" spans="3:3" ht="15" x14ac:dyDescent="0.2">
      <c r="C620" s="712" t="s">
        <v>1085</v>
      </c>
    </row>
    <row r="621" spans="3:3" ht="15" x14ac:dyDescent="0.2">
      <c r="C621" s="712" t="s">
        <v>1086</v>
      </c>
    </row>
    <row r="622" spans="3:3" ht="15" x14ac:dyDescent="0.2">
      <c r="C622" s="712" t="s">
        <v>1087</v>
      </c>
    </row>
    <row r="623" spans="3:3" ht="15" x14ac:dyDescent="0.2">
      <c r="C623" s="712" t="s">
        <v>1088</v>
      </c>
    </row>
    <row r="624" spans="3:3" ht="15" x14ac:dyDescent="0.2">
      <c r="C624" s="712" t="s">
        <v>677</v>
      </c>
    </row>
    <row r="626" spans="3:3" ht="15" x14ac:dyDescent="0.2">
      <c r="C626" s="712" t="s">
        <v>1090</v>
      </c>
    </row>
    <row r="627" spans="3:3" ht="15" x14ac:dyDescent="0.2">
      <c r="C627" s="712" t="s">
        <v>1091</v>
      </c>
    </row>
    <row r="628" spans="3:3" ht="15" x14ac:dyDescent="0.2">
      <c r="C628" s="712" t="s">
        <v>1092</v>
      </c>
    </row>
    <row r="629" spans="3:3" ht="15" x14ac:dyDescent="0.2">
      <c r="C629" s="712" t="s">
        <v>2075</v>
      </c>
    </row>
    <row r="630" spans="3:3" ht="15" x14ac:dyDescent="0.2">
      <c r="C630" s="712" t="s">
        <v>2076</v>
      </c>
    </row>
    <row r="631" spans="3:3" ht="15" x14ac:dyDescent="0.2">
      <c r="C631" s="712" t="s">
        <v>2077</v>
      </c>
    </row>
    <row r="632" spans="3:3" ht="15" x14ac:dyDescent="0.2">
      <c r="C632" s="712" t="s">
        <v>1095</v>
      </c>
    </row>
    <row r="633" spans="3:3" ht="15" x14ac:dyDescent="0.2">
      <c r="C633" s="712" t="s">
        <v>2078</v>
      </c>
    </row>
    <row r="634" spans="3:3" ht="15" x14ac:dyDescent="0.2">
      <c r="C634" s="712" t="s">
        <v>2079</v>
      </c>
    </row>
    <row r="636" spans="3:3" ht="15" x14ac:dyDescent="0.2">
      <c r="C636" s="712" t="s">
        <v>2080</v>
      </c>
    </row>
    <row r="638" spans="3:3" ht="15" x14ac:dyDescent="0.2">
      <c r="C638" s="712" t="s">
        <v>930</v>
      </c>
    </row>
    <row r="639" spans="3:3" ht="15" x14ac:dyDescent="0.2">
      <c r="C639" s="712" t="s">
        <v>931</v>
      </c>
    </row>
    <row r="640" spans="3:3" ht="15" x14ac:dyDescent="0.2">
      <c r="C640" s="712" t="s">
        <v>2081</v>
      </c>
    </row>
    <row r="641" spans="3:3" ht="15" x14ac:dyDescent="0.2">
      <c r="C641" s="712" t="s">
        <v>933</v>
      </c>
    </row>
    <row r="642" spans="3:3" ht="15" x14ac:dyDescent="0.2">
      <c r="C642" s="712" t="s">
        <v>2082</v>
      </c>
    </row>
    <row r="643" spans="3:3" ht="15" x14ac:dyDescent="0.2">
      <c r="C643" s="712" t="s">
        <v>2083</v>
      </c>
    </row>
    <row r="644" spans="3:3" ht="15" x14ac:dyDescent="0.2">
      <c r="C644" s="712" t="s">
        <v>1101</v>
      </c>
    </row>
    <row r="645" spans="3:3" ht="15" x14ac:dyDescent="0.2">
      <c r="C645" s="712" t="s">
        <v>876</v>
      </c>
    </row>
    <row r="647" spans="3:3" ht="15" x14ac:dyDescent="0.2">
      <c r="C647" s="712" t="s">
        <v>930</v>
      </c>
    </row>
    <row r="648" spans="3:3" ht="15" x14ac:dyDescent="0.2">
      <c r="C648" s="712" t="s">
        <v>931</v>
      </c>
    </row>
    <row r="649" spans="3:3" ht="15" x14ac:dyDescent="0.2">
      <c r="C649" s="712" t="s">
        <v>2084</v>
      </c>
    </row>
    <row r="650" spans="3:3" ht="15" x14ac:dyDescent="0.2">
      <c r="C650" s="712" t="s">
        <v>933</v>
      </c>
    </row>
    <row r="651" spans="3:3" ht="15" x14ac:dyDescent="0.2">
      <c r="C651" s="712" t="s">
        <v>2085</v>
      </c>
    </row>
    <row r="652" spans="3:3" ht="15" x14ac:dyDescent="0.2">
      <c r="C652" s="712" t="s">
        <v>935</v>
      </c>
    </row>
    <row r="653" spans="3:3" ht="15" x14ac:dyDescent="0.2">
      <c r="C653" s="712" t="s">
        <v>1101</v>
      </c>
    </row>
    <row r="654" spans="3:3" ht="15" x14ac:dyDescent="0.2">
      <c r="C654" s="712" t="s">
        <v>876</v>
      </c>
    </row>
    <row r="656" spans="3:3" ht="15" x14ac:dyDescent="0.2">
      <c r="C656" s="712" t="s">
        <v>2086</v>
      </c>
    </row>
    <row r="657" spans="3:3" ht="15" x14ac:dyDescent="0.2">
      <c r="C657" s="712" t="s">
        <v>2087</v>
      </c>
    </row>
    <row r="658" spans="3:3" ht="15" x14ac:dyDescent="0.2">
      <c r="C658" s="712"/>
    </row>
    <row r="659" spans="3:3" ht="15" x14ac:dyDescent="0.2">
      <c r="C659" s="712" t="s">
        <v>930</v>
      </c>
    </row>
    <row r="660" spans="3:3" ht="15" x14ac:dyDescent="0.2">
      <c r="C660" s="712" t="s">
        <v>2088</v>
      </c>
    </row>
    <row r="661" spans="3:3" ht="15" x14ac:dyDescent="0.2">
      <c r="C661" s="712" t="s">
        <v>2089</v>
      </c>
    </row>
    <row r="662" spans="3:3" ht="15" x14ac:dyDescent="0.2">
      <c r="C662" s="712" t="s">
        <v>933</v>
      </c>
    </row>
    <row r="663" spans="3:3" ht="15" x14ac:dyDescent="0.2">
      <c r="C663" s="712" t="s">
        <v>941</v>
      </c>
    </row>
    <row r="664" spans="3:3" ht="15" x14ac:dyDescent="0.2">
      <c r="C664" s="712" t="s">
        <v>942</v>
      </c>
    </row>
    <row r="665" spans="3:3" ht="15" x14ac:dyDescent="0.2">
      <c r="C665" s="712" t="s">
        <v>1110</v>
      </c>
    </row>
    <row r="666" spans="3:3" ht="15" x14ac:dyDescent="0.2">
      <c r="C666" s="712" t="s">
        <v>943</v>
      </c>
    </row>
    <row r="667" spans="3:3" ht="15" x14ac:dyDescent="0.2">
      <c r="C667" s="712" t="s">
        <v>944</v>
      </c>
    </row>
    <row r="668" spans="3:3" ht="15" x14ac:dyDescent="0.2">
      <c r="C668" s="712" t="s">
        <v>1002</v>
      </c>
    </row>
    <row r="670" spans="3:3" ht="15" x14ac:dyDescent="0.2">
      <c r="C670" s="712" t="s">
        <v>2090</v>
      </c>
    </row>
    <row r="671" spans="3:3" ht="15" x14ac:dyDescent="0.2">
      <c r="C671" s="712" t="s">
        <v>1091</v>
      </c>
    </row>
    <row r="672" spans="3:3" ht="15" x14ac:dyDescent="0.2">
      <c r="C672" s="712" t="s">
        <v>1092</v>
      </c>
    </row>
    <row r="673" spans="3:3" ht="15" x14ac:dyDescent="0.2">
      <c r="C673" s="712" t="s">
        <v>2075</v>
      </c>
    </row>
    <row r="675" spans="3:3" ht="15" x14ac:dyDescent="0.2">
      <c r="C675" s="712" t="s">
        <v>1093</v>
      </c>
    </row>
    <row r="676" spans="3:3" ht="15" x14ac:dyDescent="0.2">
      <c r="C676" s="712" t="s">
        <v>1094</v>
      </c>
    </row>
    <row r="677" spans="3:3" ht="15" x14ac:dyDescent="0.2">
      <c r="C677" s="712" t="s">
        <v>2091</v>
      </c>
    </row>
    <row r="678" spans="3:3" ht="15" x14ac:dyDescent="0.2">
      <c r="C678" s="712" t="s">
        <v>1096</v>
      </c>
    </row>
    <row r="679" spans="3:3" ht="15" x14ac:dyDescent="0.2">
      <c r="C679" s="712" t="s">
        <v>1097</v>
      </c>
    </row>
    <row r="681" spans="3:3" ht="15" x14ac:dyDescent="0.2">
      <c r="C681" s="712" t="s">
        <v>1098</v>
      </c>
    </row>
    <row r="683" spans="3:3" ht="15" x14ac:dyDescent="0.2">
      <c r="C683" s="712" t="s">
        <v>930</v>
      </c>
    </row>
    <row r="684" spans="3:3" ht="15" x14ac:dyDescent="0.2">
      <c r="C684" s="712" t="s">
        <v>931</v>
      </c>
    </row>
    <row r="685" spans="3:3" ht="15" x14ac:dyDescent="0.2">
      <c r="C685" s="712" t="s">
        <v>1099</v>
      </c>
    </row>
    <row r="686" spans="3:3" ht="15" x14ac:dyDescent="0.2">
      <c r="C686" s="712" t="s">
        <v>2092</v>
      </c>
    </row>
    <row r="687" spans="3:3" ht="15" x14ac:dyDescent="0.2">
      <c r="C687" s="712" t="s">
        <v>1100</v>
      </c>
    </row>
    <row r="688" spans="3:3" ht="15" x14ac:dyDescent="0.2">
      <c r="C688" s="712" t="s">
        <v>935</v>
      </c>
    </row>
    <row r="689" spans="3:3" ht="15" x14ac:dyDescent="0.2">
      <c r="C689" s="712" t="s">
        <v>1101</v>
      </c>
    </row>
    <row r="690" spans="3:3" ht="15" x14ac:dyDescent="0.2">
      <c r="C690" s="712" t="s">
        <v>876</v>
      </c>
    </row>
    <row r="692" spans="3:3" ht="15" x14ac:dyDescent="0.2">
      <c r="C692" s="712" t="s">
        <v>930</v>
      </c>
    </row>
    <row r="693" spans="3:3" ht="15" x14ac:dyDescent="0.2">
      <c r="C693" s="712" t="s">
        <v>931</v>
      </c>
    </row>
    <row r="694" spans="3:3" ht="15" x14ac:dyDescent="0.2">
      <c r="C694" s="712" t="s">
        <v>1102</v>
      </c>
    </row>
    <row r="695" spans="3:3" ht="15" x14ac:dyDescent="0.2">
      <c r="C695" s="712" t="s">
        <v>933</v>
      </c>
    </row>
    <row r="696" spans="3:3" ht="15" x14ac:dyDescent="0.2">
      <c r="C696" s="712" t="s">
        <v>2093</v>
      </c>
    </row>
    <row r="697" spans="3:3" ht="15" x14ac:dyDescent="0.2">
      <c r="C697" s="712" t="s">
        <v>1101</v>
      </c>
    </row>
    <row r="698" spans="3:3" ht="15" x14ac:dyDescent="0.2">
      <c r="C698" s="712" t="s">
        <v>876</v>
      </c>
    </row>
    <row r="700" spans="3:3" ht="15" x14ac:dyDescent="0.2">
      <c r="C700" s="712" t="s">
        <v>2094</v>
      </c>
    </row>
    <row r="701" spans="3:3" ht="15" x14ac:dyDescent="0.2">
      <c r="C701" s="712" t="s">
        <v>2095</v>
      </c>
    </row>
    <row r="703" spans="3:3" ht="15" x14ac:dyDescent="0.2">
      <c r="C703" s="712" t="s">
        <v>930</v>
      </c>
    </row>
    <row r="704" spans="3:3" ht="15" x14ac:dyDescent="0.2">
      <c r="C704" s="712" t="s">
        <v>2096</v>
      </c>
    </row>
    <row r="705" spans="3:3" ht="15" x14ac:dyDescent="0.2">
      <c r="C705" s="712" t="s">
        <v>2097</v>
      </c>
    </row>
    <row r="706" spans="3:3" ht="15" x14ac:dyDescent="0.2">
      <c r="C706" s="712" t="s">
        <v>933</v>
      </c>
    </row>
    <row r="707" spans="3:3" ht="15" x14ac:dyDescent="0.2">
      <c r="C707" s="712" t="s">
        <v>941</v>
      </c>
    </row>
    <row r="708" spans="3:3" ht="15" x14ac:dyDescent="0.2">
      <c r="C708" s="712" t="s">
        <v>942</v>
      </c>
    </row>
    <row r="709" spans="3:3" ht="15" x14ac:dyDescent="0.2">
      <c r="C709" s="712" t="s">
        <v>1110</v>
      </c>
    </row>
    <row r="710" spans="3:3" ht="15" x14ac:dyDescent="0.2">
      <c r="C710" s="712" t="s">
        <v>943</v>
      </c>
    </row>
    <row r="711" spans="3:3" ht="15" x14ac:dyDescent="0.2">
      <c r="C711" s="712" t="s">
        <v>944</v>
      </c>
    </row>
    <row r="712" spans="3:3" ht="15" x14ac:dyDescent="0.2">
      <c r="C712" s="712" t="s">
        <v>876</v>
      </c>
    </row>
    <row r="714" spans="3:3" ht="15" x14ac:dyDescent="0.2">
      <c r="C714" s="712" t="s">
        <v>2098</v>
      </c>
    </row>
    <row r="716" spans="3:3" ht="15" x14ac:dyDescent="0.2">
      <c r="C716" s="712" t="s">
        <v>930</v>
      </c>
    </row>
    <row r="717" spans="3:3" ht="15" x14ac:dyDescent="0.2">
      <c r="C717" s="712" t="s">
        <v>931</v>
      </c>
    </row>
    <row r="718" spans="3:3" ht="15" x14ac:dyDescent="0.2">
      <c r="C718" s="712" t="s">
        <v>2099</v>
      </c>
    </row>
    <row r="719" spans="3:3" ht="15" x14ac:dyDescent="0.2">
      <c r="C719" s="712" t="s">
        <v>933</v>
      </c>
    </row>
    <row r="720" spans="3:3" ht="15" x14ac:dyDescent="0.2">
      <c r="C720" s="712" t="s">
        <v>2100</v>
      </c>
    </row>
    <row r="721" spans="3:3" ht="15" x14ac:dyDescent="0.2">
      <c r="C721" s="712" t="s">
        <v>935</v>
      </c>
    </row>
    <row r="722" spans="3:3" ht="15" x14ac:dyDescent="0.2">
      <c r="C722" s="712" t="s">
        <v>936</v>
      </c>
    </row>
    <row r="723" spans="3:3" ht="15" x14ac:dyDescent="0.2">
      <c r="C723" s="712" t="s">
        <v>876</v>
      </c>
    </row>
    <row r="725" spans="3:3" ht="15" x14ac:dyDescent="0.2">
      <c r="C725" s="712" t="s">
        <v>2101</v>
      </c>
    </row>
    <row r="726" spans="3:3" ht="15" x14ac:dyDescent="0.2">
      <c r="C726" s="712" t="s">
        <v>2102</v>
      </c>
    </row>
    <row r="728" spans="3:3" ht="15" x14ac:dyDescent="0.2">
      <c r="C728" s="712" t="s">
        <v>930</v>
      </c>
    </row>
    <row r="729" spans="3:3" ht="15" x14ac:dyDescent="0.2">
      <c r="C729" s="712" t="s">
        <v>2103</v>
      </c>
    </row>
    <row r="730" spans="3:3" ht="15" x14ac:dyDescent="0.2">
      <c r="C730" s="712" t="s">
        <v>2104</v>
      </c>
    </row>
    <row r="731" spans="3:3" ht="15" x14ac:dyDescent="0.2">
      <c r="C731" s="712" t="s">
        <v>933</v>
      </c>
    </row>
    <row r="732" spans="3:3" ht="15" x14ac:dyDescent="0.2">
      <c r="C732" s="712" t="s">
        <v>941</v>
      </c>
    </row>
    <row r="733" spans="3:3" ht="15" x14ac:dyDescent="0.2">
      <c r="C733" s="712" t="s">
        <v>942</v>
      </c>
    </row>
    <row r="734" spans="3:3" ht="15" x14ac:dyDescent="0.2">
      <c r="C734" s="712" t="s">
        <v>1110</v>
      </c>
    </row>
    <row r="735" spans="3:3" ht="15" x14ac:dyDescent="0.2">
      <c r="C735" s="712" t="s">
        <v>943</v>
      </c>
    </row>
    <row r="736" spans="3:3" ht="15" x14ac:dyDescent="0.2">
      <c r="C736" s="712" t="s">
        <v>944</v>
      </c>
    </row>
    <row r="737" spans="3:3" ht="15" x14ac:dyDescent="0.2">
      <c r="C737" s="712" t="s">
        <v>876</v>
      </c>
    </row>
    <row r="739" spans="3:3" ht="15" x14ac:dyDescent="0.2">
      <c r="C739" s="712" t="s">
        <v>2105</v>
      </c>
    </row>
    <row r="740" spans="3:3" ht="15" x14ac:dyDescent="0.2">
      <c r="C740" s="712" t="s">
        <v>930</v>
      </c>
    </row>
    <row r="741" spans="3:3" ht="15" x14ac:dyDescent="0.2">
      <c r="C741" s="712" t="s">
        <v>931</v>
      </c>
    </row>
    <row r="742" spans="3:3" ht="15" x14ac:dyDescent="0.2">
      <c r="C742" s="712" t="s">
        <v>2106</v>
      </c>
    </row>
    <row r="743" spans="3:3" ht="15" x14ac:dyDescent="0.2">
      <c r="C743" s="712" t="s">
        <v>933</v>
      </c>
    </row>
    <row r="744" spans="3:3" ht="15" x14ac:dyDescent="0.2">
      <c r="C744" s="712" t="s">
        <v>2107</v>
      </c>
    </row>
    <row r="745" spans="3:3" ht="15" x14ac:dyDescent="0.2">
      <c r="C745" s="712" t="s">
        <v>935</v>
      </c>
    </row>
    <row r="746" spans="3:3" ht="15" x14ac:dyDescent="0.2">
      <c r="C746" s="712" t="s">
        <v>2108</v>
      </c>
    </row>
    <row r="747" spans="3:3" ht="15" x14ac:dyDescent="0.2">
      <c r="C747" s="712" t="s">
        <v>876</v>
      </c>
    </row>
    <row r="749" spans="3:3" ht="15" x14ac:dyDescent="0.2">
      <c r="C749" s="712" t="s">
        <v>2109</v>
      </c>
    </row>
    <row r="750" spans="3:3" ht="15" x14ac:dyDescent="0.2">
      <c r="C750" s="712" t="s">
        <v>2110</v>
      </c>
    </row>
    <row r="752" spans="3:3" ht="15" x14ac:dyDescent="0.2">
      <c r="C752" s="712" t="s">
        <v>930</v>
      </c>
    </row>
    <row r="753" spans="3:3" ht="15" x14ac:dyDescent="0.2">
      <c r="C753" s="712" t="s">
        <v>2111</v>
      </c>
    </row>
    <row r="754" spans="3:3" ht="15" x14ac:dyDescent="0.2">
      <c r="C754" s="712" t="s">
        <v>2112</v>
      </c>
    </row>
    <row r="755" spans="3:3" ht="15" x14ac:dyDescent="0.2">
      <c r="C755" s="712" t="s">
        <v>933</v>
      </c>
    </row>
    <row r="756" spans="3:3" ht="15" x14ac:dyDescent="0.2">
      <c r="C756" s="712" t="s">
        <v>941</v>
      </c>
    </row>
    <row r="757" spans="3:3" ht="15" x14ac:dyDescent="0.2">
      <c r="C757" s="712" t="s">
        <v>942</v>
      </c>
    </row>
    <row r="758" spans="3:3" ht="15" x14ac:dyDescent="0.2">
      <c r="C758" s="712" t="s">
        <v>1110</v>
      </c>
    </row>
    <row r="759" spans="3:3" ht="15" x14ac:dyDescent="0.2">
      <c r="C759" s="712" t="s">
        <v>943</v>
      </c>
    </row>
    <row r="760" spans="3:3" ht="15" x14ac:dyDescent="0.2">
      <c r="C760" s="712" t="s">
        <v>944</v>
      </c>
    </row>
    <row r="761" spans="3:3" ht="15" x14ac:dyDescent="0.2">
      <c r="C761" s="712" t="s">
        <v>876</v>
      </c>
    </row>
    <row r="763" spans="3:3" ht="15" x14ac:dyDescent="0.2">
      <c r="C763" s="712" t="s">
        <v>930</v>
      </c>
    </row>
    <row r="764" spans="3:3" ht="15" x14ac:dyDescent="0.2">
      <c r="C764" s="712" t="s">
        <v>931</v>
      </c>
    </row>
    <row r="765" spans="3:3" ht="15" x14ac:dyDescent="0.2">
      <c r="C765" s="712" t="s">
        <v>2113</v>
      </c>
    </row>
    <row r="766" spans="3:3" ht="15" x14ac:dyDescent="0.2">
      <c r="C766" s="712" t="s">
        <v>933</v>
      </c>
    </row>
    <row r="767" spans="3:3" ht="15" x14ac:dyDescent="0.2">
      <c r="C767" s="712" t="s">
        <v>2114</v>
      </c>
    </row>
    <row r="768" spans="3:3" ht="15" x14ac:dyDescent="0.2">
      <c r="C768" s="712" t="s">
        <v>935</v>
      </c>
    </row>
    <row r="769" spans="3:3" ht="15" x14ac:dyDescent="0.2">
      <c r="C769" s="712" t="s">
        <v>2108</v>
      </c>
    </row>
    <row r="770" spans="3:3" ht="15" x14ac:dyDescent="0.2">
      <c r="C770" s="712" t="s">
        <v>876</v>
      </c>
    </row>
    <row r="772" spans="3:3" ht="15" x14ac:dyDescent="0.2">
      <c r="C772" s="712" t="s">
        <v>2115</v>
      </c>
    </row>
    <row r="773" spans="3:3" ht="15" x14ac:dyDescent="0.2">
      <c r="C773" s="712" t="s">
        <v>2116</v>
      </c>
    </row>
    <row r="775" spans="3:3" ht="15" x14ac:dyDescent="0.2">
      <c r="C775" s="712" t="s">
        <v>930</v>
      </c>
    </row>
    <row r="776" spans="3:3" ht="15" x14ac:dyDescent="0.2">
      <c r="C776" s="712" t="s">
        <v>2117</v>
      </c>
    </row>
    <row r="777" spans="3:3" ht="15" x14ac:dyDescent="0.2">
      <c r="C777" s="712" t="s">
        <v>2118</v>
      </c>
    </row>
    <row r="778" spans="3:3" ht="15" x14ac:dyDescent="0.2">
      <c r="C778" s="712" t="s">
        <v>933</v>
      </c>
    </row>
    <row r="779" spans="3:3" ht="15" x14ac:dyDescent="0.2">
      <c r="C779" s="712" t="s">
        <v>941</v>
      </c>
    </row>
    <row r="780" spans="3:3" ht="15" x14ac:dyDescent="0.2">
      <c r="C780" s="712" t="s">
        <v>942</v>
      </c>
    </row>
    <row r="781" spans="3:3" ht="15" x14ac:dyDescent="0.2">
      <c r="C781" s="712" t="s">
        <v>1110</v>
      </c>
    </row>
    <row r="782" spans="3:3" ht="15" x14ac:dyDescent="0.2">
      <c r="C782" s="712" t="s">
        <v>943</v>
      </c>
    </row>
    <row r="783" spans="3:3" ht="15" x14ac:dyDescent="0.2">
      <c r="C783" s="712" t="s">
        <v>944</v>
      </c>
    </row>
    <row r="784" spans="3:3" ht="15" x14ac:dyDescent="0.2">
      <c r="C784" s="712" t="s">
        <v>1002</v>
      </c>
    </row>
    <row r="786" spans="3:3" ht="15" x14ac:dyDescent="0.2">
      <c r="C786" s="712" t="s">
        <v>2119</v>
      </c>
    </row>
    <row r="787" spans="3:3" ht="15" x14ac:dyDescent="0.2">
      <c r="C787" s="712" t="s">
        <v>1091</v>
      </c>
    </row>
    <row r="788" spans="3:3" ht="15" x14ac:dyDescent="0.2">
      <c r="C788" s="712" t="s">
        <v>1092</v>
      </c>
    </row>
    <row r="789" spans="3:3" ht="15" x14ac:dyDescent="0.2">
      <c r="C789" s="712" t="s">
        <v>2075</v>
      </c>
    </row>
    <row r="791" spans="3:3" ht="15" x14ac:dyDescent="0.2">
      <c r="C791" s="712" t="s">
        <v>1112</v>
      </c>
    </row>
    <row r="792" spans="3:3" ht="15" x14ac:dyDescent="0.2">
      <c r="C792" s="712" t="s">
        <v>1113</v>
      </c>
    </row>
    <row r="794" spans="3:3" ht="15" x14ac:dyDescent="0.2">
      <c r="C794" s="712" t="s">
        <v>2120</v>
      </c>
    </row>
    <row r="795" spans="3:3" ht="15" x14ac:dyDescent="0.2">
      <c r="C795" s="712" t="s">
        <v>1115</v>
      </c>
    </row>
    <row r="796" spans="3:3" ht="15" x14ac:dyDescent="0.2">
      <c r="C796" s="712" t="s">
        <v>1116</v>
      </c>
    </row>
    <row r="798" spans="3:3" ht="15" x14ac:dyDescent="0.2">
      <c r="C798" s="712" t="s">
        <v>1117</v>
      </c>
    </row>
    <row r="800" spans="3:3" ht="15" x14ac:dyDescent="0.2">
      <c r="C800" s="712" t="s">
        <v>930</v>
      </c>
    </row>
    <row r="801" spans="3:3" ht="15" x14ac:dyDescent="0.2">
      <c r="C801" s="712" t="s">
        <v>931</v>
      </c>
    </row>
    <row r="802" spans="3:3" ht="15" x14ac:dyDescent="0.2">
      <c r="C802" s="712" t="s">
        <v>1118</v>
      </c>
    </row>
    <row r="803" spans="3:3" ht="15" x14ac:dyDescent="0.2">
      <c r="C803" s="712" t="s">
        <v>933</v>
      </c>
    </row>
    <row r="804" spans="3:3" ht="15" x14ac:dyDescent="0.2">
      <c r="C804" s="712" t="s">
        <v>1119</v>
      </c>
    </row>
    <row r="805" spans="3:3" ht="15" x14ac:dyDescent="0.2">
      <c r="C805" s="712" t="s">
        <v>935</v>
      </c>
    </row>
    <row r="806" spans="3:3" ht="15" x14ac:dyDescent="0.2">
      <c r="C806" s="712" t="s">
        <v>1120</v>
      </c>
    </row>
    <row r="807" spans="3:3" ht="15" x14ac:dyDescent="0.2">
      <c r="C807" s="712" t="s">
        <v>876</v>
      </c>
    </row>
    <row r="809" spans="3:3" ht="15" x14ac:dyDescent="0.2">
      <c r="C809" s="712" t="s">
        <v>930</v>
      </c>
    </row>
    <row r="810" spans="3:3" ht="15" x14ac:dyDescent="0.2">
      <c r="C810" s="712" t="s">
        <v>931</v>
      </c>
    </row>
    <row r="811" spans="3:3" ht="15" x14ac:dyDescent="0.2">
      <c r="C811" s="712" t="s">
        <v>1121</v>
      </c>
    </row>
    <row r="812" spans="3:3" ht="15" x14ac:dyDescent="0.2">
      <c r="C812" s="712" t="s">
        <v>933</v>
      </c>
    </row>
    <row r="813" spans="3:3" ht="15" x14ac:dyDescent="0.2">
      <c r="C813" s="712" t="s">
        <v>1122</v>
      </c>
    </row>
    <row r="814" spans="3:3" ht="15" x14ac:dyDescent="0.2">
      <c r="C814" s="712" t="s">
        <v>935</v>
      </c>
    </row>
    <row r="815" spans="3:3" ht="15" x14ac:dyDescent="0.2">
      <c r="C815" s="712" t="s">
        <v>1120</v>
      </c>
    </row>
    <row r="816" spans="3:3" ht="15" x14ac:dyDescent="0.2">
      <c r="C816" s="712" t="s">
        <v>876</v>
      </c>
    </row>
    <row r="818" spans="3:3" ht="15" x14ac:dyDescent="0.2">
      <c r="C818" s="712" t="s">
        <v>2121</v>
      </c>
    </row>
    <row r="819" spans="3:3" ht="15" x14ac:dyDescent="0.2">
      <c r="C819" s="712" t="s">
        <v>2122</v>
      </c>
    </row>
    <row r="821" spans="3:3" ht="15" x14ac:dyDescent="0.2">
      <c r="C821" s="712" t="s">
        <v>930</v>
      </c>
    </row>
    <row r="822" spans="3:3" ht="15" x14ac:dyDescent="0.2">
      <c r="C822" s="712" t="s">
        <v>2123</v>
      </c>
    </row>
    <row r="823" spans="3:3" ht="15" x14ac:dyDescent="0.2">
      <c r="C823" s="712" t="s">
        <v>2124</v>
      </c>
    </row>
    <row r="824" spans="3:3" ht="15" x14ac:dyDescent="0.2">
      <c r="C824" s="712" t="s">
        <v>933</v>
      </c>
    </row>
    <row r="825" spans="3:3" ht="15" x14ac:dyDescent="0.2">
      <c r="C825" s="712" t="s">
        <v>941</v>
      </c>
    </row>
    <row r="826" spans="3:3" ht="15" x14ac:dyDescent="0.2">
      <c r="C826" s="712" t="s">
        <v>942</v>
      </c>
    </row>
    <row r="827" spans="3:3" ht="15" x14ac:dyDescent="0.2">
      <c r="C827" s="712" t="s">
        <v>1110</v>
      </c>
    </row>
    <row r="828" spans="3:3" ht="15" x14ac:dyDescent="0.2">
      <c r="C828" s="712" t="s">
        <v>986</v>
      </c>
    </row>
    <row r="829" spans="3:3" ht="15" x14ac:dyDescent="0.2">
      <c r="C829" s="712" t="s">
        <v>944</v>
      </c>
    </row>
    <row r="830" spans="3:3" ht="15" x14ac:dyDescent="0.2">
      <c r="C830" s="712" t="s">
        <v>876</v>
      </c>
    </row>
    <row r="832" spans="3:3" ht="15" x14ac:dyDescent="0.2">
      <c r="C832" s="712" t="s">
        <v>2125</v>
      </c>
    </row>
    <row r="833" spans="3:3" ht="15" x14ac:dyDescent="0.2">
      <c r="C833" s="712" t="s">
        <v>930</v>
      </c>
    </row>
    <row r="834" spans="3:3" ht="15" x14ac:dyDescent="0.2">
      <c r="C834" s="712" t="s">
        <v>931</v>
      </c>
    </row>
    <row r="835" spans="3:3" ht="15" x14ac:dyDescent="0.2">
      <c r="C835" s="712" t="s">
        <v>2126</v>
      </c>
    </row>
    <row r="836" spans="3:3" ht="15" x14ac:dyDescent="0.2">
      <c r="C836" s="712" t="s">
        <v>933</v>
      </c>
    </row>
    <row r="837" spans="3:3" ht="15" x14ac:dyDescent="0.2">
      <c r="C837" s="712" t="s">
        <v>2127</v>
      </c>
    </row>
    <row r="838" spans="3:3" ht="15" x14ac:dyDescent="0.2">
      <c r="C838" s="712" t="s">
        <v>935</v>
      </c>
    </row>
    <row r="839" spans="3:3" ht="15" x14ac:dyDescent="0.2">
      <c r="C839" s="712" t="s">
        <v>936</v>
      </c>
    </row>
    <row r="840" spans="3:3" ht="15" x14ac:dyDescent="0.2">
      <c r="C840" s="712" t="s">
        <v>876</v>
      </c>
    </row>
    <row r="842" spans="3:3" ht="15" x14ac:dyDescent="0.2">
      <c r="C842" s="712" t="s">
        <v>930</v>
      </c>
    </row>
    <row r="843" spans="3:3" ht="15" x14ac:dyDescent="0.2">
      <c r="C843" s="712" t="s">
        <v>2128</v>
      </c>
    </row>
    <row r="844" spans="3:3" ht="15" x14ac:dyDescent="0.2">
      <c r="C844" s="712" t="s">
        <v>2129</v>
      </c>
    </row>
    <row r="845" spans="3:3" ht="15" x14ac:dyDescent="0.2">
      <c r="C845" s="712" t="s">
        <v>933</v>
      </c>
    </row>
    <row r="846" spans="3:3" ht="15" x14ac:dyDescent="0.2">
      <c r="C846" s="712" t="s">
        <v>1263</v>
      </c>
    </row>
    <row r="847" spans="3:3" ht="15" x14ac:dyDescent="0.2">
      <c r="C847" s="712" t="s">
        <v>942</v>
      </c>
    </row>
    <row r="848" spans="3:3" ht="15" x14ac:dyDescent="0.2">
      <c r="C848" s="712" t="s">
        <v>986</v>
      </c>
    </row>
    <row r="849" spans="3:3" ht="15" x14ac:dyDescent="0.2">
      <c r="C849" s="712" t="s">
        <v>944</v>
      </c>
    </row>
    <row r="850" spans="3:3" ht="15" x14ac:dyDescent="0.2">
      <c r="C850" s="712" t="s">
        <v>876</v>
      </c>
    </row>
    <row r="852" spans="3:3" ht="15" x14ac:dyDescent="0.2">
      <c r="C852" s="712" t="s">
        <v>2130</v>
      </c>
    </row>
    <row r="853" spans="3:3" ht="15" x14ac:dyDescent="0.2">
      <c r="C853" s="712" t="s">
        <v>2131</v>
      </c>
    </row>
    <row r="855" spans="3:3" ht="15" x14ac:dyDescent="0.2">
      <c r="C855" s="712" t="s">
        <v>1009</v>
      </c>
    </row>
    <row r="856" spans="3:3" ht="15" x14ac:dyDescent="0.2">
      <c r="C856" s="712" t="s">
        <v>1010</v>
      </c>
    </row>
    <row r="857" spans="3:3" ht="15" x14ac:dyDescent="0.2">
      <c r="C857" s="712" t="s">
        <v>1011</v>
      </c>
    </row>
    <row r="859" spans="3:3" ht="15" x14ac:dyDescent="0.2">
      <c r="C859" s="712" t="s">
        <v>2132</v>
      </c>
    </row>
    <row r="860" spans="3:3" ht="15" x14ac:dyDescent="0.2">
      <c r="C860" s="712" t="s">
        <v>1013</v>
      </c>
    </row>
    <row r="861" spans="3:3" ht="15" x14ac:dyDescent="0.2">
      <c r="C861" s="712" t="s">
        <v>1014</v>
      </c>
    </row>
    <row r="862" spans="3:3" ht="15" x14ac:dyDescent="0.2">
      <c r="C862" s="712" t="s">
        <v>2133</v>
      </c>
    </row>
    <row r="863" spans="3:3" ht="15" x14ac:dyDescent="0.2">
      <c r="C863" s="712" t="s">
        <v>1016</v>
      </c>
    </row>
    <row r="864" spans="3:3" ht="15" x14ac:dyDescent="0.2">
      <c r="C864" s="712" t="s">
        <v>2134</v>
      </c>
    </row>
    <row r="865" spans="3:3" ht="15" x14ac:dyDescent="0.2">
      <c r="C865" s="712" t="s">
        <v>1018</v>
      </c>
    </row>
    <row r="866" spans="3:3" ht="15" x14ac:dyDescent="0.2">
      <c r="C866" s="712" t="s">
        <v>1019</v>
      </c>
    </row>
    <row r="867" spans="3:3" ht="15" x14ac:dyDescent="0.2">
      <c r="C867" s="712" t="s">
        <v>1020</v>
      </c>
    </row>
    <row r="869" spans="3:3" ht="15" x14ac:dyDescent="0.2">
      <c r="C869" s="712" t="s">
        <v>2135</v>
      </c>
    </row>
    <row r="870" spans="3:3" ht="15" x14ac:dyDescent="0.2">
      <c r="C870" s="712" t="s">
        <v>2136</v>
      </c>
    </row>
    <row r="872" spans="3:3" ht="15" x14ac:dyDescent="0.2">
      <c r="C872" s="712" t="s">
        <v>1013</v>
      </c>
    </row>
    <row r="873" spans="3:3" ht="15" x14ac:dyDescent="0.2">
      <c r="C873" s="712" t="s">
        <v>1023</v>
      </c>
    </row>
    <row r="874" spans="3:3" ht="15" x14ac:dyDescent="0.2">
      <c r="C874" s="712" t="s">
        <v>2137</v>
      </c>
    </row>
    <row r="875" spans="3:3" ht="15" x14ac:dyDescent="0.2">
      <c r="C875" s="712" t="s">
        <v>1016</v>
      </c>
    </row>
    <row r="876" spans="3:3" ht="15" x14ac:dyDescent="0.2">
      <c r="C876" s="712" t="s">
        <v>1025</v>
      </c>
    </row>
    <row r="877" spans="3:3" ht="15" x14ac:dyDescent="0.2">
      <c r="C877" s="712" t="s">
        <v>1026</v>
      </c>
    </row>
    <row r="878" spans="3:3" ht="15" x14ac:dyDescent="0.2">
      <c r="C878" s="712" t="s">
        <v>1027</v>
      </c>
    </row>
    <row r="879" spans="3:3" ht="15" x14ac:dyDescent="0.2">
      <c r="C879" s="712" t="s">
        <v>1028</v>
      </c>
    </row>
    <row r="880" spans="3:3" ht="15" x14ac:dyDescent="0.2">
      <c r="C880" s="712" t="s">
        <v>1029</v>
      </c>
    </row>
    <row r="882" spans="3:3" ht="15" x14ac:dyDescent="0.2">
      <c r="C882" s="712" t="s">
        <v>1030</v>
      </c>
    </row>
    <row r="883" spans="3:3" ht="15" x14ac:dyDescent="0.2">
      <c r="C883" s="712" t="s">
        <v>1013</v>
      </c>
    </row>
    <row r="884" spans="3:3" ht="15" x14ac:dyDescent="0.2">
      <c r="C884" s="712" t="s">
        <v>1014</v>
      </c>
    </row>
    <row r="885" spans="3:3" ht="15" x14ac:dyDescent="0.2">
      <c r="C885" s="712" t="s">
        <v>2138</v>
      </c>
    </row>
    <row r="886" spans="3:3" ht="15" x14ac:dyDescent="0.2">
      <c r="C886" s="712" t="s">
        <v>1016</v>
      </c>
    </row>
    <row r="887" spans="3:3" ht="15" x14ac:dyDescent="0.2">
      <c r="C887" s="712" t="s">
        <v>2139</v>
      </c>
    </row>
    <row r="888" spans="3:3" ht="15" x14ac:dyDescent="0.2">
      <c r="C888" s="712" t="s">
        <v>1018</v>
      </c>
    </row>
    <row r="889" spans="3:3" ht="15" x14ac:dyDescent="0.2">
      <c r="C889" s="712" t="s">
        <v>1033</v>
      </c>
    </row>
    <row r="890" spans="3:3" ht="15" x14ac:dyDescent="0.2">
      <c r="C890" s="712" t="s">
        <v>1020</v>
      </c>
    </row>
    <row r="892" spans="3:3" ht="15" x14ac:dyDescent="0.2">
      <c r="C892" s="712" t="s">
        <v>1013</v>
      </c>
    </row>
    <row r="893" spans="3:3" ht="15" x14ac:dyDescent="0.2">
      <c r="C893" s="712" t="s">
        <v>1014</v>
      </c>
    </row>
    <row r="894" spans="3:3" ht="15" x14ac:dyDescent="0.2">
      <c r="C894" s="712" t="s">
        <v>2140</v>
      </c>
    </row>
    <row r="895" spans="3:3" ht="15" x14ac:dyDescent="0.2">
      <c r="C895" s="712" t="s">
        <v>1016</v>
      </c>
    </row>
    <row r="896" spans="3:3" ht="15" x14ac:dyDescent="0.2">
      <c r="C896" s="712" t="s">
        <v>2141</v>
      </c>
    </row>
    <row r="897" spans="3:3" ht="15" x14ac:dyDescent="0.2">
      <c r="C897" s="712" t="s">
        <v>1018</v>
      </c>
    </row>
    <row r="898" spans="3:3" ht="15" x14ac:dyDescent="0.2">
      <c r="C898" s="712" t="s">
        <v>1033</v>
      </c>
    </row>
    <row r="899" spans="3:3" ht="15" x14ac:dyDescent="0.2">
      <c r="C899" s="712" t="s">
        <v>1020</v>
      </c>
    </row>
    <row r="901" spans="3:3" ht="15" x14ac:dyDescent="0.2">
      <c r="C901" s="712" t="s">
        <v>2142</v>
      </c>
    </row>
    <row r="903" spans="3:3" ht="15" x14ac:dyDescent="0.2">
      <c r="C903" s="712" t="s">
        <v>1013</v>
      </c>
    </row>
    <row r="904" spans="3:3" ht="15" x14ac:dyDescent="0.2">
      <c r="C904" s="712" t="s">
        <v>1037</v>
      </c>
    </row>
    <row r="905" spans="3:3" ht="15" x14ac:dyDescent="0.2">
      <c r="C905" s="712" t="s">
        <v>2143</v>
      </c>
    </row>
    <row r="906" spans="3:3" ht="15" x14ac:dyDescent="0.2">
      <c r="C906" s="712" t="s">
        <v>1016</v>
      </c>
    </row>
    <row r="907" spans="3:3" ht="15" x14ac:dyDescent="0.2">
      <c r="C907" s="712" t="s">
        <v>1025</v>
      </c>
    </row>
    <row r="908" spans="3:3" ht="15" x14ac:dyDescent="0.2">
      <c r="C908" s="712" t="s">
        <v>1026</v>
      </c>
    </row>
    <row r="909" spans="3:3" ht="15" x14ac:dyDescent="0.2">
      <c r="C909" s="712" t="s">
        <v>1027</v>
      </c>
    </row>
    <row r="910" spans="3:3" ht="15" x14ac:dyDescent="0.2">
      <c r="C910" s="712" t="s">
        <v>1028</v>
      </c>
    </row>
    <row r="911" spans="3:3" ht="15" x14ac:dyDescent="0.2">
      <c r="C911" s="712" t="s">
        <v>1029</v>
      </c>
    </row>
    <row r="913" spans="3:3" ht="15" x14ac:dyDescent="0.2">
      <c r="C913" s="712" t="s">
        <v>1039</v>
      </c>
    </row>
    <row r="914" spans="3:3" ht="15" x14ac:dyDescent="0.2">
      <c r="C914" s="712" t="s">
        <v>1013</v>
      </c>
    </row>
    <row r="915" spans="3:3" ht="15" x14ac:dyDescent="0.2">
      <c r="C915" s="712" t="s">
        <v>1014</v>
      </c>
    </row>
    <row r="916" spans="3:3" ht="15" x14ac:dyDescent="0.2">
      <c r="C916" s="712" t="s">
        <v>2144</v>
      </c>
    </row>
    <row r="917" spans="3:3" ht="15" x14ac:dyDescent="0.2">
      <c r="C917" s="712" t="s">
        <v>1016</v>
      </c>
    </row>
    <row r="918" spans="3:3" ht="15" x14ac:dyDescent="0.2">
      <c r="C918" s="712" t="s">
        <v>2145</v>
      </c>
    </row>
    <row r="919" spans="3:3" ht="15" x14ac:dyDescent="0.2">
      <c r="C919" s="712" t="s">
        <v>1018</v>
      </c>
    </row>
    <row r="920" spans="3:3" ht="15" x14ac:dyDescent="0.2">
      <c r="C920" s="712" t="s">
        <v>1027</v>
      </c>
    </row>
    <row r="921" spans="3:3" ht="15" x14ac:dyDescent="0.2">
      <c r="C921" s="712" t="s">
        <v>2146</v>
      </c>
    </row>
    <row r="922" spans="3:3" ht="15" x14ac:dyDescent="0.2">
      <c r="C922" s="712" t="s">
        <v>1020</v>
      </c>
    </row>
    <row r="924" spans="3:3" ht="15" x14ac:dyDescent="0.2">
      <c r="C924" s="712" t="s">
        <v>2147</v>
      </c>
    </row>
    <row r="925" spans="3:3" ht="15" x14ac:dyDescent="0.2">
      <c r="C925" s="712" t="s">
        <v>2148</v>
      </c>
    </row>
    <row r="927" spans="3:3" ht="15" x14ac:dyDescent="0.2">
      <c r="C927" s="712" t="s">
        <v>1013</v>
      </c>
    </row>
    <row r="928" spans="3:3" ht="15" x14ac:dyDescent="0.2">
      <c r="C928" s="712" t="s">
        <v>2149</v>
      </c>
    </row>
    <row r="929" spans="3:3" ht="15" x14ac:dyDescent="0.2">
      <c r="C929" s="712" t="s">
        <v>2150</v>
      </c>
    </row>
    <row r="930" spans="3:3" ht="15" x14ac:dyDescent="0.2">
      <c r="C930" s="712" t="s">
        <v>1016</v>
      </c>
    </row>
    <row r="931" spans="3:3" ht="15" x14ac:dyDescent="0.2">
      <c r="C931" s="712" t="s">
        <v>2151</v>
      </c>
    </row>
    <row r="932" spans="3:3" ht="15" x14ac:dyDescent="0.2">
      <c r="C932" s="712" t="s">
        <v>1026</v>
      </c>
    </row>
    <row r="933" spans="3:3" ht="15" x14ac:dyDescent="0.2">
      <c r="C933" s="712" t="s">
        <v>1027</v>
      </c>
    </row>
    <row r="934" spans="3:3" ht="15" x14ac:dyDescent="0.2">
      <c r="C934" s="712" t="s">
        <v>1028</v>
      </c>
    </row>
    <row r="935" spans="3:3" ht="15" x14ac:dyDescent="0.2">
      <c r="C935" s="712" t="s">
        <v>1029</v>
      </c>
    </row>
    <row r="937" spans="3:3" ht="15" x14ac:dyDescent="0.2">
      <c r="C937" s="712" t="s">
        <v>872</v>
      </c>
    </row>
    <row r="938" spans="3:3" ht="15" x14ac:dyDescent="0.2">
      <c r="C938" s="712" t="s">
        <v>2152</v>
      </c>
    </row>
    <row r="939" spans="3:3" ht="15" x14ac:dyDescent="0.2">
      <c r="C939" s="712" t="s">
        <v>2153</v>
      </c>
    </row>
    <row r="941" spans="3:3" ht="15" x14ac:dyDescent="0.2">
      <c r="C941" s="712" t="s">
        <v>1048</v>
      </c>
    </row>
    <row r="942" spans="3:3" ht="15" x14ac:dyDescent="0.2">
      <c r="C942" s="712" t="s">
        <v>1049</v>
      </c>
    </row>
    <row r="943" spans="3:3" ht="15" x14ac:dyDescent="0.2">
      <c r="C943" s="712" t="s">
        <v>1050</v>
      </c>
    </row>
    <row r="945" spans="3:3" ht="15" x14ac:dyDescent="0.2">
      <c r="C945" s="712" t="s">
        <v>1051</v>
      </c>
    </row>
    <row r="946" spans="3:3" ht="15" x14ac:dyDescent="0.2">
      <c r="C946" s="712" t="s">
        <v>1052</v>
      </c>
    </row>
    <row r="947" spans="3:3" ht="15" x14ac:dyDescent="0.2">
      <c r="C947" s="712" t="s">
        <v>1053</v>
      </c>
    </row>
    <row r="948" spans="3:3" ht="15" x14ac:dyDescent="0.2">
      <c r="C948" s="712" t="s">
        <v>1054</v>
      </c>
    </row>
    <row r="950" spans="3:3" ht="15" x14ac:dyDescent="0.2">
      <c r="C950" s="712" t="s">
        <v>1055</v>
      </c>
    </row>
    <row r="951" spans="3:3" x14ac:dyDescent="0.2">
      <c r="C951" s="714" t="s">
        <v>1056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CONCATENATE("_figures\",Results!C39,".png")</f>
        <v>_figures\Cont1.png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Results!C39,".py")</f>
        <v>_figures\Cont1.py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1663</v>
      </c>
      <c r="C10" s="712" t="s">
        <v>524</v>
      </c>
    </row>
    <row r="11" spans="1:4" ht="14.25" thickTop="1" thickBot="1" x14ac:dyDescent="0.25">
      <c r="A11" s="713" t="str">
        <f>_xlfn.CONCAT(Results!C39,".sim")</f>
        <v>Cont1.sim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Results!$C$48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r'Cont1.sim'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r'_figures\Cont1.png'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CONCATENATE("_figures\",Results!C40,".png")</f>
        <v>_figures\Cont2.png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Results!C40,".py")</f>
        <v>_figures\Cont2.py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1784</v>
      </c>
      <c r="C10" s="712" t="s">
        <v>524</v>
      </c>
    </row>
    <row r="11" spans="1:4" ht="14.25" thickTop="1" thickBot="1" x14ac:dyDescent="0.25">
      <c r="A11" s="713" t="str">
        <f>_xlfn.CONCAT(Results!C40,".sim")</f>
        <v>Cont2.sim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Results!$C$49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r'Cont2.sim'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r'_figures\Cont2.png'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8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1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>
      <c r="C3" s="193"/>
    </row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CONCATENATE("_figures\",Results!$C$31,".png")</f>
        <v>_figures\Estatico.png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Results!$C$31,".py")</f>
        <v>_figures\Estatico.py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Results!C46</f>
        <v>24</v>
      </c>
      <c r="C11" s="192" t="s">
        <v>524</v>
      </c>
    </row>
    <row r="12" spans="1:3" ht="13.5" thickBot="1" x14ac:dyDescent="0.25">
      <c r="C12" s="193"/>
    </row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7" spans="1:3" ht="13.5" thickBot="1" x14ac:dyDescent="0.25">
      <c r="C17" s="193"/>
    </row>
    <row r="18" spans="1:3" ht="15.75" thickBot="1" x14ac:dyDescent="0.25">
      <c r="A18" s="194" t="s">
        <v>530</v>
      </c>
      <c r="C18" s="192" t="s">
        <v>529</v>
      </c>
    </row>
    <row r="19" spans="1:3" ht="16.5" thickTop="1" thickBot="1" x14ac:dyDescent="0.25">
      <c r="A19" s="604" t="str">
        <f>IF(COUNTBLANK(Results!C26:C28)&lt;3,  "True", "False")</f>
        <v>False</v>
      </c>
      <c r="B19" s="196"/>
      <c r="C19" s="192" t="str">
        <f>_xlfn.CONCAT("pngname = r'",$A$5,"'")</f>
        <v>pngname = r'_figures\Estatico.png'</v>
      </c>
    </row>
    <row r="20" spans="1:3" x14ac:dyDescent="0.2">
      <c r="C20" s="193"/>
    </row>
    <row r="21" spans="1:3" ht="15" x14ac:dyDescent="0.2">
      <c r="C21" s="192" t="s">
        <v>531</v>
      </c>
    </row>
    <row r="22" spans="1:3" x14ac:dyDescent="0.2">
      <c r="C22" s="193"/>
    </row>
    <row r="23" spans="1:3" ht="15" x14ac:dyDescent="0.2">
      <c r="C23" s="192" t="s">
        <v>532</v>
      </c>
    </row>
    <row r="24" spans="1:3" ht="15" x14ac:dyDescent="0.2">
      <c r="C24" s="192" t="s">
        <v>533</v>
      </c>
    </row>
    <row r="25" spans="1:3" ht="15" x14ac:dyDescent="0.2">
      <c r="C25" s="192" t="s">
        <v>534</v>
      </c>
    </row>
    <row r="26" spans="1:3" x14ac:dyDescent="0.2">
      <c r="C26" s="193"/>
    </row>
    <row r="27" spans="1:3" ht="15" x14ac:dyDescent="0.2">
      <c r="C27" s="192" t="s">
        <v>535</v>
      </c>
    </row>
    <row r="28" spans="1:3" ht="15" x14ac:dyDescent="0.2">
      <c r="C28" s="192" t="s">
        <v>536</v>
      </c>
    </row>
    <row r="29" spans="1:3" ht="15" x14ac:dyDescent="0.2">
      <c r="C29" s="192" t="s">
        <v>537</v>
      </c>
    </row>
    <row r="30" spans="1:3" ht="15" x14ac:dyDescent="0.2">
      <c r="C30" s="192" t="s">
        <v>538</v>
      </c>
    </row>
    <row r="31" spans="1:3" ht="15" x14ac:dyDescent="0.2">
      <c r="C31" s="192" t="s">
        <v>539</v>
      </c>
    </row>
    <row r="32" spans="1:3" x14ac:dyDescent="0.2">
      <c r="C32" s="193"/>
    </row>
    <row r="33" spans="3:3" ht="15" x14ac:dyDescent="0.2">
      <c r="C33" s="192" t="s">
        <v>540</v>
      </c>
    </row>
    <row r="34" spans="3:3" ht="15" x14ac:dyDescent="0.2">
      <c r="C34" s="192" t="s">
        <v>541</v>
      </c>
    </row>
    <row r="35" spans="3:3" x14ac:dyDescent="0.2">
      <c r="C35" s="193"/>
    </row>
    <row r="36" spans="3:3" ht="15" x14ac:dyDescent="0.2">
      <c r="C36" s="192" t="s">
        <v>542</v>
      </c>
    </row>
    <row r="37" spans="3:3" ht="15" x14ac:dyDescent="0.2">
      <c r="C37" s="192" t="s">
        <v>543</v>
      </c>
    </row>
    <row r="38" spans="3:3" x14ac:dyDescent="0.2">
      <c r="C38" s="193"/>
    </row>
    <row r="39" spans="3:3" ht="15" x14ac:dyDescent="0.2">
      <c r="C39" s="192" t="s">
        <v>544</v>
      </c>
    </row>
    <row r="40" spans="3:3" ht="15" x14ac:dyDescent="0.2">
      <c r="C40" s="192" t="s">
        <v>545</v>
      </c>
    </row>
    <row r="41" spans="3:3" x14ac:dyDescent="0.2">
      <c r="C41" s="193"/>
    </row>
    <row r="42" spans="3:3" ht="15" x14ac:dyDescent="0.2">
      <c r="C42" s="192" t="s">
        <v>546</v>
      </c>
    </row>
    <row r="43" spans="3:3" ht="15" x14ac:dyDescent="0.2">
      <c r="C43" s="192" t="s">
        <v>547</v>
      </c>
    </row>
    <row r="44" spans="3:3" x14ac:dyDescent="0.2">
      <c r="C44" s="193"/>
    </row>
    <row r="45" spans="3:3" ht="15" x14ac:dyDescent="0.2">
      <c r="C45" s="192" t="s">
        <v>548</v>
      </c>
    </row>
    <row r="46" spans="3:3" ht="15" x14ac:dyDescent="0.2">
      <c r="C46" s="192" t="s">
        <v>549</v>
      </c>
    </row>
    <row r="47" spans="3:3" x14ac:dyDescent="0.2">
      <c r="C47" s="193"/>
    </row>
    <row r="48" spans="3:3" ht="15" x14ac:dyDescent="0.2">
      <c r="C48" s="192" t="s">
        <v>550</v>
      </c>
    </row>
    <row r="49" spans="3:3" ht="15" x14ac:dyDescent="0.2">
      <c r="C49" s="192" t="s">
        <v>551</v>
      </c>
    </row>
    <row r="50" spans="3:3" x14ac:dyDescent="0.2">
      <c r="C50" s="193"/>
    </row>
    <row r="51" spans="3:3" ht="15" x14ac:dyDescent="0.2">
      <c r="C51" s="192" t="s">
        <v>552</v>
      </c>
    </row>
    <row r="52" spans="3:3" ht="15" x14ac:dyDescent="0.2">
      <c r="C52" s="192" t="s">
        <v>553</v>
      </c>
    </row>
    <row r="53" spans="3:3" x14ac:dyDescent="0.2">
      <c r="C53" s="193"/>
    </row>
    <row r="54" spans="3:3" ht="15" x14ac:dyDescent="0.2">
      <c r="C54" s="192" t="s">
        <v>554</v>
      </c>
    </row>
    <row r="55" spans="3:3" ht="15" x14ac:dyDescent="0.2">
      <c r="C55" s="192" t="s">
        <v>555</v>
      </c>
    </row>
    <row r="56" spans="3:3" x14ac:dyDescent="0.2">
      <c r="C56" s="193"/>
    </row>
    <row r="57" spans="3:3" ht="15" x14ac:dyDescent="0.2">
      <c r="C57" s="192" t="s">
        <v>556</v>
      </c>
    </row>
    <row r="58" spans="3:3" ht="15" x14ac:dyDescent="0.2">
      <c r="C58" s="192" t="s">
        <v>557</v>
      </c>
    </row>
    <row r="59" spans="3:3" x14ac:dyDescent="0.2">
      <c r="C59" s="193"/>
    </row>
    <row r="60" spans="3:3" ht="15" x14ac:dyDescent="0.2">
      <c r="C60" s="192" t="s">
        <v>558</v>
      </c>
    </row>
    <row r="61" spans="3:3" ht="15" x14ac:dyDescent="0.2">
      <c r="C61" s="192" t="s">
        <v>559</v>
      </c>
    </row>
    <row r="62" spans="3:3" x14ac:dyDescent="0.2">
      <c r="C62" s="193"/>
    </row>
    <row r="63" spans="3:3" ht="15" x14ac:dyDescent="0.2">
      <c r="C63" s="192" t="s">
        <v>560</v>
      </c>
    </row>
    <row r="64" spans="3:3" ht="15" x14ac:dyDescent="0.2">
      <c r="C64" s="192" t="s">
        <v>561</v>
      </c>
    </row>
    <row r="65" spans="3:3" x14ac:dyDescent="0.2">
      <c r="C65" s="193"/>
    </row>
    <row r="66" spans="3:3" ht="15" x14ac:dyDescent="0.2">
      <c r="C66" s="192" t="s">
        <v>562</v>
      </c>
    </row>
    <row r="67" spans="3:3" ht="15" x14ac:dyDescent="0.2">
      <c r="C67" s="192" t="s">
        <v>563</v>
      </c>
    </row>
    <row r="68" spans="3:3" x14ac:dyDescent="0.2">
      <c r="C68" s="193"/>
    </row>
    <row r="69" spans="3:3" ht="15" x14ac:dyDescent="0.2">
      <c r="C69" s="192" t="s">
        <v>564</v>
      </c>
    </row>
    <row r="70" spans="3:3" ht="15" x14ac:dyDescent="0.2">
      <c r="C70" s="192" t="s">
        <v>565</v>
      </c>
    </row>
    <row r="71" spans="3:3" x14ac:dyDescent="0.2">
      <c r="C71" s="193"/>
    </row>
    <row r="72" spans="3:3" ht="15" x14ac:dyDescent="0.2">
      <c r="C72" s="192" t="s">
        <v>566</v>
      </c>
    </row>
    <row r="73" spans="3:3" ht="15" x14ac:dyDescent="0.2">
      <c r="C73" s="192" t="s">
        <v>567</v>
      </c>
    </row>
    <row r="74" spans="3:3" x14ac:dyDescent="0.2">
      <c r="C74" s="193"/>
    </row>
    <row r="75" spans="3:3" ht="15" x14ac:dyDescent="0.2">
      <c r="C75" s="192" t="s">
        <v>568</v>
      </c>
    </row>
    <row r="76" spans="3:3" ht="15" x14ac:dyDescent="0.2">
      <c r="C76" s="192" t="s">
        <v>569</v>
      </c>
    </row>
    <row r="77" spans="3:3" x14ac:dyDescent="0.2">
      <c r="C77" s="193"/>
    </row>
    <row r="78" spans="3:3" ht="15" x14ac:dyDescent="0.2">
      <c r="C78" s="192" t="s">
        <v>570</v>
      </c>
    </row>
    <row r="79" spans="3:3" ht="15" x14ac:dyDescent="0.2">
      <c r="C79" s="192" t="s">
        <v>571</v>
      </c>
    </row>
    <row r="80" spans="3:3" x14ac:dyDescent="0.2">
      <c r="C80" s="193"/>
    </row>
    <row r="81" spans="2:3" ht="15" x14ac:dyDescent="0.2">
      <c r="C81" s="192" t="s">
        <v>572</v>
      </c>
    </row>
    <row r="82" spans="2:3" ht="15" x14ac:dyDescent="0.2">
      <c r="B82" s="196"/>
      <c r="C82" s="192" t="str">
        <f>_xlfn.CONCAT("font_size = '",$A$11,"'")</f>
        <v>font_size = '24'</v>
      </c>
    </row>
    <row r="83" spans="2:3" x14ac:dyDescent="0.2">
      <c r="C83" s="193"/>
    </row>
    <row r="84" spans="2:3" ht="15" x14ac:dyDescent="0.2">
      <c r="C84" s="192" t="s">
        <v>573</v>
      </c>
    </row>
    <row r="85" spans="2:3" ht="15" x14ac:dyDescent="0.2">
      <c r="B85" s="196"/>
      <c r="C85" s="192" t="str">
        <f>_xlfn.CONCAT("dred = ", $A$19)</f>
        <v>dred = False</v>
      </c>
    </row>
    <row r="86" spans="2:3" x14ac:dyDescent="0.2">
      <c r="C86" s="193"/>
    </row>
    <row r="87" spans="2:3" ht="15" x14ac:dyDescent="0.2">
      <c r="C87" s="192" t="s">
        <v>574</v>
      </c>
    </row>
    <row r="88" spans="2:3" ht="15" x14ac:dyDescent="0.2">
      <c r="C88" s="192" t="s">
        <v>575</v>
      </c>
    </row>
    <row r="89" spans="2:3" ht="15" x14ac:dyDescent="0.2">
      <c r="B89" s="196"/>
      <c r="C89" s="192" t="str">
        <f>_xlfn.CONCAT("profile_dist0 = float('",'MCV e Guindaste'!N21,"'.replace(',','.'))")</f>
        <v>profile_dist0 = float('0'.replace(',','.'))</v>
      </c>
    </row>
    <row r="90" spans="2:3" ht="15" x14ac:dyDescent="0.2">
      <c r="B90" s="196"/>
      <c r="C90" s="192" t="str">
        <f>_xlfn.CONCAT("profile_dist1 = float('",'MCV e Guindaste'!N22,"'.replace(',','.'))")</f>
        <v>profile_dist1 = float('5'.replace(',','.'))</v>
      </c>
    </row>
    <row r="91" spans="2:3" ht="15" x14ac:dyDescent="0.2">
      <c r="B91" s="196"/>
      <c r="C91" s="192" t="str">
        <f>_xlfn.CONCAT("profile_dist2 = float('",'MCV e Guindaste'!N23,"'.replace(',','.'))")</f>
        <v>profile_dist2 = float('10'.replace(',','.'))</v>
      </c>
    </row>
    <row r="92" spans="2:3" ht="15" x14ac:dyDescent="0.2">
      <c r="B92" s="196"/>
      <c r="C92" s="192" t="str">
        <f>_xlfn.CONCAT("profile_dist3 = float('",'MCV e Guindaste'!N24,"'.replace(',','.'))")</f>
        <v>profile_dist3 = float('15'.replace(',','.'))</v>
      </c>
    </row>
    <row r="93" spans="2:3" x14ac:dyDescent="0.2">
      <c r="C93" s="193"/>
    </row>
    <row r="94" spans="2:3" ht="15" x14ac:dyDescent="0.2">
      <c r="B94" s="196"/>
      <c r="C94" s="192" t="str">
        <f>_xlfn.CONCAT("profile_depth0 = float('",'MCV e Guindaste'!P21,"'.replace(',','.'))")</f>
        <v>profile_depth0 = float('2301'.replace(',','.'))</v>
      </c>
    </row>
    <row r="95" spans="2:3" ht="15" x14ac:dyDescent="0.2">
      <c r="B95" s="196"/>
      <c r="C95" s="192" t="str">
        <f>_xlfn.CONCAT("profile_depth1 = float('",'MCV e Guindaste'!P22,"'.replace(',','.'))")</f>
        <v>profile_depth1 = float('2301'.replace(',','.'))</v>
      </c>
    </row>
    <row r="96" spans="2:3" ht="15" x14ac:dyDescent="0.2">
      <c r="B96" s="196"/>
      <c r="C96" s="192" t="str">
        <f>_xlfn.CONCAT("profile_depth2 = float('",'MCV e Guindaste'!P23,"'.replace(',','.'))")</f>
        <v>profile_depth2 = float('2301'.replace(',','.'))</v>
      </c>
    </row>
    <row r="97" spans="2:3" ht="15" x14ac:dyDescent="0.2">
      <c r="B97" s="196"/>
      <c r="C97" s="192" t="str">
        <f>_xlfn.CONCAT("profile_depth3 = float('",'MCV e Guindaste'!P24,"'.replace(',','.'))")</f>
        <v>profile_depth3 = float('2301'.replace(',','.'))</v>
      </c>
    </row>
    <row r="98" spans="2:3" x14ac:dyDescent="0.2">
      <c r="C98" s="193"/>
    </row>
    <row r="99" spans="2:3" ht="15" x14ac:dyDescent="0.2">
      <c r="C99" s="192" t="s">
        <v>576</v>
      </c>
    </row>
    <row r="100" spans="2:3" ht="15" x14ac:dyDescent="0.2">
      <c r="C100" s="192" t="s">
        <v>577</v>
      </c>
    </row>
    <row r="101" spans="2:3" x14ac:dyDescent="0.2">
      <c r="C101" s="193"/>
    </row>
    <row r="102" spans="2:3" ht="15" x14ac:dyDescent="0.2">
      <c r="C102" s="192" t="s">
        <v>578</v>
      </c>
    </row>
    <row r="103" spans="2:3" ht="15" x14ac:dyDescent="0.2">
      <c r="C103" s="192" t="s">
        <v>579</v>
      </c>
    </row>
    <row r="104" spans="2:3" ht="15" x14ac:dyDescent="0.2">
      <c r="C104" s="192" t="s">
        <v>580</v>
      </c>
    </row>
    <row r="105" spans="2:3" ht="15" x14ac:dyDescent="0.2">
      <c r="C105" s="192" t="s">
        <v>579</v>
      </c>
    </row>
    <row r="106" spans="2:3" ht="15" x14ac:dyDescent="0.2">
      <c r="C106" s="192" t="s">
        <v>581</v>
      </c>
    </row>
    <row r="107" spans="2:3" ht="15" x14ac:dyDescent="0.2">
      <c r="C107" s="192" t="s">
        <v>582</v>
      </c>
    </row>
    <row r="108" spans="2:3" ht="15" x14ac:dyDescent="0.2">
      <c r="C108" s="192" t="s">
        <v>583</v>
      </c>
    </row>
    <row r="109" spans="2:3" ht="15" x14ac:dyDescent="0.2">
      <c r="C109" s="192" t="s">
        <v>584</v>
      </c>
    </row>
    <row r="110" spans="2:3" ht="15" x14ac:dyDescent="0.2">
      <c r="C110" s="192" t="s">
        <v>585</v>
      </c>
    </row>
    <row r="111" spans="2:3" ht="15" x14ac:dyDescent="0.2">
      <c r="C111" s="192" t="s">
        <v>586</v>
      </c>
    </row>
    <row r="112" spans="2:3" ht="15" x14ac:dyDescent="0.2">
      <c r="C112" s="192" t="s">
        <v>587</v>
      </c>
    </row>
    <row r="113" spans="3:3" ht="15" x14ac:dyDescent="0.2">
      <c r="C113" s="192" t="s">
        <v>588</v>
      </c>
    </row>
    <row r="114" spans="3:3" ht="15" x14ac:dyDescent="0.2">
      <c r="C114" s="192" t="s">
        <v>586</v>
      </c>
    </row>
    <row r="115" spans="3:3" ht="15" x14ac:dyDescent="0.2">
      <c r="C115" s="192" t="s">
        <v>589</v>
      </c>
    </row>
    <row r="116" spans="3:3" ht="15" x14ac:dyDescent="0.2">
      <c r="C116" s="192" t="s">
        <v>590</v>
      </c>
    </row>
    <row r="117" spans="3:3" ht="15" x14ac:dyDescent="0.2">
      <c r="C117" s="192" t="s">
        <v>591</v>
      </c>
    </row>
    <row r="118" spans="3:3" ht="15" x14ac:dyDescent="0.2">
      <c r="C118" s="192" t="s">
        <v>592</v>
      </c>
    </row>
    <row r="119" spans="3:3" ht="15" x14ac:dyDescent="0.2">
      <c r="C119" s="192" t="s">
        <v>593</v>
      </c>
    </row>
    <row r="120" spans="3:3" ht="15" x14ac:dyDescent="0.2">
      <c r="C120" s="192" t="s">
        <v>594</v>
      </c>
    </row>
    <row r="121" spans="3:3" ht="15" x14ac:dyDescent="0.2">
      <c r="C121" s="192" t="s">
        <v>595</v>
      </c>
    </row>
    <row r="122" spans="3:3" ht="15" x14ac:dyDescent="0.2">
      <c r="C122" s="192" t="s">
        <v>596</v>
      </c>
    </row>
    <row r="123" spans="3:3" ht="15" x14ac:dyDescent="0.2">
      <c r="C123" s="192" t="s">
        <v>597</v>
      </c>
    </row>
    <row r="124" spans="3:3" ht="15" x14ac:dyDescent="0.2">
      <c r="C124" s="192" t="s">
        <v>598</v>
      </c>
    </row>
    <row r="125" spans="3:3" x14ac:dyDescent="0.2">
      <c r="C125" s="193"/>
    </row>
    <row r="126" spans="3:3" ht="15" x14ac:dyDescent="0.2">
      <c r="C126" s="192" t="s">
        <v>599</v>
      </c>
    </row>
    <row r="127" spans="3:3" ht="15" x14ac:dyDescent="0.2">
      <c r="C127" s="192" t="s">
        <v>600</v>
      </c>
    </row>
    <row r="128" spans="3:3" x14ac:dyDescent="0.2">
      <c r="C128" s="193"/>
    </row>
    <row r="129" spans="2:3" ht="15" x14ac:dyDescent="0.2">
      <c r="C129" s="192" t="s">
        <v>601</v>
      </c>
    </row>
    <row r="130" spans="2:3" ht="15" x14ac:dyDescent="0.2">
      <c r="B130" s="196"/>
      <c r="C130" s="192" t="str">
        <f>_xlfn.CONCAT("vcm1=model['",$A$16,"']")</f>
        <v>vcm1=model['P7000048060_/_'DU700154300_Rev._C']</v>
      </c>
    </row>
    <row r="131" spans="2:3" x14ac:dyDescent="0.2">
      <c r="C131" s="193"/>
    </row>
    <row r="132" spans="2:3" ht="15" x14ac:dyDescent="0.2">
      <c r="C132" s="192" t="s">
        <v>602</v>
      </c>
    </row>
    <row r="133" spans="2:3" ht="15" x14ac:dyDescent="0.2">
      <c r="B133" s="196"/>
      <c r="C133" s="192" t="str">
        <f>_xlfn.CONCAT("line1=model['",$A$14,"']")</f>
        <v>line1=model['Line']</v>
      </c>
    </row>
    <row r="134" spans="2:3" ht="15" x14ac:dyDescent="0.2">
      <c r="B134" s="196"/>
      <c r="C134" s="192" t="str">
        <f>_xlfn.CONCAT("att_lines=list(['",$A$15,"'])")</f>
        <v>att_lines=list(['Stiffener1'])</v>
      </c>
    </row>
    <row r="135" spans="2:3" ht="15" x14ac:dyDescent="0.2">
      <c r="C135" s="192" t="s">
        <v>603</v>
      </c>
    </row>
    <row r="136" spans="2:3" ht="15" x14ac:dyDescent="0.2">
      <c r="C136" s="192" t="s">
        <v>604</v>
      </c>
    </row>
    <row r="137" spans="2:3" ht="15" x14ac:dyDescent="0.2">
      <c r="C137" s="192" t="s">
        <v>605</v>
      </c>
    </row>
    <row r="138" spans="2:3" ht="15" x14ac:dyDescent="0.2">
      <c r="C138" s="192" t="s">
        <v>606</v>
      </c>
    </row>
    <row r="139" spans="2:3" ht="15" x14ac:dyDescent="0.2">
      <c r="C139" s="192" t="s">
        <v>607</v>
      </c>
    </row>
    <row r="140" spans="2:3" ht="15" x14ac:dyDescent="0.2">
      <c r="C140" s="192" t="s">
        <v>608</v>
      </c>
    </row>
    <row r="141" spans="2:3" ht="15" x14ac:dyDescent="0.2">
      <c r="C141" s="192" t="s">
        <v>609</v>
      </c>
    </row>
    <row r="142" spans="2:3" x14ac:dyDescent="0.2">
      <c r="C142" s="193"/>
    </row>
    <row r="143" spans="2:3" ht="15" x14ac:dyDescent="0.2">
      <c r="C143" s="192" t="s">
        <v>610</v>
      </c>
    </row>
    <row r="144" spans="2:3" ht="15" x14ac:dyDescent="0.2">
      <c r="C144" s="192" t="s">
        <v>611</v>
      </c>
    </row>
    <row r="145" spans="3:3" ht="15" x14ac:dyDescent="0.2">
      <c r="C145" s="192" t="s">
        <v>612</v>
      </c>
    </row>
    <row r="146" spans="3:3" ht="15" x14ac:dyDescent="0.2">
      <c r="C146" s="192" t="s">
        <v>613</v>
      </c>
    </row>
    <row r="147" spans="3:3" ht="15" x14ac:dyDescent="0.2">
      <c r="C147" s="192" t="s">
        <v>614</v>
      </c>
    </row>
    <row r="148" spans="3:3" ht="15" x14ac:dyDescent="0.2">
      <c r="C148" s="192" t="s">
        <v>615</v>
      </c>
    </row>
    <row r="149" spans="3:3" ht="15" x14ac:dyDescent="0.2">
      <c r="C149" s="192" t="s">
        <v>616</v>
      </c>
    </row>
    <row r="150" spans="3:3" ht="15" x14ac:dyDescent="0.2">
      <c r="C150" s="192" t="s">
        <v>617</v>
      </c>
    </row>
    <row r="151" spans="3:3" ht="15" x14ac:dyDescent="0.2">
      <c r="C151" s="192" t="s">
        <v>618</v>
      </c>
    </row>
    <row r="152" spans="3:3" ht="15" x14ac:dyDescent="0.2">
      <c r="C152" s="192" t="s">
        <v>619</v>
      </c>
    </row>
    <row r="153" spans="3:3" ht="15" x14ac:dyDescent="0.2">
      <c r="C153" s="192" t="s">
        <v>620</v>
      </c>
    </row>
    <row r="154" spans="3:3" x14ac:dyDescent="0.2">
      <c r="C154" s="193"/>
    </row>
    <row r="155" spans="3:3" ht="15" x14ac:dyDescent="0.2">
      <c r="C155" s="192" t="s">
        <v>621</v>
      </c>
    </row>
    <row r="156" spans="3:3" ht="15" x14ac:dyDescent="0.2">
      <c r="C156" s="192" t="s">
        <v>622</v>
      </c>
    </row>
    <row r="157" spans="3:3" ht="15" x14ac:dyDescent="0.2">
      <c r="C157" s="192" t="s">
        <v>623</v>
      </c>
    </row>
    <row r="158" spans="3:3" ht="15" x14ac:dyDescent="0.2">
      <c r="C158" s="192" t="s">
        <v>624</v>
      </c>
    </row>
    <row r="159" spans="3:3" ht="15" x14ac:dyDescent="0.2">
      <c r="C159" s="192" t="s">
        <v>625</v>
      </c>
    </row>
    <row r="160" spans="3:3" ht="15" x14ac:dyDescent="0.2">
      <c r="C160" s="192" t="s">
        <v>626</v>
      </c>
    </row>
    <row r="161" spans="3:3" x14ac:dyDescent="0.2">
      <c r="C161" s="193"/>
    </row>
    <row r="162" spans="3:3" ht="15" x14ac:dyDescent="0.2">
      <c r="C162" s="192" t="s">
        <v>627</v>
      </c>
    </row>
    <row r="163" spans="3:3" ht="15" x14ac:dyDescent="0.2">
      <c r="C163" s="192" t="s">
        <v>615</v>
      </c>
    </row>
    <row r="164" spans="3:3" ht="15" x14ac:dyDescent="0.2">
      <c r="C164" s="192" t="s">
        <v>628</v>
      </c>
    </row>
    <row r="165" spans="3:3" ht="15" x14ac:dyDescent="0.2">
      <c r="C165" s="192" t="s">
        <v>629</v>
      </c>
    </row>
    <row r="166" spans="3:3" ht="15" x14ac:dyDescent="0.2">
      <c r="C166" s="192" t="s">
        <v>630</v>
      </c>
    </row>
    <row r="167" spans="3:3" ht="15" x14ac:dyDescent="0.2">
      <c r="C167" s="192" t="s">
        <v>631</v>
      </c>
    </row>
    <row r="168" spans="3:3" ht="15" x14ac:dyDescent="0.2">
      <c r="C168" s="192" t="s">
        <v>632</v>
      </c>
    </row>
    <row r="169" spans="3:3" ht="15" x14ac:dyDescent="0.2">
      <c r="C169" s="192" t="s">
        <v>633</v>
      </c>
    </row>
    <row r="170" spans="3:3" x14ac:dyDescent="0.2">
      <c r="C170" s="193"/>
    </row>
    <row r="171" spans="3:3" ht="15" x14ac:dyDescent="0.2">
      <c r="C171" s="192" t="s">
        <v>634</v>
      </c>
    </row>
    <row r="172" spans="3:3" ht="15" x14ac:dyDescent="0.2">
      <c r="C172" s="192" t="s">
        <v>635</v>
      </c>
    </row>
    <row r="173" spans="3:3" x14ac:dyDescent="0.2">
      <c r="C173" s="193"/>
    </row>
    <row r="174" spans="3:3" ht="15" x14ac:dyDescent="0.2">
      <c r="C174" s="192" t="s">
        <v>636</v>
      </c>
    </row>
    <row r="175" spans="3:3" ht="15" x14ac:dyDescent="0.2">
      <c r="C175" s="192" t="s">
        <v>637</v>
      </c>
    </row>
    <row r="176" spans="3:3" ht="15" x14ac:dyDescent="0.2">
      <c r="C176" s="192" t="s">
        <v>638</v>
      </c>
    </row>
    <row r="177" spans="3:3" ht="15" x14ac:dyDescent="0.2">
      <c r="C177" s="192" t="s">
        <v>639</v>
      </c>
    </row>
    <row r="178" spans="3:3" ht="15" x14ac:dyDescent="0.2">
      <c r="C178" s="192" t="s">
        <v>640</v>
      </c>
    </row>
    <row r="179" spans="3:3" ht="15" x14ac:dyDescent="0.2">
      <c r="C179" s="192" t="s">
        <v>641</v>
      </c>
    </row>
    <row r="180" spans="3:3" ht="15" x14ac:dyDescent="0.2">
      <c r="C180" s="192" t="s">
        <v>642</v>
      </c>
    </row>
    <row r="181" spans="3:3" ht="15" x14ac:dyDescent="0.2">
      <c r="C181" s="192" t="s">
        <v>643</v>
      </c>
    </row>
    <row r="182" spans="3:3" ht="15" x14ac:dyDescent="0.2">
      <c r="C182" s="192" t="s">
        <v>644</v>
      </c>
    </row>
    <row r="183" spans="3:3" ht="15" x14ac:dyDescent="0.2">
      <c r="C183" s="192" t="s">
        <v>645</v>
      </c>
    </row>
    <row r="184" spans="3:3" ht="15" x14ac:dyDescent="0.2">
      <c r="C184" s="192" t="s">
        <v>646</v>
      </c>
    </row>
    <row r="185" spans="3:3" ht="15" x14ac:dyDescent="0.2">
      <c r="C185" s="192" t="s">
        <v>647</v>
      </c>
    </row>
    <row r="186" spans="3:3" x14ac:dyDescent="0.2">
      <c r="C186" s="193"/>
    </row>
    <row r="187" spans="3:3" ht="15" x14ac:dyDescent="0.2">
      <c r="C187" s="192" t="s">
        <v>648</v>
      </c>
    </row>
    <row r="188" spans="3:3" ht="15" x14ac:dyDescent="0.2">
      <c r="C188" s="192" t="s">
        <v>649</v>
      </c>
    </row>
    <row r="189" spans="3:3" ht="15" x14ac:dyDescent="0.2">
      <c r="C189" s="192" t="s">
        <v>650</v>
      </c>
    </row>
    <row r="190" spans="3:3" ht="15" x14ac:dyDescent="0.2">
      <c r="C190" s="192" t="s">
        <v>651</v>
      </c>
    </row>
    <row r="191" spans="3:3" ht="15" x14ac:dyDescent="0.2">
      <c r="C191" s="192" t="s">
        <v>652</v>
      </c>
    </row>
    <row r="192" spans="3:3" ht="15" x14ac:dyDescent="0.2">
      <c r="C192" s="192" t="s">
        <v>653</v>
      </c>
    </row>
    <row r="193" spans="3:3" ht="15" x14ac:dyDescent="0.2">
      <c r="C193" s="192" t="s">
        <v>654</v>
      </c>
    </row>
    <row r="194" spans="3:3" ht="15" x14ac:dyDescent="0.2">
      <c r="C194" s="192" t="s">
        <v>646</v>
      </c>
    </row>
    <row r="195" spans="3:3" ht="15" x14ac:dyDescent="0.2">
      <c r="C195" s="192" t="s">
        <v>655</v>
      </c>
    </row>
    <row r="196" spans="3:3" ht="15" x14ac:dyDescent="0.2">
      <c r="C196" s="192" t="s">
        <v>656</v>
      </c>
    </row>
    <row r="197" spans="3:3" ht="15" x14ac:dyDescent="0.2">
      <c r="C197" s="192" t="s">
        <v>657</v>
      </c>
    </row>
    <row r="198" spans="3:3" ht="15" x14ac:dyDescent="0.2">
      <c r="C198" s="192" t="s">
        <v>658</v>
      </c>
    </row>
    <row r="199" spans="3:3" x14ac:dyDescent="0.2">
      <c r="C199" s="193"/>
    </row>
    <row r="200" spans="3:3" ht="15" x14ac:dyDescent="0.2">
      <c r="C200" s="192" t="s">
        <v>659</v>
      </c>
    </row>
    <row r="201" spans="3:3" ht="15" x14ac:dyDescent="0.2">
      <c r="C201" s="192" t="s">
        <v>660</v>
      </c>
    </row>
    <row r="202" spans="3:3" ht="15" x14ac:dyDescent="0.2">
      <c r="C202" s="192" t="s">
        <v>661</v>
      </c>
    </row>
    <row r="203" spans="3:3" ht="15" x14ac:dyDescent="0.2">
      <c r="C203" s="192" t="s">
        <v>662</v>
      </c>
    </row>
    <row r="204" spans="3:3" ht="15" x14ac:dyDescent="0.2">
      <c r="C204" s="192" t="s">
        <v>663</v>
      </c>
    </row>
    <row r="205" spans="3:3" ht="15" x14ac:dyDescent="0.2">
      <c r="C205" s="192" t="s">
        <v>664</v>
      </c>
    </row>
    <row r="206" spans="3:3" ht="15" x14ac:dyDescent="0.2">
      <c r="C206" s="192" t="s">
        <v>665</v>
      </c>
    </row>
    <row r="207" spans="3:3" x14ac:dyDescent="0.2">
      <c r="C207" s="193"/>
    </row>
    <row r="208" spans="3:3" ht="15" x14ac:dyDescent="0.2">
      <c r="C208" s="192" t="s">
        <v>666</v>
      </c>
    </row>
    <row r="209" spans="3:3" ht="15" x14ac:dyDescent="0.2">
      <c r="C209" s="192" t="s">
        <v>667</v>
      </c>
    </row>
    <row r="210" spans="3:3" ht="15" x14ac:dyDescent="0.2">
      <c r="C210" s="192" t="s">
        <v>668</v>
      </c>
    </row>
    <row r="211" spans="3:3" x14ac:dyDescent="0.2">
      <c r="C211" s="193"/>
    </row>
    <row r="212" spans="3:3" ht="15" x14ac:dyDescent="0.2">
      <c r="C212" s="192" t="s">
        <v>669</v>
      </c>
    </row>
    <row r="213" spans="3:3" ht="15" x14ac:dyDescent="0.2">
      <c r="C213" s="192" t="s">
        <v>670</v>
      </c>
    </row>
    <row r="214" spans="3:3" ht="15" x14ac:dyDescent="0.2">
      <c r="C214" s="192" t="s">
        <v>671</v>
      </c>
    </row>
    <row r="215" spans="3:3" ht="15" x14ac:dyDescent="0.2">
      <c r="C215" s="192" t="s">
        <v>672</v>
      </c>
    </row>
    <row r="216" spans="3:3" ht="15" x14ac:dyDescent="0.2">
      <c r="C216" s="192" t="s">
        <v>673</v>
      </c>
    </row>
    <row r="217" spans="3:3" ht="15" x14ac:dyDescent="0.2">
      <c r="C217" s="192" t="s">
        <v>674</v>
      </c>
    </row>
    <row r="218" spans="3:3" ht="15" x14ac:dyDescent="0.2">
      <c r="C218" s="192" t="s">
        <v>675</v>
      </c>
    </row>
    <row r="219" spans="3:3" ht="15" x14ac:dyDescent="0.2">
      <c r="C219" s="192" t="s">
        <v>676</v>
      </c>
    </row>
    <row r="220" spans="3:3" ht="15" x14ac:dyDescent="0.2">
      <c r="C220" s="192" t="s">
        <v>677</v>
      </c>
    </row>
    <row r="221" spans="3:3" ht="15" x14ac:dyDescent="0.2">
      <c r="C221" s="192" t="s">
        <v>678</v>
      </c>
    </row>
    <row r="222" spans="3:3" x14ac:dyDescent="0.2">
      <c r="C222" s="193"/>
    </row>
    <row r="223" spans="3:3" ht="15" x14ac:dyDescent="0.2">
      <c r="C223" s="192" t="s">
        <v>679</v>
      </c>
    </row>
    <row r="224" spans="3:3" ht="15" x14ac:dyDescent="0.2">
      <c r="C224" s="192" t="s">
        <v>680</v>
      </c>
    </row>
    <row r="225" spans="3:3" x14ac:dyDescent="0.2">
      <c r="C225" s="193"/>
    </row>
    <row r="226" spans="3:3" ht="15" x14ac:dyDescent="0.2">
      <c r="C226" s="192" t="s">
        <v>681</v>
      </c>
    </row>
    <row r="227" spans="3:3" ht="15" x14ac:dyDescent="0.2">
      <c r="C227" s="192" t="s">
        <v>682</v>
      </c>
    </row>
    <row r="228" spans="3:3" ht="15" x14ac:dyDescent="0.2">
      <c r="C228" s="192" t="s">
        <v>683</v>
      </c>
    </row>
    <row r="229" spans="3:3" x14ac:dyDescent="0.2">
      <c r="C229" s="193"/>
    </row>
    <row r="230" spans="3:3" ht="15" x14ac:dyDescent="0.2">
      <c r="C230" s="192" t="s">
        <v>684</v>
      </c>
    </row>
    <row r="231" spans="3:3" ht="15" x14ac:dyDescent="0.2">
      <c r="C231" s="192" t="s">
        <v>685</v>
      </c>
    </row>
    <row r="232" spans="3:3" ht="15" x14ac:dyDescent="0.2">
      <c r="C232" s="192" t="s">
        <v>686</v>
      </c>
    </row>
    <row r="233" spans="3:3" ht="15" x14ac:dyDescent="0.2">
      <c r="C233" s="192" t="s">
        <v>687</v>
      </c>
    </row>
    <row r="234" spans="3:3" x14ac:dyDescent="0.2">
      <c r="C234" s="193"/>
    </row>
    <row r="235" spans="3:3" ht="15" x14ac:dyDescent="0.2">
      <c r="C235" s="192" t="s">
        <v>688</v>
      </c>
    </row>
    <row r="236" spans="3:3" ht="15" x14ac:dyDescent="0.2">
      <c r="C236" s="192" t="s">
        <v>689</v>
      </c>
    </row>
    <row r="237" spans="3:3" ht="15" x14ac:dyDescent="0.2">
      <c r="C237" s="192" t="s">
        <v>690</v>
      </c>
    </row>
    <row r="238" spans="3:3" ht="15" x14ac:dyDescent="0.2">
      <c r="C238" s="192" t="s">
        <v>691</v>
      </c>
    </row>
    <row r="239" spans="3:3" ht="15" x14ac:dyDescent="0.2">
      <c r="C239" s="192" t="s">
        <v>650</v>
      </c>
    </row>
    <row r="240" spans="3:3" ht="15" x14ac:dyDescent="0.2">
      <c r="C240" s="192" t="s">
        <v>651</v>
      </c>
    </row>
    <row r="241" spans="3:3" ht="15" x14ac:dyDescent="0.2">
      <c r="C241" s="192" t="s">
        <v>692</v>
      </c>
    </row>
    <row r="242" spans="3:3" ht="15" x14ac:dyDescent="0.2">
      <c r="C242" s="192" t="s">
        <v>693</v>
      </c>
    </row>
    <row r="243" spans="3:3" ht="15" x14ac:dyDescent="0.2">
      <c r="C243" s="192" t="s">
        <v>694</v>
      </c>
    </row>
    <row r="244" spans="3:3" x14ac:dyDescent="0.2">
      <c r="C244" s="193"/>
    </row>
    <row r="245" spans="3:3" ht="15" x14ac:dyDescent="0.2">
      <c r="C245" s="192" t="s">
        <v>695</v>
      </c>
    </row>
    <row r="246" spans="3:3" ht="15" x14ac:dyDescent="0.2">
      <c r="C246" s="192" t="s">
        <v>696</v>
      </c>
    </row>
    <row r="247" spans="3:3" ht="15" x14ac:dyDescent="0.2">
      <c r="C247" s="192" t="s">
        <v>697</v>
      </c>
    </row>
    <row r="248" spans="3:3" ht="15" x14ac:dyDescent="0.2">
      <c r="C248" s="192" t="s">
        <v>698</v>
      </c>
    </row>
    <row r="249" spans="3:3" ht="15" x14ac:dyDescent="0.2">
      <c r="C249" s="192" t="s">
        <v>699</v>
      </c>
    </row>
    <row r="250" spans="3:3" x14ac:dyDescent="0.2">
      <c r="C250" s="193"/>
    </row>
    <row r="251" spans="3:3" ht="15" x14ac:dyDescent="0.2">
      <c r="C251" s="192" t="s">
        <v>700</v>
      </c>
    </row>
    <row r="252" spans="3:3" ht="15" x14ac:dyDescent="0.2">
      <c r="C252" s="192" t="s">
        <v>701</v>
      </c>
    </row>
    <row r="253" spans="3:3" ht="15" x14ac:dyDescent="0.2">
      <c r="C253" s="192" t="s">
        <v>702</v>
      </c>
    </row>
    <row r="254" spans="3:3" ht="15" x14ac:dyDescent="0.2">
      <c r="C254" s="192" t="s">
        <v>703</v>
      </c>
    </row>
    <row r="255" spans="3:3" ht="15" x14ac:dyDescent="0.2">
      <c r="C255" s="192" t="s">
        <v>704</v>
      </c>
    </row>
    <row r="256" spans="3:3" ht="15" x14ac:dyDescent="0.2">
      <c r="C256" s="192" t="s">
        <v>705</v>
      </c>
    </row>
    <row r="257" spans="3:3" ht="15" x14ac:dyDescent="0.2">
      <c r="C257" s="192" t="s">
        <v>706</v>
      </c>
    </row>
    <row r="258" spans="3:3" ht="15" x14ac:dyDescent="0.2">
      <c r="C258" s="192" t="s">
        <v>707</v>
      </c>
    </row>
    <row r="259" spans="3:3" ht="15" x14ac:dyDescent="0.2">
      <c r="C259" s="192" t="s">
        <v>708</v>
      </c>
    </row>
    <row r="260" spans="3:3" ht="15" x14ac:dyDescent="0.2">
      <c r="C260" s="192" t="s">
        <v>709</v>
      </c>
    </row>
    <row r="261" spans="3:3" ht="15" x14ac:dyDescent="0.2">
      <c r="C261" s="192" t="s">
        <v>710</v>
      </c>
    </row>
    <row r="262" spans="3:3" ht="15" x14ac:dyDescent="0.2">
      <c r="C262" s="192" t="s">
        <v>711</v>
      </c>
    </row>
    <row r="263" spans="3:3" ht="15" x14ac:dyDescent="0.2">
      <c r="C263" s="192" t="s">
        <v>712</v>
      </c>
    </row>
    <row r="264" spans="3:3" ht="15" x14ac:dyDescent="0.2">
      <c r="C264" s="192" t="s">
        <v>713</v>
      </c>
    </row>
    <row r="265" spans="3:3" ht="15" x14ac:dyDescent="0.2">
      <c r="C265" s="192" t="s">
        <v>714</v>
      </c>
    </row>
    <row r="266" spans="3:3" ht="15" x14ac:dyDescent="0.2">
      <c r="C266" s="192" t="s">
        <v>715</v>
      </c>
    </row>
    <row r="267" spans="3:3" ht="15" x14ac:dyDescent="0.2">
      <c r="C267" s="192" t="s">
        <v>716</v>
      </c>
    </row>
    <row r="268" spans="3:3" ht="15" x14ac:dyDescent="0.2">
      <c r="C268" s="192" t="s">
        <v>717</v>
      </c>
    </row>
    <row r="269" spans="3:3" ht="15" x14ac:dyDescent="0.2">
      <c r="C269" s="192" t="s">
        <v>718</v>
      </c>
    </row>
    <row r="270" spans="3:3" ht="15" x14ac:dyDescent="0.2">
      <c r="C270" s="192" t="s">
        <v>719</v>
      </c>
    </row>
    <row r="271" spans="3:3" ht="15" x14ac:dyDescent="0.2">
      <c r="C271" s="192" t="s">
        <v>720</v>
      </c>
    </row>
    <row r="272" spans="3:3" ht="15" x14ac:dyDescent="0.2">
      <c r="C272" s="192" t="s">
        <v>721</v>
      </c>
    </row>
    <row r="273" spans="3:3" ht="15" x14ac:dyDescent="0.2">
      <c r="C273" s="192" t="s">
        <v>722</v>
      </c>
    </row>
    <row r="274" spans="3:3" ht="15" x14ac:dyDescent="0.2">
      <c r="C274" s="192" t="s">
        <v>595</v>
      </c>
    </row>
    <row r="275" spans="3:3" ht="15" x14ac:dyDescent="0.2">
      <c r="C275" s="192" t="s">
        <v>723</v>
      </c>
    </row>
    <row r="276" spans="3:3" ht="15" x14ac:dyDescent="0.2">
      <c r="C276" s="192" t="s">
        <v>724</v>
      </c>
    </row>
    <row r="277" spans="3:3" ht="15" x14ac:dyDescent="0.2">
      <c r="C277" s="192" t="s">
        <v>725</v>
      </c>
    </row>
    <row r="278" spans="3:3" ht="15" x14ac:dyDescent="0.2">
      <c r="C278" s="192" t="s">
        <v>726</v>
      </c>
    </row>
    <row r="279" spans="3:3" ht="15" x14ac:dyDescent="0.2">
      <c r="C279" s="192" t="s">
        <v>712</v>
      </c>
    </row>
    <row r="280" spans="3:3" ht="15" x14ac:dyDescent="0.2">
      <c r="C280" s="192" t="s">
        <v>713</v>
      </c>
    </row>
    <row r="281" spans="3:3" ht="15" x14ac:dyDescent="0.2">
      <c r="C281" s="192" t="s">
        <v>714</v>
      </c>
    </row>
    <row r="282" spans="3:3" ht="15" x14ac:dyDescent="0.2">
      <c r="C282" s="192" t="s">
        <v>727</v>
      </c>
    </row>
    <row r="283" spans="3:3" ht="15" x14ac:dyDescent="0.2">
      <c r="C283" s="192" t="s">
        <v>728</v>
      </c>
    </row>
    <row r="284" spans="3:3" ht="15" x14ac:dyDescent="0.2">
      <c r="C284" s="192" t="s">
        <v>729</v>
      </c>
    </row>
    <row r="285" spans="3:3" ht="15" x14ac:dyDescent="0.2">
      <c r="C285" s="192" t="s">
        <v>730</v>
      </c>
    </row>
    <row r="286" spans="3:3" ht="15" x14ac:dyDescent="0.2">
      <c r="C286" s="192" t="s">
        <v>731</v>
      </c>
    </row>
    <row r="287" spans="3:3" ht="15" x14ac:dyDescent="0.2">
      <c r="C287" s="192" t="s">
        <v>732</v>
      </c>
    </row>
    <row r="288" spans="3:3" ht="15" x14ac:dyDescent="0.2">
      <c r="C288" s="192" t="s">
        <v>733</v>
      </c>
    </row>
    <row r="289" spans="3:3" ht="15" x14ac:dyDescent="0.2">
      <c r="C289" s="192" t="s">
        <v>595</v>
      </c>
    </row>
    <row r="290" spans="3:3" ht="15" x14ac:dyDescent="0.2">
      <c r="C290" s="192" t="s">
        <v>734</v>
      </c>
    </row>
    <row r="291" spans="3:3" ht="15" x14ac:dyDescent="0.2">
      <c r="C291" s="192" t="s">
        <v>735</v>
      </c>
    </row>
    <row r="292" spans="3:3" ht="15" x14ac:dyDescent="0.2">
      <c r="C292" s="192" t="s">
        <v>736</v>
      </c>
    </row>
    <row r="293" spans="3:3" ht="15" x14ac:dyDescent="0.2">
      <c r="C293" s="192" t="s">
        <v>712</v>
      </c>
    </row>
    <row r="294" spans="3:3" ht="15" x14ac:dyDescent="0.2">
      <c r="C294" s="192" t="s">
        <v>713</v>
      </c>
    </row>
    <row r="295" spans="3:3" ht="15" x14ac:dyDescent="0.2">
      <c r="C295" s="192" t="s">
        <v>714</v>
      </c>
    </row>
    <row r="296" spans="3:3" ht="15" x14ac:dyDescent="0.2">
      <c r="C296" s="192" t="s">
        <v>737</v>
      </c>
    </row>
    <row r="297" spans="3:3" ht="15" x14ac:dyDescent="0.2">
      <c r="C297" s="192" t="s">
        <v>738</v>
      </c>
    </row>
    <row r="298" spans="3:3" ht="15" x14ac:dyDescent="0.2">
      <c r="C298" s="192" t="s">
        <v>595</v>
      </c>
    </row>
    <row r="299" spans="3:3" ht="15" x14ac:dyDescent="0.2">
      <c r="C299" s="192" t="s">
        <v>739</v>
      </c>
    </row>
    <row r="300" spans="3:3" ht="15" x14ac:dyDescent="0.2">
      <c r="C300" s="192" t="s">
        <v>740</v>
      </c>
    </row>
    <row r="301" spans="3:3" ht="15" x14ac:dyDescent="0.2">
      <c r="C301" s="192" t="s">
        <v>712</v>
      </c>
    </row>
    <row r="302" spans="3:3" ht="15" x14ac:dyDescent="0.2">
      <c r="C302" s="192" t="s">
        <v>713</v>
      </c>
    </row>
    <row r="303" spans="3:3" ht="15" x14ac:dyDescent="0.2">
      <c r="C303" s="192" t="s">
        <v>714</v>
      </c>
    </row>
    <row r="304" spans="3:3" ht="15" x14ac:dyDescent="0.2">
      <c r="C304" s="192" t="s">
        <v>728</v>
      </c>
    </row>
    <row r="305" spans="3:3" ht="15" x14ac:dyDescent="0.2">
      <c r="C305" s="192" t="s">
        <v>729</v>
      </c>
    </row>
    <row r="306" spans="3:3" ht="15" x14ac:dyDescent="0.2">
      <c r="C306" s="192" t="s">
        <v>730</v>
      </c>
    </row>
    <row r="307" spans="3:3" ht="15" x14ac:dyDescent="0.2">
      <c r="C307" s="192" t="s">
        <v>731</v>
      </c>
    </row>
    <row r="308" spans="3:3" ht="15" x14ac:dyDescent="0.2">
      <c r="C308" s="192" t="s">
        <v>732</v>
      </c>
    </row>
    <row r="309" spans="3:3" ht="15" x14ac:dyDescent="0.2">
      <c r="C309" s="192" t="s">
        <v>741</v>
      </c>
    </row>
    <row r="310" spans="3:3" ht="15" x14ac:dyDescent="0.2">
      <c r="C310" s="192" t="s">
        <v>742</v>
      </c>
    </row>
    <row r="311" spans="3:3" ht="15" x14ac:dyDescent="0.2">
      <c r="C311" s="192" t="s">
        <v>743</v>
      </c>
    </row>
    <row r="312" spans="3:3" ht="15" x14ac:dyDescent="0.2">
      <c r="C312" s="192" t="s">
        <v>744</v>
      </c>
    </row>
    <row r="313" spans="3:3" ht="15" x14ac:dyDescent="0.2">
      <c r="C313" s="192" t="s">
        <v>745</v>
      </c>
    </row>
    <row r="314" spans="3:3" ht="15" x14ac:dyDescent="0.2">
      <c r="C314" s="192" t="s">
        <v>746</v>
      </c>
    </row>
    <row r="315" spans="3:3" ht="15" x14ac:dyDescent="0.2">
      <c r="C315" s="192" t="s">
        <v>747</v>
      </c>
    </row>
    <row r="316" spans="3:3" ht="15" x14ac:dyDescent="0.2">
      <c r="C316" s="192" t="s">
        <v>748</v>
      </c>
    </row>
    <row r="317" spans="3:3" ht="15" x14ac:dyDescent="0.2">
      <c r="C317" s="192" t="s">
        <v>749</v>
      </c>
    </row>
    <row r="318" spans="3:3" ht="15" x14ac:dyDescent="0.2">
      <c r="C318" s="192" t="s">
        <v>750</v>
      </c>
    </row>
    <row r="319" spans="3:3" ht="15" x14ac:dyDescent="0.2">
      <c r="C319" s="192" t="s">
        <v>751</v>
      </c>
    </row>
    <row r="320" spans="3:3" ht="15" x14ac:dyDescent="0.2">
      <c r="C320" s="192" t="s">
        <v>752</v>
      </c>
    </row>
    <row r="321" spans="3:3" ht="15" x14ac:dyDescent="0.2">
      <c r="C321" s="192" t="s">
        <v>753</v>
      </c>
    </row>
    <row r="322" spans="3:3" ht="15" x14ac:dyDescent="0.2">
      <c r="C322" s="192" t="s">
        <v>754</v>
      </c>
    </row>
    <row r="323" spans="3:3" ht="15" x14ac:dyDescent="0.2">
      <c r="C323" s="192" t="s">
        <v>755</v>
      </c>
    </row>
    <row r="324" spans="3:3" ht="15" x14ac:dyDescent="0.2">
      <c r="C324" s="192" t="s">
        <v>756</v>
      </c>
    </row>
    <row r="325" spans="3:3" ht="15" x14ac:dyDescent="0.2">
      <c r="C325" s="192" t="s">
        <v>757</v>
      </c>
    </row>
    <row r="326" spans="3:3" ht="15" x14ac:dyDescent="0.2">
      <c r="C326" s="192" t="s">
        <v>758</v>
      </c>
    </row>
    <row r="327" spans="3:3" ht="15" x14ac:dyDescent="0.2">
      <c r="C327" s="192" t="s">
        <v>750</v>
      </c>
    </row>
    <row r="328" spans="3:3" ht="15" x14ac:dyDescent="0.2">
      <c r="C328" s="192" t="s">
        <v>759</v>
      </c>
    </row>
    <row r="329" spans="3:3" ht="15" x14ac:dyDescent="0.2">
      <c r="C329" s="192" t="s">
        <v>760</v>
      </c>
    </row>
    <row r="330" spans="3:3" ht="15" x14ac:dyDescent="0.2">
      <c r="C330" s="192" t="s">
        <v>761</v>
      </c>
    </row>
    <row r="331" spans="3:3" ht="15" x14ac:dyDescent="0.2">
      <c r="C331" s="192" t="s">
        <v>762</v>
      </c>
    </row>
    <row r="332" spans="3:3" ht="15" x14ac:dyDescent="0.2">
      <c r="C332" s="192" t="s">
        <v>595</v>
      </c>
    </row>
    <row r="333" spans="3:3" ht="15" x14ac:dyDescent="0.2">
      <c r="C333" s="192" t="s">
        <v>763</v>
      </c>
    </row>
    <row r="334" spans="3:3" ht="15" x14ac:dyDescent="0.2">
      <c r="C334" s="192" t="s">
        <v>764</v>
      </c>
    </row>
    <row r="335" spans="3:3" ht="15" x14ac:dyDescent="0.2">
      <c r="C335" s="192" t="s">
        <v>765</v>
      </c>
    </row>
    <row r="336" spans="3:3" ht="15" x14ac:dyDescent="0.2">
      <c r="C336" s="192" t="s">
        <v>750</v>
      </c>
    </row>
    <row r="337" spans="3:3" ht="15" x14ac:dyDescent="0.2">
      <c r="C337" s="192" t="s">
        <v>766</v>
      </c>
    </row>
    <row r="338" spans="3:3" ht="15" x14ac:dyDescent="0.2">
      <c r="C338" s="192" t="s">
        <v>767</v>
      </c>
    </row>
    <row r="339" spans="3:3" ht="15" x14ac:dyDescent="0.2">
      <c r="C339" s="192" t="s">
        <v>768</v>
      </c>
    </row>
    <row r="340" spans="3:3" ht="15" x14ac:dyDescent="0.2">
      <c r="C340" s="192" t="s">
        <v>769</v>
      </c>
    </row>
    <row r="341" spans="3:3" ht="15" x14ac:dyDescent="0.2">
      <c r="C341" s="192" t="s">
        <v>770</v>
      </c>
    </row>
    <row r="342" spans="3:3" ht="15" x14ac:dyDescent="0.2">
      <c r="C342" s="192" t="s">
        <v>771</v>
      </c>
    </row>
    <row r="343" spans="3:3" ht="15" x14ac:dyDescent="0.2">
      <c r="C343" s="192" t="s">
        <v>772</v>
      </c>
    </row>
    <row r="344" spans="3:3" ht="15" x14ac:dyDescent="0.2">
      <c r="C344" s="192" t="s">
        <v>773</v>
      </c>
    </row>
    <row r="345" spans="3:3" ht="15" x14ac:dyDescent="0.2">
      <c r="C345" s="192" t="s">
        <v>774</v>
      </c>
    </row>
    <row r="346" spans="3:3" x14ac:dyDescent="0.2">
      <c r="C346" s="193"/>
    </row>
    <row r="347" spans="3:3" ht="15" x14ac:dyDescent="0.2">
      <c r="C347" s="192" t="s">
        <v>775</v>
      </c>
    </row>
    <row r="348" spans="3:3" ht="15" x14ac:dyDescent="0.2">
      <c r="C348" s="192" t="s">
        <v>776</v>
      </c>
    </row>
    <row r="349" spans="3:3" ht="15" x14ac:dyDescent="0.2">
      <c r="C349" s="192" t="s">
        <v>777</v>
      </c>
    </row>
    <row r="350" spans="3:3" ht="15" x14ac:dyDescent="0.2">
      <c r="C350" s="192" t="s">
        <v>778</v>
      </c>
    </row>
    <row r="351" spans="3:3" ht="15" x14ac:dyDescent="0.2">
      <c r="C351" s="192" t="s">
        <v>779</v>
      </c>
    </row>
    <row r="352" spans="3:3" ht="15" x14ac:dyDescent="0.2">
      <c r="C352" s="192" t="s">
        <v>780</v>
      </c>
    </row>
    <row r="353" spans="3:3" ht="15" x14ac:dyDescent="0.2">
      <c r="C353" s="192" t="s">
        <v>781</v>
      </c>
    </row>
    <row r="354" spans="3:3" ht="15" x14ac:dyDescent="0.2">
      <c r="C354" s="192" t="s">
        <v>782</v>
      </c>
    </row>
    <row r="355" spans="3:3" ht="15" x14ac:dyDescent="0.2">
      <c r="C355" s="192" t="s">
        <v>650</v>
      </c>
    </row>
    <row r="356" spans="3:3" ht="15" x14ac:dyDescent="0.2">
      <c r="C356" s="192" t="s">
        <v>651</v>
      </c>
    </row>
    <row r="357" spans="3:3" ht="15" x14ac:dyDescent="0.2">
      <c r="C357" s="192" t="s">
        <v>783</v>
      </c>
    </row>
    <row r="358" spans="3:3" ht="15" x14ac:dyDescent="0.2">
      <c r="C358" s="192" t="s">
        <v>784</v>
      </c>
    </row>
    <row r="359" spans="3:3" ht="15" x14ac:dyDescent="0.2">
      <c r="C359" s="192" t="s">
        <v>785</v>
      </c>
    </row>
    <row r="360" spans="3:3" ht="15" x14ac:dyDescent="0.2">
      <c r="C360" s="192" t="s">
        <v>786</v>
      </c>
    </row>
    <row r="361" spans="3:3" ht="15" x14ac:dyDescent="0.2">
      <c r="C361" s="192" t="s">
        <v>787</v>
      </c>
    </row>
    <row r="362" spans="3:3" ht="15" x14ac:dyDescent="0.2">
      <c r="C362" s="192" t="s">
        <v>788</v>
      </c>
    </row>
    <row r="363" spans="3:3" ht="15" x14ac:dyDescent="0.2">
      <c r="C363" s="192" t="s">
        <v>789</v>
      </c>
    </row>
    <row r="364" spans="3:3" ht="15" x14ac:dyDescent="0.2">
      <c r="C364" s="192" t="s">
        <v>790</v>
      </c>
    </row>
    <row r="365" spans="3:3" ht="15" x14ac:dyDescent="0.2">
      <c r="C365" s="192" t="s">
        <v>791</v>
      </c>
    </row>
    <row r="366" spans="3:3" ht="15" x14ac:dyDescent="0.2">
      <c r="C366" s="192" t="s">
        <v>792</v>
      </c>
    </row>
    <row r="367" spans="3:3" ht="15" x14ac:dyDescent="0.2">
      <c r="C367" s="192" t="s">
        <v>793</v>
      </c>
    </row>
    <row r="368" spans="3:3" ht="15" x14ac:dyDescent="0.2">
      <c r="C368" s="192" t="s">
        <v>794</v>
      </c>
    </row>
    <row r="369" spans="3:3" ht="15" x14ac:dyDescent="0.2">
      <c r="C369" s="192" t="s">
        <v>624</v>
      </c>
    </row>
    <row r="370" spans="3:3" ht="15" x14ac:dyDescent="0.2">
      <c r="C370" s="192" t="s">
        <v>795</v>
      </c>
    </row>
    <row r="371" spans="3:3" ht="15" x14ac:dyDescent="0.2">
      <c r="C371" s="192" t="s">
        <v>796</v>
      </c>
    </row>
    <row r="372" spans="3:3" ht="15" x14ac:dyDescent="0.2">
      <c r="C372" s="192" t="s">
        <v>797</v>
      </c>
    </row>
    <row r="373" spans="3:3" ht="15" x14ac:dyDescent="0.2">
      <c r="C373" s="192" t="s">
        <v>798</v>
      </c>
    </row>
    <row r="374" spans="3:3" ht="15" x14ac:dyDescent="0.2">
      <c r="C374" s="192" t="s">
        <v>799</v>
      </c>
    </row>
    <row r="375" spans="3:3" ht="15" x14ac:dyDescent="0.2">
      <c r="C375" s="192" t="s">
        <v>800</v>
      </c>
    </row>
    <row r="376" spans="3:3" ht="15" x14ac:dyDescent="0.2">
      <c r="C376" s="192" t="s">
        <v>801</v>
      </c>
    </row>
    <row r="377" spans="3:3" ht="15" x14ac:dyDescent="0.2">
      <c r="C377" s="192" t="s">
        <v>802</v>
      </c>
    </row>
    <row r="378" spans="3:3" ht="15" x14ac:dyDescent="0.2">
      <c r="C378" s="192" t="s">
        <v>803</v>
      </c>
    </row>
    <row r="379" spans="3:3" ht="15" x14ac:dyDescent="0.2">
      <c r="C379" s="192" t="s">
        <v>804</v>
      </c>
    </row>
    <row r="380" spans="3:3" ht="15" x14ac:dyDescent="0.2">
      <c r="C380" s="192" t="s">
        <v>805</v>
      </c>
    </row>
    <row r="381" spans="3:3" ht="15" x14ac:dyDescent="0.2">
      <c r="C381" s="192" t="s">
        <v>806</v>
      </c>
    </row>
    <row r="382" spans="3:3" ht="15" x14ac:dyDescent="0.2">
      <c r="C382" s="192" t="s">
        <v>807</v>
      </c>
    </row>
    <row r="383" spans="3:3" ht="15" x14ac:dyDescent="0.2">
      <c r="C383" s="192" t="s">
        <v>801</v>
      </c>
    </row>
    <row r="384" spans="3:3" ht="15" x14ac:dyDescent="0.2">
      <c r="C384" s="192" t="s">
        <v>802</v>
      </c>
    </row>
    <row r="385" spans="3:3" ht="15" x14ac:dyDescent="0.2">
      <c r="C385" s="192" t="s">
        <v>803</v>
      </c>
    </row>
    <row r="386" spans="3:3" ht="15" x14ac:dyDescent="0.2">
      <c r="C386" s="192" t="s">
        <v>804</v>
      </c>
    </row>
    <row r="387" spans="3:3" ht="15" x14ac:dyDescent="0.2">
      <c r="C387" s="192" t="s">
        <v>805</v>
      </c>
    </row>
    <row r="388" spans="3:3" ht="15" x14ac:dyDescent="0.2">
      <c r="C388" s="192" t="s">
        <v>808</v>
      </c>
    </row>
    <row r="389" spans="3:3" ht="15" x14ac:dyDescent="0.2">
      <c r="C389" s="192" t="s">
        <v>809</v>
      </c>
    </row>
    <row r="390" spans="3:3" x14ac:dyDescent="0.2">
      <c r="C390" s="193"/>
    </row>
    <row r="391" spans="3:3" ht="15" x14ac:dyDescent="0.2">
      <c r="C391" s="192" t="s">
        <v>810</v>
      </c>
    </row>
    <row r="392" spans="3:3" ht="15" x14ac:dyDescent="0.2">
      <c r="C392" s="192" t="s">
        <v>811</v>
      </c>
    </row>
    <row r="393" spans="3:3" ht="15" x14ac:dyDescent="0.2">
      <c r="C393" s="192" t="s">
        <v>812</v>
      </c>
    </row>
    <row r="394" spans="3:3" x14ac:dyDescent="0.2">
      <c r="C394" s="193"/>
    </row>
    <row r="395" spans="3:3" ht="15" x14ac:dyDescent="0.2">
      <c r="C395" s="192" t="s">
        <v>813</v>
      </c>
    </row>
    <row r="396" spans="3:3" ht="15" x14ac:dyDescent="0.2">
      <c r="C396" s="192" t="s">
        <v>814</v>
      </c>
    </row>
    <row r="397" spans="3:3" ht="15" x14ac:dyDescent="0.2">
      <c r="C397" s="192" t="s">
        <v>815</v>
      </c>
    </row>
    <row r="398" spans="3:3" ht="15" x14ac:dyDescent="0.2">
      <c r="C398" s="192" t="s">
        <v>816</v>
      </c>
    </row>
    <row r="399" spans="3:3" ht="15" x14ac:dyDescent="0.2">
      <c r="C399" s="192" t="s">
        <v>817</v>
      </c>
    </row>
    <row r="400" spans="3:3" ht="15" x14ac:dyDescent="0.2">
      <c r="C400" s="192" t="s">
        <v>818</v>
      </c>
    </row>
    <row r="401" spans="3:3" ht="15" x14ac:dyDescent="0.2">
      <c r="C401" s="192" t="s">
        <v>819</v>
      </c>
    </row>
    <row r="402" spans="3:3" x14ac:dyDescent="0.2">
      <c r="C402" s="193"/>
    </row>
    <row r="403" spans="3:3" ht="15" x14ac:dyDescent="0.2">
      <c r="C403" s="192" t="s">
        <v>820</v>
      </c>
    </row>
    <row r="404" spans="3:3" ht="15" x14ac:dyDescent="0.2">
      <c r="C404" s="192" t="s">
        <v>821</v>
      </c>
    </row>
    <row r="405" spans="3:3" ht="15" x14ac:dyDescent="0.2">
      <c r="C405" s="192" t="s">
        <v>822</v>
      </c>
    </row>
    <row r="406" spans="3:3" ht="15" x14ac:dyDescent="0.2">
      <c r="C406" s="192" t="s">
        <v>823</v>
      </c>
    </row>
    <row r="407" spans="3:3" ht="15" x14ac:dyDescent="0.2">
      <c r="C407" s="192" t="s">
        <v>824</v>
      </c>
    </row>
    <row r="408" spans="3:3" ht="15" x14ac:dyDescent="0.2">
      <c r="C408" s="192" t="s">
        <v>825</v>
      </c>
    </row>
    <row r="409" spans="3:3" ht="15" x14ac:dyDescent="0.2">
      <c r="C409" s="192" t="s">
        <v>826</v>
      </c>
    </row>
    <row r="410" spans="3:3" ht="15" x14ac:dyDescent="0.2">
      <c r="C410" s="192" t="s">
        <v>822</v>
      </c>
    </row>
    <row r="411" spans="3:3" ht="15" x14ac:dyDescent="0.2">
      <c r="C411" s="192" t="s">
        <v>823</v>
      </c>
    </row>
    <row r="412" spans="3:3" ht="15" x14ac:dyDescent="0.2">
      <c r="C412" s="192" t="s">
        <v>824</v>
      </c>
    </row>
    <row r="413" spans="3:3" ht="15" x14ac:dyDescent="0.2">
      <c r="C413" s="192" t="s">
        <v>827</v>
      </c>
    </row>
    <row r="414" spans="3:3" ht="15" x14ac:dyDescent="0.2">
      <c r="C414" s="192" t="s">
        <v>814</v>
      </c>
    </row>
    <row r="415" spans="3:3" ht="15" x14ac:dyDescent="0.2">
      <c r="C415" s="192" t="s">
        <v>828</v>
      </c>
    </row>
    <row r="416" spans="3:3" ht="15" x14ac:dyDescent="0.2">
      <c r="C416" s="192" t="s">
        <v>829</v>
      </c>
    </row>
    <row r="417" spans="3:3" ht="15" x14ac:dyDescent="0.2">
      <c r="C417" s="192" t="s">
        <v>817</v>
      </c>
    </row>
    <row r="418" spans="3:3" ht="15" x14ac:dyDescent="0.2">
      <c r="C418" s="192" t="s">
        <v>830</v>
      </c>
    </row>
    <row r="419" spans="3:3" ht="15" x14ac:dyDescent="0.2">
      <c r="C419" s="192" t="s">
        <v>831</v>
      </c>
    </row>
    <row r="420" spans="3:3" ht="15" x14ac:dyDescent="0.2">
      <c r="C420" s="192"/>
    </row>
    <row r="421" spans="3:3" ht="15" x14ac:dyDescent="0.2">
      <c r="C421" s="192" t="s">
        <v>832</v>
      </c>
    </row>
    <row r="422" spans="3:3" ht="15" x14ac:dyDescent="0.2">
      <c r="C422" s="192" t="s">
        <v>833</v>
      </c>
    </row>
    <row r="423" spans="3:3" ht="15" x14ac:dyDescent="0.2">
      <c r="C423" s="192" t="s">
        <v>834</v>
      </c>
    </row>
    <row r="424" spans="3:3" ht="15" x14ac:dyDescent="0.2">
      <c r="C424" s="192" t="s">
        <v>835</v>
      </c>
    </row>
    <row r="425" spans="3:3" ht="15" x14ac:dyDescent="0.2">
      <c r="C425" s="192" t="s">
        <v>836</v>
      </c>
    </row>
    <row r="426" spans="3:3" x14ac:dyDescent="0.2">
      <c r="C426" s="193"/>
    </row>
    <row r="427" spans="3:3" ht="15" x14ac:dyDescent="0.2">
      <c r="C427" s="192" t="s">
        <v>837</v>
      </c>
    </row>
    <row r="428" spans="3:3" ht="15" x14ac:dyDescent="0.2">
      <c r="C428" s="192" t="s">
        <v>838</v>
      </c>
    </row>
    <row r="429" spans="3:3" ht="15" x14ac:dyDescent="0.2">
      <c r="C429" s="192" t="s">
        <v>640</v>
      </c>
    </row>
    <row r="430" spans="3:3" ht="15" x14ac:dyDescent="0.2">
      <c r="C430" s="192" t="s">
        <v>839</v>
      </c>
    </row>
    <row r="431" spans="3:3" ht="15" x14ac:dyDescent="0.2">
      <c r="C431" s="192" t="s">
        <v>840</v>
      </c>
    </row>
    <row r="432" spans="3:3" ht="15" x14ac:dyDescent="0.2">
      <c r="C432" s="192" t="s">
        <v>841</v>
      </c>
    </row>
    <row r="433" spans="3:3" ht="15" x14ac:dyDescent="0.2">
      <c r="C433" s="192" t="s">
        <v>842</v>
      </c>
    </row>
    <row r="434" spans="3:3" ht="15" x14ac:dyDescent="0.2">
      <c r="C434" s="192" t="s">
        <v>843</v>
      </c>
    </row>
    <row r="435" spans="3:3" ht="15" x14ac:dyDescent="0.2">
      <c r="C435" s="192" t="s">
        <v>844</v>
      </c>
    </row>
    <row r="436" spans="3:3" ht="15" x14ac:dyDescent="0.2">
      <c r="C436" s="192" t="s">
        <v>845</v>
      </c>
    </row>
    <row r="437" spans="3:3" ht="15" x14ac:dyDescent="0.2">
      <c r="C437" s="192" t="s">
        <v>846</v>
      </c>
    </row>
    <row r="438" spans="3:3" ht="15" x14ac:dyDescent="0.2">
      <c r="C438" s="192" t="s">
        <v>847</v>
      </c>
    </row>
    <row r="439" spans="3:3" ht="15" x14ac:dyDescent="0.2">
      <c r="C439" s="192" t="s">
        <v>848</v>
      </c>
    </row>
    <row r="440" spans="3:3" ht="15" x14ac:dyDescent="0.2">
      <c r="C440" s="192" t="s">
        <v>842</v>
      </c>
    </row>
    <row r="441" spans="3:3" ht="15" x14ac:dyDescent="0.2">
      <c r="C441" s="192" t="s">
        <v>843</v>
      </c>
    </row>
    <row r="442" spans="3:3" ht="15" x14ac:dyDescent="0.2">
      <c r="C442" s="192" t="s">
        <v>844</v>
      </c>
    </row>
    <row r="443" spans="3:3" ht="15" x14ac:dyDescent="0.2">
      <c r="C443" s="192" t="s">
        <v>845</v>
      </c>
    </row>
    <row r="444" spans="3:3" ht="15" x14ac:dyDescent="0.2">
      <c r="C444" s="192" t="s">
        <v>846</v>
      </c>
    </row>
    <row r="445" spans="3:3" ht="15" x14ac:dyDescent="0.2">
      <c r="C445" s="192" t="s">
        <v>849</v>
      </c>
    </row>
    <row r="446" spans="3:3" ht="15" x14ac:dyDescent="0.2">
      <c r="C446" s="192" t="s">
        <v>850</v>
      </c>
    </row>
    <row r="447" spans="3:3" ht="15" x14ac:dyDescent="0.2">
      <c r="C447" s="192" t="s">
        <v>851</v>
      </c>
    </row>
    <row r="448" spans="3:3" x14ac:dyDescent="0.2">
      <c r="C448" s="193"/>
    </row>
    <row r="449" spans="3:3" ht="15" x14ac:dyDescent="0.2">
      <c r="C449" s="192" t="s">
        <v>852</v>
      </c>
    </row>
    <row r="450" spans="3:3" ht="15" x14ac:dyDescent="0.2">
      <c r="C450" s="192" t="s">
        <v>853</v>
      </c>
    </row>
    <row r="451" spans="3:3" ht="15" x14ac:dyDescent="0.2">
      <c r="C451" s="192" t="s">
        <v>854</v>
      </c>
    </row>
    <row r="452" spans="3:3" x14ac:dyDescent="0.2">
      <c r="C452" s="193"/>
    </row>
    <row r="453" spans="3:3" ht="15" x14ac:dyDescent="0.2">
      <c r="C453" s="192" t="s">
        <v>855</v>
      </c>
    </row>
    <row r="454" spans="3:3" ht="15" x14ac:dyDescent="0.2">
      <c r="C454" s="192" t="s">
        <v>856</v>
      </c>
    </row>
    <row r="455" spans="3:3" ht="15" x14ac:dyDescent="0.2">
      <c r="C455" s="192" t="s">
        <v>857</v>
      </c>
    </row>
    <row r="456" spans="3:3" x14ac:dyDescent="0.2">
      <c r="C456" s="193"/>
    </row>
    <row r="457" spans="3:3" ht="15" x14ac:dyDescent="0.2">
      <c r="C457" s="192" t="s">
        <v>858</v>
      </c>
    </row>
    <row r="458" spans="3:3" ht="15" x14ac:dyDescent="0.2">
      <c r="C458" s="192" t="s">
        <v>859</v>
      </c>
    </row>
    <row r="459" spans="3:3" x14ac:dyDescent="0.2">
      <c r="C459" s="193"/>
    </row>
    <row r="460" spans="3:3" ht="15" x14ac:dyDescent="0.2">
      <c r="C460" s="192" t="s">
        <v>860</v>
      </c>
    </row>
    <row r="461" spans="3:3" ht="15" x14ac:dyDescent="0.2">
      <c r="C461" s="192" t="s">
        <v>861</v>
      </c>
    </row>
    <row r="462" spans="3:3" ht="15" x14ac:dyDescent="0.2">
      <c r="C462" s="192" t="s">
        <v>862</v>
      </c>
    </row>
    <row r="463" spans="3:3" ht="15" x14ac:dyDescent="0.2">
      <c r="C463" s="192" t="s">
        <v>863</v>
      </c>
    </row>
    <row r="464" spans="3:3" ht="15" x14ac:dyDescent="0.2">
      <c r="C464" s="192" t="s">
        <v>864</v>
      </c>
    </row>
    <row r="465" spans="3:3" ht="15" x14ac:dyDescent="0.2">
      <c r="C465" s="192" t="s">
        <v>865</v>
      </c>
    </row>
    <row r="466" spans="3:3" ht="15" x14ac:dyDescent="0.2">
      <c r="C466" s="192" t="s">
        <v>866</v>
      </c>
    </row>
    <row r="467" spans="3:3" ht="15" x14ac:dyDescent="0.2">
      <c r="C467" s="192" t="s">
        <v>867</v>
      </c>
    </row>
    <row r="468" spans="3:3" ht="15" x14ac:dyDescent="0.2">
      <c r="C468" s="192" t="s">
        <v>868</v>
      </c>
    </row>
    <row r="469" spans="3:3" ht="15" x14ac:dyDescent="0.2">
      <c r="C469" s="192" t="s">
        <v>869</v>
      </c>
    </row>
    <row r="470" spans="3:3" ht="15" x14ac:dyDescent="0.2">
      <c r="C470" s="192" t="s">
        <v>870</v>
      </c>
    </row>
    <row r="471" spans="3:3" ht="15" x14ac:dyDescent="0.2">
      <c r="C471" s="192" t="s">
        <v>871</v>
      </c>
    </row>
    <row r="472" spans="3:3" ht="15" x14ac:dyDescent="0.2">
      <c r="C472" s="192"/>
    </row>
    <row r="473" spans="3:3" ht="15" x14ac:dyDescent="0.2">
      <c r="C473" s="192" t="s">
        <v>872</v>
      </c>
    </row>
    <row r="474" spans="3:3" x14ac:dyDescent="0.2">
      <c r="C474" s="193"/>
    </row>
    <row r="475" spans="3:3" ht="15" x14ac:dyDescent="0.2">
      <c r="C475" s="192" t="s">
        <v>873</v>
      </c>
    </row>
    <row r="476" spans="3:3" ht="15" x14ac:dyDescent="0.2">
      <c r="C476" s="192" t="s">
        <v>874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0" spans="3:3" x14ac:dyDescent="0.2">
      <c r="C480" s="193"/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880</v>
      </c>
    </row>
    <row r="484" spans="3:3" ht="15" x14ac:dyDescent="0.2">
      <c r="C484" s="192" t="s">
        <v>881</v>
      </c>
    </row>
    <row r="485" spans="3:3" ht="15" x14ac:dyDescent="0.2">
      <c r="C485" s="192" t="s">
        <v>882</v>
      </c>
    </row>
    <row r="486" spans="3:3" ht="15" x14ac:dyDescent="0.2">
      <c r="C486" s="192" t="s">
        <v>883</v>
      </c>
    </row>
    <row r="487" spans="3:3" ht="15" x14ac:dyDescent="0.2">
      <c r="C487" s="192" t="s">
        <v>884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889</v>
      </c>
    </row>
    <row r="493" spans="3:3" ht="15" x14ac:dyDescent="0.2">
      <c r="C493" s="192" t="s">
        <v>890</v>
      </c>
    </row>
    <row r="494" spans="3:3" x14ac:dyDescent="0.2">
      <c r="C494" s="193"/>
    </row>
    <row r="495" spans="3:3" ht="15" x14ac:dyDescent="0.2">
      <c r="C495" s="192" t="s">
        <v>891</v>
      </c>
    </row>
    <row r="496" spans="3:3" x14ac:dyDescent="0.2">
      <c r="C496" s="193"/>
    </row>
    <row r="497" spans="3:3" ht="15" x14ac:dyDescent="0.2">
      <c r="C497" s="192" t="s">
        <v>892</v>
      </c>
    </row>
    <row r="498" spans="3:3" ht="15" x14ac:dyDescent="0.2">
      <c r="C498" s="192" t="s">
        <v>893</v>
      </c>
    </row>
    <row r="499" spans="3:3" ht="15" x14ac:dyDescent="0.2">
      <c r="C499" s="192" t="s">
        <v>894</v>
      </c>
    </row>
    <row r="500" spans="3:3" ht="15" x14ac:dyDescent="0.2">
      <c r="C500" s="192" t="s">
        <v>895</v>
      </c>
    </row>
    <row r="501" spans="3:3" ht="15" x14ac:dyDescent="0.2">
      <c r="C501" s="192" t="s">
        <v>896</v>
      </c>
    </row>
    <row r="502" spans="3:3" ht="15" x14ac:dyDescent="0.2">
      <c r="C502" s="192" t="s">
        <v>897</v>
      </c>
    </row>
    <row r="503" spans="3:3" ht="15" x14ac:dyDescent="0.2">
      <c r="C503" s="192" t="s">
        <v>876</v>
      </c>
    </row>
    <row r="504" spans="3:3" x14ac:dyDescent="0.2">
      <c r="C504" s="193"/>
    </row>
    <row r="505" spans="3:3" ht="15" x14ac:dyDescent="0.2">
      <c r="C505" s="192" t="s">
        <v>898</v>
      </c>
    </row>
    <row r="506" spans="3:3" ht="15" x14ac:dyDescent="0.2">
      <c r="C506" s="192" t="s">
        <v>899</v>
      </c>
    </row>
    <row r="507" spans="3:3" x14ac:dyDescent="0.2">
      <c r="C507" s="193"/>
    </row>
    <row r="508" spans="3:3" ht="15" x14ac:dyDescent="0.2">
      <c r="C508" s="192" t="s">
        <v>900</v>
      </c>
    </row>
    <row r="509" spans="3:3" ht="15" x14ac:dyDescent="0.2">
      <c r="C509" s="192" t="s">
        <v>901</v>
      </c>
    </row>
    <row r="510" spans="3:3" ht="15" x14ac:dyDescent="0.2">
      <c r="C510" s="192" t="s">
        <v>902</v>
      </c>
    </row>
    <row r="511" spans="3:3" ht="15" x14ac:dyDescent="0.2">
      <c r="C511" s="192" t="s">
        <v>903</v>
      </c>
    </row>
    <row r="512" spans="3:3" ht="15" x14ac:dyDescent="0.2">
      <c r="C512" s="192" t="s">
        <v>904</v>
      </c>
    </row>
    <row r="513" spans="3:3" ht="15" x14ac:dyDescent="0.2">
      <c r="C513" s="192" t="s">
        <v>905</v>
      </c>
    </row>
    <row r="514" spans="3:3" x14ac:dyDescent="0.2">
      <c r="C514" s="193"/>
    </row>
    <row r="515" spans="3:3" ht="15" x14ac:dyDescent="0.2">
      <c r="C515" s="192" t="s">
        <v>900</v>
      </c>
    </row>
    <row r="516" spans="3:3" ht="15" x14ac:dyDescent="0.2">
      <c r="C516" s="192" t="s">
        <v>906</v>
      </c>
    </row>
    <row r="517" spans="3:3" ht="15" x14ac:dyDescent="0.2">
      <c r="C517" s="192" t="s">
        <v>907</v>
      </c>
    </row>
    <row r="518" spans="3:3" ht="15" x14ac:dyDescent="0.2">
      <c r="C518" s="192" t="s">
        <v>908</v>
      </c>
    </row>
    <row r="519" spans="3:3" ht="15" x14ac:dyDescent="0.2">
      <c r="C519" s="192" t="s">
        <v>909</v>
      </c>
    </row>
    <row r="520" spans="3:3" x14ac:dyDescent="0.2">
      <c r="C520" s="193"/>
    </row>
    <row r="521" spans="3:3" ht="15" x14ac:dyDescent="0.2">
      <c r="C521" s="192" t="s">
        <v>910</v>
      </c>
    </row>
    <row r="522" spans="3:3" ht="15" x14ac:dyDescent="0.2">
      <c r="C522" s="192" t="s">
        <v>911</v>
      </c>
    </row>
    <row r="523" spans="3:3" ht="15" x14ac:dyDescent="0.2">
      <c r="C523" s="192" t="s">
        <v>912</v>
      </c>
    </row>
    <row r="524" spans="3:3" ht="15" x14ac:dyDescent="0.2">
      <c r="C524" s="192" t="s">
        <v>913</v>
      </c>
    </row>
    <row r="525" spans="3:3" ht="15" x14ac:dyDescent="0.2">
      <c r="C525" s="192" t="s">
        <v>914</v>
      </c>
    </row>
    <row r="526" spans="3:3" x14ac:dyDescent="0.2">
      <c r="C526" s="193"/>
    </row>
    <row r="527" spans="3:3" ht="15" x14ac:dyDescent="0.2">
      <c r="C527" s="192" t="s">
        <v>915</v>
      </c>
    </row>
    <row r="528" spans="3:3" ht="15" x14ac:dyDescent="0.2">
      <c r="C528" s="192" t="s">
        <v>916</v>
      </c>
    </row>
    <row r="529" spans="3:3" ht="15" x14ac:dyDescent="0.2">
      <c r="C529" s="192" t="s">
        <v>650</v>
      </c>
    </row>
    <row r="530" spans="3:3" ht="15" x14ac:dyDescent="0.2">
      <c r="C530" s="192" t="s">
        <v>651</v>
      </c>
    </row>
    <row r="531" spans="3:3" ht="15" x14ac:dyDescent="0.2">
      <c r="C531" s="192" t="s">
        <v>917</v>
      </c>
    </row>
    <row r="532" spans="3:3" ht="15" x14ac:dyDescent="0.2">
      <c r="C532" s="192" t="s">
        <v>918</v>
      </c>
    </row>
    <row r="533" spans="3:3" ht="15" x14ac:dyDescent="0.2">
      <c r="C533" s="192" t="s">
        <v>919</v>
      </c>
    </row>
    <row r="534" spans="3:3" x14ac:dyDescent="0.2">
      <c r="C534" s="193"/>
    </row>
    <row r="535" spans="3:3" ht="15" x14ac:dyDescent="0.2">
      <c r="C535" s="192" t="s">
        <v>920</v>
      </c>
    </row>
    <row r="536" spans="3:3" ht="15" x14ac:dyDescent="0.2">
      <c r="C536" s="192" t="s">
        <v>651</v>
      </c>
    </row>
    <row r="537" spans="3:3" x14ac:dyDescent="0.2">
      <c r="C537" s="193"/>
    </row>
    <row r="538" spans="3:3" ht="15" x14ac:dyDescent="0.2">
      <c r="C538" s="192" t="s">
        <v>921</v>
      </c>
    </row>
    <row r="539" spans="3:3" ht="15" x14ac:dyDescent="0.2">
      <c r="C539" s="192" t="s">
        <v>922</v>
      </c>
    </row>
    <row r="540" spans="3:3" ht="15" x14ac:dyDescent="0.2">
      <c r="C540" s="192" t="s">
        <v>923</v>
      </c>
    </row>
    <row r="541" spans="3:3" x14ac:dyDescent="0.2">
      <c r="C541" s="193"/>
    </row>
    <row r="542" spans="3:3" ht="15" x14ac:dyDescent="0.2">
      <c r="C542" s="192" t="s">
        <v>924</v>
      </c>
    </row>
    <row r="543" spans="3:3" ht="15" x14ac:dyDescent="0.2">
      <c r="C543" s="192" t="s">
        <v>925</v>
      </c>
    </row>
    <row r="544" spans="3:3" ht="15" x14ac:dyDescent="0.2">
      <c r="C544" s="192" t="s">
        <v>926</v>
      </c>
    </row>
    <row r="545" spans="3:3" ht="15" x14ac:dyDescent="0.2">
      <c r="C545" s="192" t="s">
        <v>927</v>
      </c>
    </row>
    <row r="546" spans="3:3" ht="15" x14ac:dyDescent="0.2">
      <c r="C546" s="192" t="s">
        <v>928</v>
      </c>
    </row>
    <row r="547" spans="3:3" x14ac:dyDescent="0.2">
      <c r="C547" s="193"/>
    </row>
    <row r="548" spans="3:3" ht="15" x14ac:dyDescent="0.2">
      <c r="C548" s="192" t="s">
        <v>929</v>
      </c>
    </row>
    <row r="549" spans="3:3" ht="15" x14ac:dyDescent="0.2">
      <c r="C549" s="192" t="s">
        <v>930</v>
      </c>
    </row>
    <row r="550" spans="3:3" ht="15" x14ac:dyDescent="0.2">
      <c r="C550" s="192" t="s">
        <v>931</v>
      </c>
    </row>
    <row r="551" spans="3:3" ht="15" x14ac:dyDescent="0.2">
      <c r="C551" s="192" t="s">
        <v>932</v>
      </c>
    </row>
    <row r="552" spans="3:3" ht="15" x14ac:dyDescent="0.2">
      <c r="C552" s="192" t="s">
        <v>933</v>
      </c>
    </row>
    <row r="553" spans="3:3" ht="15" x14ac:dyDescent="0.2">
      <c r="C553" s="192" t="s">
        <v>934</v>
      </c>
    </row>
    <row r="554" spans="3:3" ht="15" x14ac:dyDescent="0.2">
      <c r="C554" s="192" t="s">
        <v>935</v>
      </c>
    </row>
    <row r="555" spans="3:3" ht="15" x14ac:dyDescent="0.2">
      <c r="C555" s="192" t="s">
        <v>936</v>
      </c>
    </row>
    <row r="556" spans="3:3" ht="15" x14ac:dyDescent="0.2">
      <c r="C556" s="192" t="s">
        <v>876</v>
      </c>
    </row>
    <row r="557" spans="3:3" x14ac:dyDescent="0.2">
      <c r="C557" s="193"/>
    </row>
    <row r="558" spans="3:3" ht="15" x14ac:dyDescent="0.2">
      <c r="C558" s="192" t="s">
        <v>937</v>
      </c>
    </row>
    <row r="559" spans="3:3" ht="15" x14ac:dyDescent="0.2">
      <c r="C559" s="192" t="s">
        <v>938</v>
      </c>
    </row>
    <row r="560" spans="3:3" x14ac:dyDescent="0.2">
      <c r="C560" s="193"/>
    </row>
    <row r="561" spans="3:3" ht="15" x14ac:dyDescent="0.2">
      <c r="C561" s="192" t="s">
        <v>930</v>
      </c>
    </row>
    <row r="562" spans="3:3" ht="15" x14ac:dyDescent="0.2">
      <c r="C562" s="192" t="s">
        <v>939</v>
      </c>
    </row>
    <row r="563" spans="3:3" ht="15" x14ac:dyDescent="0.2">
      <c r="C563" s="192" t="s">
        <v>940</v>
      </c>
    </row>
    <row r="564" spans="3:3" ht="15" x14ac:dyDescent="0.2">
      <c r="C564" s="192" t="s">
        <v>933</v>
      </c>
    </row>
    <row r="565" spans="3:3" ht="15" x14ac:dyDescent="0.2">
      <c r="C565" s="192" t="s">
        <v>941</v>
      </c>
    </row>
    <row r="566" spans="3:3" ht="15" x14ac:dyDescent="0.2">
      <c r="C566" s="192" t="s">
        <v>942</v>
      </c>
    </row>
    <row r="567" spans="3:3" ht="15" x14ac:dyDescent="0.2">
      <c r="C567" s="192" t="s">
        <v>943</v>
      </c>
    </row>
    <row r="568" spans="3:3" ht="15" x14ac:dyDescent="0.2">
      <c r="C568" s="192" t="s">
        <v>944</v>
      </c>
    </row>
    <row r="569" spans="3:3" ht="15" x14ac:dyDescent="0.2">
      <c r="C569" s="192" t="s">
        <v>945</v>
      </c>
    </row>
    <row r="570" spans="3:3" x14ac:dyDescent="0.2">
      <c r="C570" s="193"/>
    </row>
    <row r="571" spans="3:3" ht="15" x14ac:dyDescent="0.2">
      <c r="C571" s="192" t="s">
        <v>946</v>
      </c>
    </row>
    <row r="572" spans="3:3" ht="15" x14ac:dyDescent="0.2">
      <c r="C572" s="192" t="s">
        <v>947</v>
      </c>
    </row>
    <row r="573" spans="3:3" ht="15" x14ac:dyDescent="0.2">
      <c r="C573" s="192" t="s">
        <v>948</v>
      </c>
    </row>
    <row r="574" spans="3:3" ht="15" x14ac:dyDescent="0.2">
      <c r="C574" s="192" t="s">
        <v>949</v>
      </c>
    </row>
    <row r="575" spans="3:3" ht="15" x14ac:dyDescent="0.2">
      <c r="C575" s="192" t="s">
        <v>950</v>
      </c>
    </row>
    <row r="576" spans="3:3" ht="15" x14ac:dyDescent="0.2">
      <c r="C576" s="192" t="s">
        <v>951</v>
      </c>
    </row>
    <row r="577" spans="3:3" ht="15" x14ac:dyDescent="0.2">
      <c r="C577" s="192" t="s">
        <v>952</v>
      </c>
    </row>
    <row r="578" spans="3:3" ht="15" x14ac:dyDescent="0.2">
      <c r="C578" s="192" t="s">
        <v>953</v>
      </c>
    </row>
    <row r="579" spans="3:3" ht="15" x14ac:dyDescent="0.2">
      <c r="C579" s="192" t="s">
        <v>954</v>
      </c>
    </row>
    <row r="580" spans="3:3" ht="15" x14ac:dyDescent="0.2">
      <c r="C580" s="192" t="s">
        <v>955</v>
      </c>
    </row>
    <row r="581" spans="3:3" ht="15" x14ac:dyDescent="0.2">
      <c r="C581" s="192" t="s">
        <v>956</v>
      </c>
    </row>
    <row r="582" spans="3:3" ht="15" x14ac:dyDescent="0.2">
      <c r="C582" s="192" t="s">
        <v>957</v>
      </c>
    </row>
    <row r="583" spans="3:3" ht="15" x14ac:dyDescent="0.2">
      <c r="C583" s="192" t="s">
        <v>958</v>
      </c>
    </row>
    <row r="584" spans="3:3" ht="15" x14ac:dyDescent="0.2">
      <c r="C584" s="192" t="s">
        <v>959</v>
      </c>
    </row>
    <row r="585" spans="3:3" ht="15" x14ac:dyDescent="0.2">
      <c r="C585" s="192" t="s">
        <v>960</v>
      </c>
    </row>
    <row r="586" spans="3:3" ht="15" x14ac:dyDescent="0.2">
      <c r="C586" s="192" t="s">
        <v>961</v>
      </c>
    </row>
    <row r="587" spans="3:3" ht="15" x14ac:dyDescent="0.2">
      <c r="C587" s="192" t="s">
        <v>962</v>
      </c>
    </row>
    <row r="588" spans="3:3" ht="15" x14ac:dyDescent="0.2">
      <c r="C588" s="192" t="s">
        <v>963</v>
      </c>
    </row>
    <row r="589" spans="3:3" ht="15" x14ac:dyDescent="0.2">
      <c r="C589" s="192" t="s">
        <v>964</v>
      </c>
    </row>
    <row r="590" spans="3:3" ht="15" x14ac:dyDescent="0.2">
      <c r="C590" s="192" t="s">
        <v>965</v>
      </c>
    </row>
    <row r="591" spans="3:3" ht="15" x14ac:dyDescent="0.2">
      <c r="C591" s="192" t="s">
        <v>966</v>
      </c>
    </row>
    <row r="592" spans="3:3" ht="15" x14ac:dyDescent="0.2">
      <c r="C592" s="192" t="s">
        <v>967</v>
      </c>
    </row>
    <row r="593" spans="3:3" ht="15" x14ac:dyDescent="0.2">
      <c r="C593" s="192" t="s">
        <v>804</v>
      </c>
    </row>
    <row r="594" spans="3:3" ht="15" x14ac:dyDescent="0.2">
      <c r="C594" s="192" t="s">
        <v>968</v>
      </c>
    </row>
    <row r="595" spans="3:3" ht="15" x14ac:dyDescent="0.2">
      <c r="C595" s="192" t="s">
        <v>969</v>
      </c>
    </row>
    <row r="596" spans="3:3" ht="15" x14ac:dyDescent="0.2">
      <c r="C596" s="192" t="s">
        <v>970</v>
      </c>
    </row>
    <row r="597" spans="3:3" ht="15" x14ac:dyDescent="0.2">
      <c r="C597" s="192" t="s">
        <v>971</v>
      </c>
    </row>
    <row r="598" spans="3:3" ht="15" x14ac:dyDescent="0.2">
      <c r="C598" s="192" t="s">
        <v>972</v>
      </c>
    </row>
    <row r="599" spans="3:3" ht="15" x14ac:dyDescent="0.2">
      <c r="C599" s="192" t="s">
        <v>973</v>
      </c>
    </row>
    <row r="600" spans="3:3" ht="15" x14ac:dyDescent="0.2">
      <c r="C600" s="192" t="s">
        <v>974</v>
      </c>
    </row>
    <row r="601" spans="3:3" x14ac:dyDescent="0.2">
      <c r="C601" s="193"/>
    </row>
    <row r="602" spans="3:3" ht="15" x14ac:dyDescent="0.2">
      <c r="C602" s="192" t="s">
        <v>975</v>
      </c>
    </row>
    <row r="603" spans="3:3" ht="15" x14ac:dyDescent="0.2">
      <c r="C603" s="192" t="s">
        <v>976</v>
      </c>
    </row>
    <row r="604" spans="3:3" x14ac:dyDescent="0.2">
      <c r="C604" s="193"/>
    </row>
    <row r="605" spans="3:3" ht="15" x14ac:dyDescent="0.2">
      <c r="C605" s="192" t="s">
        <v>977</v>
      </c>
    </row>
    <row r="606" spans="3:3" ht="15" x14ac:dyDescent="0.2">
      <c r="C606" s="192" t="s">
        <v>978</v>
      </c>
    </row>
    <row r="607" spans="3:3" x14ac:dyDescent="0.2">
      <c r="C607" s="193"/>
    </row>
    <row r="608" spans="3:3" ht="15" x14ac:dyDescent="0.2">
      <c r="C608" s="192" t="s">
        <v>979</v>
      </c>
    </row>
    <row r="609" spans="3:3" ht="15" x14ac:dyDescent="0.2">
      <c r="C609" s="192" t="s">
        <v>930</v>
      </c>
    </row>
    <row r="610" spans="3:3" ht="15" x14ac:dyDescent="0.2">
      <c r="C610" s="192" t="s">
        <v>931</v>
      </c>
    </row>
    <row r="611" spans="3:3" ht="15" x14ac:dyDescent="0.2">
      <c r="C611" s="192" t="s">
        <v>980</v>
      </c>
    </row>
    <row r="612" spans="3:3" ht="15" x14ac:dyDescent="0.2">
      <c r="C612" s="192" t="s">
        <v>933</v>
      </c>
    </row>
    <row r="613" spans="3:3" ht="15" x14ac:dyDescent="0.2">
      <c r="C613" s="192" t="s">
        <v>981</v>
      </c>
    </row>
    <row r="614" spans="3:3" ht="15" x14ac:dyDescent="0.2">
      <c r="C614" s="192" t="s">
        <v>935</v>
      </c>
    </row>
    <row r="615" spans="3:3" ht="15" x14ac:dyDescent="0.2">
      <c r="C615" s="192" t="s">
        <v>936</v>
      </c>
    </row>
    <row r="616" spans="3:3" ht="15" x14ac:dyDescent="0.2">
      <c r="C616" s="192" t="s">
        <v>876</v>
      </c>
    </row>
    <row r="617" spans="3:3" x14ac:dyDescent="0.2">
      <c r="C617" s="193"/>
    </row>
    <row r="618" spans="3:3" ht="15" x14ac:dyDescent="0.2">
      <c r="C618" s="192" t="s">
        <v>982</v>
      </c>
    </row>
    <row r="619" spans="3:3" ht="15" x14ac:dyDescent="0.2">
      <c r="C619" s="192" t="s">
        <v>983</v>
      </c>
    </row>
    <row r="620" spans="3:3" x14ac:dyDescent="0.2">
      <c r="C620" s="193"/>
    </row>
    <row r="621" spans="3:3" ht="15" x14ac:dyDescent="0.2">
      <c r="C621" s="192" t="s">
        <v>930</v>
      </c>
    </row>
    <row r="622" spans="3:3" ht="15" x14ac:dyDescent="0.2">
      <c r="C622" s="192" t="s">
        <v>984</v>
      </c>
    </row>
    <row r="623" spans="3:3" ht="15" x14ac:dyDescent="0.2">
      <c r="C623" s="192" t="s">
        <v>985</v>
      </c>
    </row>
    <row r="624" spans="3:3" ht="15" x14ac:dyDescent="0.2">
      <c r="C624" s="192" t="s">
        <v>933</v>
      </c>
    </row>
    <row r="625" spans="3:3" ht="15" x14ac:dyDescent="0.2">
      <c r="C625" s="192" t="s">
        <v>941</v>
      </c>
    </row>
    <row r="626" spans="3:3" ht="15" x14ac:dyDescent="0.2">
      <c r="C626" s="192" t="s">
        <v>942</v>
      </c>
    </row>
    <row r="627" spans="3:3" ht="15" x14ac:dyDescent="0.2">
      <c r="C627" s="192" t="s">
        <v>986</v>
      </c>
    </row>
    <row r="628" spans="3:3" ht="15" x14ac:dyDescent="0.2">
      <c r="C628" s="192" t="s">
        <v>944</v>
      </c>
    </row>
    <row r="629" spans="3:3" ht="15" x14ac:dyDescent="0.2">
      <c r="C629" s="192" t="s">
        <v>876</v>
      </c>
    </row>
    <row r="630" spans="3:3" x14ac:dyDescent="0.2">
      <c r="C630" s="193"/>
    </row>
    <row r="631" spans="3:3" ht="15" x14ac:dyDescent="0.2">
      <c r="C631" s="192" t="s">
        <v>987</v>
      </c>
    </row>
    <row r="632" spans="3:3" ht="15" x14ac:dyDescent="0.2">
      <c r="C632" s="192" t="s">
        <v>930</v>
      </c>
    </row>
    <row r="633" spans="3:3" ht="15" x14ac:dyDescent="0.2">
      <c r="C633" s="192" t="s">
        <v>931</v>
      </c>
    </row>
    <row r="634" spans="3:3" ht="15" x14ac:dyDescent="0.2">
      <c r="C634" s="192" t="s">
        <v>988</v>
      </c>
    </row>
    <row r="635" spans="3:3" ht="15" x14ac:dyDescent="0.2">
      <c r="C635" s="192" t="s">
        <v>933</v>
      </c>
    </row>
    <row r="636" spans="3:3" ht="15" x14ac:dyDescent="0.2">
      <c r="C636" s="192" t="s">
        <v>989</v>
      </c>
    </row>
    <row r="637" spans="3:3" ht="15" x14ac:dyDescent="0.2">
      <c r="C637" s="192" t="s">
        <v>935</v>
      </c>
    </row>
    <row r="638" spans="3:3" ht="15" x14ac:dyDescent="0.2">
      <c r="C638" s="192" t="s">
        <v>936</v>
      </c>
    </row>
    <row r="639" spans="3:3" ht="15" x14ac:dyDescent="0.2">
      <c r="C639" s="192" t="s">
        <v>876</v>
      </c>
    </row>
    <row r="640" spans="3:3" x14ac:dyDescent="0.2">
      <c r="C640" s="193"/>
    </row>
    <row r="641" spans="3:3" ht="15" x14ac:dyDescent="0.2">
      <c r="C641" s="192" t="s">
        <v>990</v>
      </c>
    </row>
    <row r="642" spans="3:3" ht="15" x14ac:dyDescent="0.2">
      <c r="C642" s="192" t="s">
        <v>991</v>
      </c>
    </row>
    <row r="643" spans="3:3" x14ac:dyDescent="0.2">
      <c r="C643" s="193"/>
    </row>
    <row r="644" spans="3:3" ht="15" x14ac:dyDescent="0.2">
      <c r="C644" s="192" t="s">
        <v>930</v>
      </c>
    </row>
    <row r="645" spans="3:3" ht="15" x14ac:dyDescent="0.2">
      <c r="C645" s="192" t="s">
        <v>992</v>
      </c>
    </row>
    <row r="646" spans="3:3" ht="15" x14ac:dyDescent="0.2">
      <c r="C646" s="192" t="s">
        <v>993</v>
      </c>
    </row>
    <row r="647" spans="3:3" ht="15" x14ac:dyDescent="0.2">
      <c r="C647" s="192" t="s">
        <v>933</v>
      </c>
    </row>
    <row r="648" spans="3:3" ht="15" x14ac:dyDescent="0.2">
      <c r="C648" s="192" t="s">
        <v>941</v>
      </c>
    </row>
    <row r="649" spans="3:3" ht="15" x14ac:dyDescent="0.2">
      <c r="C649" s="192" t="s">
        <v>942</v>
      </c>
    </row>
    <row r="650" spans="3:3" ht="15" x14ac:dyDescent="0.2">
      <c r="C650" s="192" t="s">
        <v>943</v>
      </c>
    </row>
    <row r="651" spans="3:3" ht="15" x14ac:dyDescent="0.2">
      <c r="C651" s="192" t="s">
        <v>944</v>
      </c>
    </row>
    <row r="652" spans="3:3" ht="15" x14ac:dyDescent="0.2">
      <c r="C652" s="192" t="s">
        <v>876</v>
      </c>
    </row>
    <row r="653" spans="3:3" x14ac:dyDescent="0.2">
      <c r="C653" s="193"/>
    </row>
    <row r="654" spans="3:3" ht="15" x14ac:dyDescent="0.2">
      <c r="C654" s="192" t="s">
        <v>994</v>
      </c>
    </row>
    <row r="655" spans="3:3" ht="15" x14ac:dyDescent="0.2">
      <c r="C655" s="192" t="s">
        <v>930</v>
      </c>
    </row>
    <row r="656" spans="3:3" ht="15" x14ac:dyDescent="0.2">
      <c r="C656" s="192" t="s">
        <v>931</v>
      </c>
    </row>
    <row r="657" spans="3:3" ht="15" x14ac:dyDescent="0.2">
      <c r="C657" s="192" t="s">
        <v>995</v>
      </c>
    </row>
    <row r="658" spans="3:3" ht="15" x14ac:dyDescent="0.2">
      <c r="C658" s="192" t="s">
        <v>933</v>
      </c>
    </row>
    <row r="659" spans="3:3" ht="15" x14ac:dyDescent="0.2">
      <c r="C659" s="192" t="s">
        <v>996</v>
      </c>
    </row>
    <row r="660" spans="3:3" ht="15" x14ac:dyDescent="0.2">
      <c r="C660" s="192" t="s">
        <v>935</v>
      </c>
    </row>
    <row r="661" spans="3:3" ht="15" x14ac:dyDescent="0.2">
      <c r="C661" s="192" t="s">
        <v>936</v>
      </c>
    </row>
    <row r="662" spans="3:3" ht="15" x14ac:dyDescent="0.2">
      <c r="C662" s="192" t="s">
        <v>876</v>
      </c>
    </row>
    <row r="663" spans="3:3" x14ac:dyDescent="0.2">
      <c r="C663" s="193"/>
    </row>
    <row r="664" spans="3:3" ht="15" x14ac:dyDescent="0.2">
      <c r="C664" s="192" t="s">
        <v>997</v>
      </c>
    </row>
    <row r="665" spans="3:3" ht="15" x14ac:dyDescent="0.2">
      <c r="C665" s="192" t="s">
        <v>998</v>
      </c>
    </row>
    <row r="666" spans="3:3" x14ac:dyDescent="0.2">
      <c r="C666" s="193"/>
    </row>
    <row r="667" spans="3:3" ht="15" x14ac:dyDescent="0.2">
      <c r="C667" s="192" t="s">
        <v>930</v>
      </c>
    </row>
    <row r="668" spans="3:3" ht="15" x14ac:dyDescent="0.2">
      <c r="C668" s="192" t="s">
        <v>999</v>
      </c>
    </row>
    <row r="669" spans="3:3" ht="15" x14ac:dyDescent="0.2">
      <c r="C669" s="192" t="s">
        <v>1000</v>
      </c>
    </row>
    <row r="670" spans="3:3" ht="15" x14ac:dyDescent="0.2">
      <c r="C670" s="192" t="s">
        <v>933</v>
      </c>
    </row>
    <row r="671" spans="3:3" ht="15" x14ac:dyDescent="0.2">
      <c r="C671" s="192" t="s">
        <v>941</v>
      </c>
    </row>
    <row r="672" spans="3:3" ht="15" x14ac:dyDescent="0.2">
      <c r="C672" s="192" t="s">
        <v>942</v>
      </c>
    </row>
    <row r="673" spans="3:3" ht="15" x14ac:dyDescent="0.2">
      <c r="C673" s="192" t="s">
        <v>943</v>
      </c>
    </row>
    <row r="674" spans="3:3" ht="15" x14ac:dyDescent="0.2">
      <c r="C674" s="192" t="s">
        <v>1001</v>
      </c>
    </row>
    <row r="675" spans="3:3" ht="15" x14ac:dyDescent="0.2">
      <c r="C675" s="192" t="s">
        <v>1002</v>
      </c>
    </row>
    <row r="676" spans="3:3" x14ac:dyDescent="0.2">
      <c r="C676" s="193"/>
    </row>
    <row r="677" spans="3:3" ht="15" x14ac:dyDescent="0.2">
      <c r="C677" s="192" t="s">
        <v>1003</v>
      </c>
    </row>
    <row r="678" spans="3:3" ht="15" x14ac:dyDescent="0.2">
      <c r="C678" s="192" t="s">
        <v>1004</v>
      </c>
    </row>
    <row r="679" spans="3:3" ht="15" x14ac:dyDescent="0.2">
      <c r="C679" s="192" t="s">
        <v>1005</v>
      </c>
    </row>
    <row r="680" spans="3:3" x14ac:dyDescent="0.2">
      <c r="C680" s="193"/>
    </row>
    <row r="681" spans="3:3" ht="15" x14ac:dyDescent="0.2">
      <c r="C681" s="192" t="s">
        <v>930</v>
      </c>
    </row>
    <row r="682" spans="3:3" ht="15" x14ac:dyDescent="0.2">
      <c r="C682" s="192" t="s">
        <v>1006</v>
      </c>
    </row>
    <row r="683" spans="3:3" ht="15" x14ac:dyDescent="0.2">
      <c r="C683" s="192" t="s">
        <v>1007</v>
      </c>
    </row>
    <row r="684" spans="3:3" ht="15" x14ac:dyDescent="0.2">
      <c r="C684" s="192" t="s">
        <v>933</v>
      </c>
    </row>
    <row r="685" spans="3:3" ht="15" x14ac:dyDescent="0.2">
      <c r="C685" s="192" t="s">
        <v>941</v>
      </c>
    </row>
    <row r="686" spans="3:3" ht="15" x14ac:dyDescent="0.2">
      <c r="C686" s="192" t="s">
        <v>1008</v>
      </c>
    </row>
    <row r="687" spans="3:3" ht="15" x14ac:dyDescent="0.2">
      <c r="C687" s="192" t="s">
        <v>944</v>
      </c>
    </row>
    <row r="688" spans="3:3" ht="15" x14ac:dyDescent="0.2">
      <c r="C688" s="192" t="s">
        <v>876</v>
      </c>
    </row>
    <row r="689" spans="3:3" x14ac:dyDescent="0.2">
      <c r="C689" s="193"/>
    </row>
    <row r="690" spans="3:3" ht="15" x14ac:dyDescent="0.2">
      <c r="C690" s="192" t="s">
        <v>1009</v>
      </c>
    </row>
    <row r="691" spans="3:3" ht="15" x14ac:dyDescent="0.2">
      <c r="C691" s="192" t="s">
        <v>1010</v>
      </c>
    </row>
    <row r="692" spans="3:3" ht="15" x14ac:dyDescent="0.2">
      <c r="C692" s="192" t="s">
        <v>1011</v>
      </c>
    </row>
    <row r="693" spans="3:3" x14ac:dyDescent="0.2">
      <c r="C693" s="193"/>
    </row>
    <row r="694" spans="3:3" ht="15" x14ac:dyDescent="0.2">
      <c r="C694" s="192" t="s">
        <v>1012</v>
      </c>
    </row>
    <row r="695" spans="3:3" ht="15" x14ac:dyDescent="0.2">
      <c r="C695" s="192" t="s">
        <v>1013</v>
      </c>
    </row>
    <row r="696" spans="3:3" ht="15" x14ac:dyDescent="0.2">
      <c r="C696" s="192" t="s">
        <v>1014</v>
      </c>
    </row>
    <row r="697" spans="3:3" ht="15" x14ac:dyDescent="0.2">
      <c r="C697" s="192" t="s">
        <v>1015</v>
      </c>
    </row>
    <row r="698" spans="3:3" ht="15" x14ac:dyDescent="0.2">
      <c r="C698" s="192" t="s">
        <v>1016</v>
      </c>
    </row>
    <row r="699" spans="3:3" ht="15" x14ac:dyDescent="0.2">
      <c r="C699" s="192" t="s">
        <v>1017</v>
      </c>
    </row>
    <row r="700" spans="3:3" ht="15" x14ac:dyDescent="0.2">
      <c r="C700" s="192" t="s">
        <v>1018</v>
      </c>
    </row>
    <row r="701" spans="3:3" ht="15" x14ac:dyDescent="0.2">
      <c r="C701" s="192" t="s">
        <v>1019</v>
      </c>
    </row>
    <row r="702" spans="3:3" ht="15" x14ac:dyDescent="0.2">
      <c r="C702" s="192" t="s">
        <v>1020</v>
      </c>
    </row>
    <row r="703" spans="3:3" x14ac:dyDescent="0.2">
      <c r="C703" s="193"/>
    </row>
    <row r="704" spans="3:3" ht="15" x14ac:dyDescent="0.2">
      <c r="C704" s="192" t="s">
        <v>1021</v>
      </c>
    </row>
    <row r="705" spans="3:3" ht="15" x14ac:dyDescent="0.2">
      <c r="C705" s="192" t="s">
        <v>1022</v>
      </c>
    </row>
    <row r="706" spans="3:3" x14ac:dyDescent="0.2">
      <c r="C706" s="193"/>
    </row>
    <row r="707" spans="3:3" ht="15" x14ac:dyDescent="0.2">
      <c r="C707" s="192" t="s">
        <v>1013</v>
      </c>
    </row>
    <row r="708" spans="3:3" ht="15" x14ac:dyDescent="0.2">
      <c r="C708" s="192" t="s">
        <v>1023</v>
      </c>
    </row>
    <row r="709" spans="3:3" ht="15" x14ac:dyDescent="0.2">
      <c r="C709" s="192" t="s">
        <v>1024</v>
      </c>
    </row>
    <row r="710" spans="3:3" ht="15" x14ac:dyDescent="0.2">
      <c r="C710" s="192" t="s">
        <v>1016</v>
      </c>
    </row>
    <row r="711" spans="3:3" ht="15" x14ac:dyDescent="0.2">
      <c r="C711" s="192" t="s">
        <v>1025</v>
      </c>
    </row>
    <row r="712" spans="3:3" ht="15" x14ac:dyDescent="0.2">
      <c r="C712" s="192" t="s">
        <v>1026</v>
      </c>
    </row>
    <row r="713" spans="3:3" ht="15" x14ac:dyDescent="0.2">
      <c r="C713" s="192" t="s">
        <v>1027</v>
      </c>
    </row>
    <row r="714" spans="3:3" ht="15" x14ac:dyDescent="0.2">
      <c r="C714" s="192" t="s">
        <v>1028</v>
      </c>
    </row>
    <row r="715" spans="3:3" ht="15" x14ac:dyDescent="0.2">
      <c r="C715" s="192" t="s">
        <v>1029</v>
      </c>
    </row>
    <row r="716" spans="3:3" x14ac:dyDescent="0.2">
      <c r="C716" s="193"/>
    </row>
    <row r="717" spans="3:3" ht="15" x14ac:dyDescent="0.2">
      <c r="C717" s="192" t="s">
        <v>1030</v>
      </c>
    </row>
    <row r="718" spans="3:3" ht="15" x14ac:dyDescent="0.2">
      <c r="C718" s="192" t="s">
        <v>1013</v>
      </c>
    </row>
    <row r="719" spans="3:3" ht="15" x14ac:dyDescent="0.2">
      <c r="C719" s="192" t="s">
        <v>1014</v>
      </c>
    </row>
    <row r="720" spans="3:3" ht="15" x14ac:dyDescent="0.2">
      <c r="C720" s="192" t="s">
        <v>1031</v>
      </c>
    </row>
    <row r="721" spans="3:3" ht="15" x14ac:dyDescent="0.2">
      <c r="C721" s="192" t="s">
        <v>1016</v>
      </c>
    </row>
    <row r="722" spans="3:3" ht="15" x14ac:dyDescent="0.2">
      <c r="C722" s="192" t="s">
        <v>1032</v>
      </c>
    </row>
    <row r="723" spans="3:3" ht="15" x14ac:dyDescent="0.2">
      <c r="C723" s="192" t="s">
        <v>1018</v>
      </c>
    </row>
    <row r="724" spans="3:3" ht="15" x14ac:dyDescent="0.2">
      <c r="C724" s="192" t="s">
        <v>1033</v>
      </c>
    </row>
    <row r="725" spans="3:3" ht="15" x14ac:dyDescent="0.2">
      <c r="C725" s="192" t="s">
        <v>1020</v>
      </c>
    </row>
    <row r="726" spans="3:3" x14ac:dyDescent="0.2">
      <c r="C726" s="193"/>
    </row>
    <row r="727" spans="3:3" ht="15" x14ac:dyDescent="0.2">
      <c r="C727" s="192" t="s">
        <v>1013</v>
      </c>
    </row>
    <row r="728" spans="3:3" ht="15" x14ac:dyDescent="0.2">
      <c r="C728" s="192" t="s">
        <v>1014</v>
      </c>
    </row>
    <row r="729" spans="3:3" ht="15" x14ac:dyDescent="0.2">
      <c r="C729" s="192" t="s">
        <v>1034</v>
      </c>
    </row>
    <row r="730" spans="3:3" ht="15" x14ac:dyDescent="0.2">
      <c r="C730" s="192" t="s">
        <v>1016</v>
      </c>
    </row>
    <row r="731" spans="3:3" ht="15" x14ac:dyDescent="0.2">
      <c r="C731" s="192" t="s">
        <v>1035</v>
      </c>
    </row>
    <row r="732" spans="3:3" ht="15" x14ac:dyDescent="0.2">
      <c r="C732" s="192" t="s">
        <v>1018</v>
      </c>
    </row>
    <row r="733" spans="3:3" ht="15" x14ac:dyDescent="0.2">
      <c r="C733" s="192" t="s">
        <v>1033</v>
      </c>
    </row>
    <row r="734" spans="3:3" ht="15" x14ac:dyDescent="0.2">
      <c r="C734" s="192" t="s">
        <v>1020</v>
      </c>
    </row>
    <row r="735" spans="3:3" x14ac:dyDescent="0.2">
      <c r="C735" s="193"/>
    </row>
    <row r="736" spans="3:3" ht="15" x14ac:dyDescent="0.2">
      <c r="C736" s="192" t="s">
        <v>1036</v>
      </c>
    </row>
    <row r="737" spans="3:3" x14ac:dyDescent="0.2">
      <c r="C737" s="193"/>
    </row>
    <row r="738" spans="3:3" ht="15" x14ac:dyDescent="0.2">
      <c r="C738" s="192" t="s">
        <v>1013</v>
      </c>
    </row>
    <row r="739" spans="3:3" ht="15" x14ac:dyDescent="0.2">
      <c r="C739" s="192" t="s">
        <v>1037</v>
      </c>
    </row>
    <row r="740" spans="3:3" ht="15" x14ac:dyDescent="0.2">
      <c r="C740" s="192" t="s">
        <v>1038</v>
      </c>
    </row>
    <row r="741" spans="3:3" ht="15" x14ac:dyDescent="0.2">
      <c r="C741" s="192" t="s">
        <v>1016</v>
      </c>
    </row>
    <row r="742" spans="3:3" ht="15" x14ac:dyDescent="0.2">
      <c r="C742" s="192" t="s">
        <v>1025</v>
      </c>
    </row>
    <row r="743" spans="3:3" ht="15" x14ac:dyDescent="0.2">
      <c r="C743" s="192" t="s">
        <v>1026</v>
      </c>
    </row>
    <row r="744" spans="3:3" ht="15" x14ac:dyDescent="0.2">
      <c r="C744" s="192" t="s">
        <v>1027</v>
      </c>
    </row>
    <row r="745" spans="3:3" ht="15" x14ac:dyDescent="0.2">
      <c r="C745" s="192" t="s">
        <v>1028</v>
      </c>
    </row>
    <row r="746" spans="3:3" ht="15" x14ac:dyDescent="0.2">
      <c r="C746" s="192" t="s">
        <v>1029</v>
      </c>
    </row>
    <row r="747" spans="3:3" x14ac:dyDescent="0.2">
      <c r="C747" s="193"/>
    </row>
    <row r="748" spans="3:3" ht="15" x14ac:dyDescent="0.2">
      <c r="C748" s="192" t="s">
        <v>1039</v>
      </c>
    </row>
    <row r="749" spans="3:3" ht="15" x14ac:dyDescent="0.2">
      <c r="C749" s="192" t="s">
        <v>1013</v>
      </c>
    </row>
    <row r="750" spans="3:3" ht="15" x14ac:dyDescent="0.2">
      <c r="C750" s="192" t="s">
        <v>1014</v>
      </c>
    </row>
    <row r="751" spans="3:3" ht="15" x14ac:dyDescent="0.2">
      <c r="C751" s="192" t="s">
        <v>1040</v>
      </c>
    </row>
    <row r="752" spans="3:3" ht="15" x14ac:dyDescent="0.2">
      <c r="C752" s="192" t="s">
        <v>1016</v>
      </c>
    </row>
    <row r="753" spans="3:3" ht="15" x14ac:dyDescent="0.2">
      <c r="C753" s="192" t="s">
        <v>1041</v>
      </c>
    </row>
    <row r="754" spans="3:3" ht="15" x14ac:dyDescent="0.2">
      <c r="C754" s="192" t="s">
        <v>1018</v>
      </c>
    </row>
    <row r="755" spans="3:3" ht="15" x14ac:dyDescent="0.2">
      <c r="C755" s="192" t="s">
        <v>1019</v>
      </c>
    </row>
    <row r="756" spans="3:3" ht="15" x14ac:dyDescent="0.2">
      <c r="C756" s="192" t="s">
        <v>1020</v>
      </c>
    </row>
    <row r="757" spans="3:3" x14ac:dyDescent="0.2">
      <c r="C757" s="193"/>
    </row>
    <row r="758" spans="3:3" ht="15" x14ac:dyDescent="0.2">
      <c r="C758" s="192" t="s">
        <v>1042</v>
      </c>
    </row>
    <row r="759" spans="3:3" ht="15" x14ac:dyDescent="0.2">
      <c r="C759" s="192" t="s">
        <v>1043</v>
      </c>
    </row>
    <row r="760" spans="3:3" x14ac:dyDescent="0.2">
      <c r="C760" s="193"/>
    </row>
    <row r="761" spans="3:3" ht="15" x14ac:dyDescent="0.2">
      <c r="C761" s="192" t="s">
        <v>1013</v>
      </c>
    </row>
    <row r="762" spans="3:3" ht="15" x14ac:dyDescent="0.2">
      <c r="C762" s="192" t="s">
        <v>1044</v>
      </c>
    </row>
    <row r="763" spans="3:3" ht="15" x14ac:dyDescent="0.2">
      <c r="C763" s="192" t="s">
        <v>1045</v>
      </c>
    </row>
    <row r="764" spans="3:3" ht="15" x14ac:dyDescent="0.2">
      <c r="C764" s="192" t="s">
        <v>1016</v>
      </c>
    </row>
    <row r="765" spans="3:3" ht="15" x14ac:dyDescent="0.2">
      <c r="C765" s="192" t="s">
        <v>1025</v>
      </c>
    </row>
    <row r="766" spans="3:3" ht="15" x14ac:dyDescent="0.2">
      <c r="C766" s="192" t="s">
        <v>1026</v>
      </c>
    </row>
    <row r="767" spans="3:3" ht="15" x14ac:dyDescent="0.2">
      <c r="C767" s="192" t="s">
        <v>1027</v>
      </c>
    </row>
    <row r="768" spans="3:3" ht="15" x14ac:dyDescent="0.2">
      <c r="C768" s="192" t="s">
        <v>1028</v>
      </c>
    </row>
    <row r="769" spans="3:3" ht="15" x14ac:dyDescent="0.2">
      <c r="C769" s="192" t="s">
        <v>1029</v>
      </c>
    </row>
    <row r="770" spans="3:3" x14ac:dyDescent="0.2">
      <c r="C770" s="193"/>
    </row>
    <row r="771" spans="3:3" ht="15" x14ac:dyDescent="0.2">
      <c r="C771" s="192" t="s">
        <v>872</v>
      </c>
    </row>
    <row r="772" spans="3:3" ht="15" x14ac:dyDescent="0.2">
      <c r="C772" s="192" t="s">
        <v>1046</v>
      </c>
    </row>
    <row r="773" spans="3:3" ht="15" x14ac:dyDescent="0.2">
      <c r="C773" s="192" t="s">
        <v>1047</v>
      </c>
    </row>
    <row r="774" spans="3:3" x14ac:dyDescent="0.2">
      <c r="C774" s="193"/>
    </row>
    <row r="775" spans="3:3" ht="15" x14ac:dyDescent="0.2">
      <c r="C775" s="192" t="s">
        <v>1048</v>
      </c>
    </row>
    <row r="776" spans="3:3" ht="15" x14ac:dyDescent="0.2">
      <c r="C776" s="192" t="s">
        <v>1049</v>
      </c>
    </row>
    <row r="777" spans="3:3" ht="15" x14ac:dyDescent="0.2">
      <c r="C777" s="192" t="s">
        <v>1050</v>
      </c>
    </row>
    <row r="778" spans="3:3" x14ac:dyDescent="0.2">
      <c r="C778" s="193"/>
    </row>
    <row r="779" spans="3:3" ht="15" x14ac:dyDescent="0.2">
      <c r="C779" s="192" t="s">
        <v>1051</v>
      </c>
    </row>
    <row r="780" spans="3:3" ht="15" x14ac:dyDescent="0.2">
      <c r="C780" s="192" t="s">
        <v>1052</v>
      </c>
    </row>
    <row r="781" spans="3:3" ht="15" x14ac:dyDescent="0.2">
      <c r="C781" s="192" t="s">
        <v>1053</v>
      </c>
    </row>
    <row r="782" spans="3:3" ht="15" x14ac:dyDescent="0.2">
      <c r="C782" s="192" t="s">
        <v>1054</v>
      </c>
    </row>
    <row r="783" spans="3:3" x14ac:dyDescent="0.2">
      <c r="C783" s="193"/>
    </row>
    <row r="784" spans="3:3" ht="15" x14ac:dyDescent="0.2">
      <c r="C784" s="192" t="s">
        <v>1055</v>
      </c>
    </row>
    <row r="785" spans="3:3" ht="15" x14ac:dyDescent="0.2">
      <c r="C785" s="192" t="s">
        <v>1056</v>
      </c>
    </row>
    <row r="786" spans="3:3" ht="15" x14ac:dyDescent="0.2">
      <c r="C786" s="192"/>
    </row>
    <row r="787" spans="3:3" ht="15" x14ac:dyDescent="0.2">
      <c r="C787" s="192"/>
    </row>
    <row r="788" spans="3:3" x14ac:dyDescent="0.2">
      <c r="C788" s="193"/>
    </row>
    <row r="789" spans="3:3" ht="15" x14ac:dyDescent="0.2">
      <c r="C789" s="19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CONCATENATE("_figures\",Results!C31,"_Zoom.png")</f>
        <v>_figures\Estatico_Zoom.png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Results!C31,"_Zoom.py")</f>
        <v>_figures\Estatico_Zoom.py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Results!C47</f>
        <v>24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8" spans="2:3" ht="15" x14ac:dyDescent="0.2">
      <c r="C18" s="192" t="s">
        <v>529</v>
      </c>
    </row>
    <row r="19" spans="2:3" ht="15" x14ac:dyDescent="0.2">
      <c r="B19" s="196"/>
      <c r="C19" s="192" t="str">
        <f>_xlfn.CONCAT("pngname = r'",$A$5,"'")</f>
        <v>pngname = r'_figures\Estatico_Zoom.png'</v>
      </c>
    </row>
    <row r="21" spans="2:3" ht="15" x14ac:dyDescent="0.2">
      <c r="C21" s="192" t="s">
        <v>531</v>
      </c>
    </row>
    <row r="23" spans="2:3" ht="15" x14ac:dyDescent="0.2">
      <c r="C23" s="192" t="s">
        <v>532</v>
      </c>
    </row>
    <row r="24" spans="2:3" ht="15" x14ac:dyDescent="0.2">
      <c r="C24" s="192" t="s">
        <v>533</v>
      </c>
    </row>
    <row r="25" spans="2:3" ht="15" x14ac:dyDescent="0.2">
      <c r="C25" s="192" t="s">
        <v>534</v>
      </c>
    </row>
    <row r="27" spans="2:3" ht="15" x14ac:dyDescent="0.2">
      <c r="C27" s="192" t="s">
        <v>535</v>
      </c>
    </row>
    <row r="28" spans="2:3" ht="15" x14ac:dyDescent="0.2">
      <c r="C28" s="192" t="s">
        <v>536</v>
      </c>
    </row>
    <row r="29" spans="2:3" ht="15" x14ac:dyDescent="0.2">
      <c r="C29" s="192" t="s">
        <v>537</v>
      </c>
    </row>
    <row r="30" spans="2:3" ht="15" x14ac:dyDescent="0.2">
      <c r="C30" s="192" t="s">
        <v>538</v>
      </c>
    </row>
    <row r="31" spans="2:3" ht="15" x14ac:dyDescent="0.2">
      <c r="C31" s="192" t="s">
        <v>539</v>
      </c>
    </row>
    <row r="33" spans="3:3" ht="15" x14ac:dyDescent="0.2">
      <c r="C33" s="192" t="s">
        <v>1057</v>
      </c>
    </row>
    <row r="34" spans="3:3" ht="15" x14ac:dyDescent="0.2">
      <c r="C34" s="192" t="s">
        <v>1058</v>
      </c>
    </row>
    <row r="36" spans="3:3" ht="15" x14ac:dyDescent="0.2">
      <c r="C36" s="192" t="s">
        <v>1059</v>
      </c>
    </row>
    <row r="37" spans="3:3" ht="15" x14ac:dyDescent="0.2">
      <c r="C37" s="192" t="s">
        <v>541</v>
      </c>
    </row>
    <row r="39" spans="3:3" ht="15" x14ac:dyDescent="0.2">
      <c r="C39" s="192" t="s">
        <v>1060</v>
      </c>
    </row>
    <row r="40" spans="3:3" ht="15" x14ac:dyDescent="0.2">
      <c r="C40" s="192" t="s">
        <v>1061</v>
      </c>
    </row>
    <row r="42" spans="3:3" ht="15" x14ac:dyDescent="0.2">
      <c r="C42" s="192" t="s">
        <v>1062</v>
      </c>
    </row>
    <row r="43" spans="3:3" ht="15" x14ac:dyDescent="0.2">
      <c r="C43" s="192" t="s">
        <v>545</v>
      </c>
    </row>
    <row r="45" spans="3:3" ht="15" x14ac:dyDescent="0.2">
      <c r="C45" s="192" t="s">
        <v>556</v>
      </c>
    </row>
    <row r="46" spans="3:3" ht="15" x14ac:dyDescent="0.2">
      <c r="C46" s="192" t="s">
        <v>549</v>
      </c>
    </row>
    <row r="48" spans="3:3" ht="15" x14ac:dyDescent="0.2">
      <c r="C48" s="192" t="s">
        <v>558</v>
      </c>
    </row>
    <row r="49" spans="2:3" ht="15" x14ac:dyDescent="0.2">
      <c r="C49" s="192" t="s">
        <v>551</v>
      </c>
    </row>
    <row r="51" spans="2:3" ht="15" x14ac:dyDescent="0.2">
      <c r="C51" s="192" t="s">
        <v>572</v>
      </c>
    </row>
    <row r="52" spans="2:3" ht="15" x14ac:dyDescent="0.2">
      <c r="B52" s="196"/>
      <c r="C52" s="192" t="str">
        <f>_xlfn.CONCAT("font_size ='",$A$11,"'")</f>
        <v>font_size ='24'</v>
      </c>
    </row>
    <row r="54" spans="2:3" ht="15" x14ac:dyDescent="0.2">
      <c r="C54" s="192" t="s">
        <v>574</v>
      </c>
    </row>
    <row r="56" spans="2:3" ht="15" x14ac:dyDescent="0.2">
      <c r="C56" s="192" t="s">
        <v>578</v>
      </c>
    </row>
    <row r="57" spans="2:3" ht="15" x14ac:dyDescent="0.2">
      <c r="C57" s="192" t="s">
        <v>579</v>
      </c>
    </row>
    <row r="58" spans="2:3" ht="15" x14ac:dyDescent="0.2">
      <c r="C58" s="192" t="s">
        <v>580</v>
      </c>
    </row>
    <row r="59" spans="2:3" ht="15" x14ac:dyDescent="0.2">
      <c r="C59" s="192" t="s">
        <v>579</v>
      </c>
    </row>
    <row r="60" spans="2:3" ht="15" x14ac:dyDescent="0.2">
      <c r="C60" s="192" t="s">
        <v>581</v>
      </c>
    </row>
    <row r="61" spans="2:3" ht="15" x14ac:dyDescent="0.2">
      <c r="C61" s="192" t="s">
        <v>582</v>
      </c>
    </row>
    <row r="62" spans="2:3" ht="15" x14ac:dyDescent="0.2">
      <c r="C62" s="192" t="s">
        <v>583</v>
      </c>
    </row>
    <row r="63" spans="2:3" ht="15" x14ac:dyDescent="0.2">
      <c r="C63" s="192" t="s">
        <v>584</v>
      </c>
    </row>
    <row r="64" spans="2:3" ht="15" x14ac:dyDescent="0.2">
      <c r="C64" s="192" t="s">
        <v>585</v>
      </c>
    </row>
    <row r="65" spans="3:3" ht="15" x14ac:dyDescent="0.2">
      <c r="C65" s="192" t="s">
        <v>586</v>
      </c>
    </row>
    <row r="66" spans="3:3" ht="15" x14ac:dyDescent="0.2">
      <c r="C66" s="192" t="s">
        <v>587</v>
      </c>
    </row>
    <row r="67" spans="3:3" ht="15" x14ac:dyDescent="0.2">
      <c r="C67" s="192" t="s">
        <v>588</v>
      </c>
    </row>
    <row r="68" spans="3:3" ht="15" x14ac:dyDescent="0.2">
      <c r="C68" s="192" t="s">
        <v>586</v>
      </c>
    </row>
    <row r="69" spans="3:3" ht="15" x14ac:dyDescent="0.2">
      <c r="C69" s="192" t="s">
        <v>589</v>
      </c>
    </row>
    <row r="70" spans="3:3" ht="15" x14ac:dyDescent="0.2">
      <c r="C70" s="192" t="s">
        <v>590</v>
      </c>
    </row>
    <row r="71" spans="3:3" ht="15" x14ac:dyDescent="0.2">
      <c r="C71" s="192" t="s">
        <v>591</v>
      </c>
    </row>
    <row r="72" spans="3:3" ht="15" x14ac:dyDescent="0.2">
      <c r="C72" s="192" t="s">
        <v>592</v>
      </c>
    </row>
    <row r="73" spans="3:3" ht="15" x14ac:dyDescent="0.2">
      <c r="C73" s="192" t="s">
        <v>593</v>
      </c>
    </row>
    <row r="74" spans="3:3" ht="15" x14ac:dyDescent="0.2">
      <c r="C74" s="192" t="s">
        <v>594</v>
      </c>
    </row>
    <row r="75" spans="3:3" ht="15" x14ac:dyDescent="0.2">
      <c r="C75" s="192" t="s">
        <v>595</v>
      </c>
    </row>
    <row r="76" spans="3:3" ht="15" x14ac:dyDescent="0.2">
      <c r="C76" s="192" t="s">
        <v>596</v>
      </c>
    </row>
    <row r="77" spans="3:3" ht="15" x14ac:dyDescent="0.2">
      <c r="C77" s="192" t="s">
        <v>597</v>
      </c>
    </row>
    <row r="78" spans="3:3" ht="15" x14ac:dyDescent="0.2">
      <c r="C78" s="192" t="s">
        <v>598</v>
      </c>
    </row>
    <row r="80" spans="3:3" ht="15" x14ac:dyDescent="0.2">
      <c r="C80" s="192" t="s">
        <v>599</v>
      </c>
    </row>
    <row r="81" spans="2:3" ht="15" x14ac:dyDescent="0.2">
      <c r="C81" s="192" t="s">
        <v>600</v>
      </c>
    </row>
    <row r="83" spans="2:3" ht="15" x14ac:dyDescent="0.2">
      <c r="C83" s="192" t="s">
        <v>601</v>
      </c>
    </row>
    <row r="84" spans="2:3" ht="15" x14ac:dyDescent="0.2">
      <c r="B84" s="196"/>
      <c r="C84" s="192" t="str">
        <f>_xlfn.CONCAT("vcm1=model['",$A$16,"']")</f>
        <v>vcm1=model['P7000048060_/_'DU700154300_Rev._C']</v>
      </c>
    </row>
    <row r="86" spans="2:3" ht="15" x14ac:dyDescent="0.2">
      <c r="C86" s="192" t="s">
        <v>602</v>
      </c>
    </row>
    <row r="87" spans="2:3" ht="15" x14ac:dyDescent="0.2">
      <c r="B87" s="196"/>
      <c r="C87" s="192" t="str">
        <f>_xlfn.CONCAT("line1=model['",$A$14,"']")</f>
        <v>line1=model['Line']</v>
      </c>
    </row>
    <row r="88" spans="2:3" ht="15" x14ac:dyDescent="0.2">
      <c r="B88" s="196"/>
      <c r="C88" s="192" t="str">
        <f>_xlfn.CONCAT("att_lines=list(['",$A$15,"'])")</f>
        <v>att_lines=list(['Stiffener1'])</v>
      </c>
    </row>
    <row r="90" spans="2:3" ht="15" x14ac:dyDescent="0.2">
      <c r="C90" s="192" t="s">
        <v>603</v>
      </c>
    </row>
    <row r="91" spans="2:3" ht="15" x14ac:dyDescent="0.2">
      <c r="C91" s="192" t="s">
        <v>604</v>
      </c>
    </row>
    <row r="92" spans="2:3" ht="15" x14ac:dyDescent="0.2">
      <c r="C92" s="192" t="s">
        <v>605</v>
      </c>
    </row>
    <row r="93" spans="2:3" ht="15" x14ac:dyDescent="0.2">
      <c r="C93" s="192" t="s">
        <v>606</v>
      </c>
    </row>
    <row r="94" spans="2:3" ht="15" x14ac:dyDescent="0.2">
      <c r="C94" s="192" t="s">
        <v>607</v>
      </c>
    </row>
    <row r="95" spans="2:3" ht="15" x14ac:dyDescent="0.2">
      <c r="C95" s="192" t="s">
        <v>608</v>
      </c>
    </row>
    <row r="96" spans="2:3" ht="15" x14ac:dyDescent="0.2">
      <c r="C96" s="192" t="s">
        <v>609</v>
      </c>
    </row>
    <row r="98" spans="3:3" ht="15" x14ac:dyDescent="0.2">
      <c r="C98" s="192" t="s">
        <v>610</v>
      </c>
    </row>
    <row r="99" spans="3:3" ht="15" x14ac:dyDescent="0.2">
      <c r="C99" s="192" t="s">
        <v>611</v>
      </c>
    </row>
    <row r="100" spans="3:3" ht="15" x14ac:dyDescent="0.2">
      <c r="C100" s="192" t="s">
        <v>612</v>
      </c>
    </row>
    <row r="101" spans="3:3" ht="15" x14ac:dyDescent="0.2">
      <c r="C101" s="192" t="s">
        <v>613</v>
      </c>
    </row>
    <row r="102" spans="3:3" ht="15" x14ac:dyDescent="0.2">
      <c r="C102" s="192" t="s">
        <v>614</v>
      </c>
    </row>
    <row r="103" spans="3:3" ht="15" x14ac:dyDescent="0.2">
      <c r="C103" s="192" t="s">
        <v>615</v>
      </c>
    </row>
    <row r="104" spans="3:3" ht="15" x14ac:dyDescent="0.2">
      <c r="C104" s="192" t="s">
        <v>616</v>
      </c>
    </row>
    <row r="105" spans="3:3" ht="15" x14ac:dyDescent="0.2">
      <c r="C105" s="192" t="s">
        <v>617</v>
      </c>
    </row>
    <row r="106" spans="3:3" ht="15" x14ac:dyDescent="0.2">
      <c r="C106" s="192" t="s">
        <v>618</v>
      </c>
    </row>
    <row r="107" spans="3:3" ht="15" x14ac:dyDescent="0.2">
      <c r="C107" s="192" t="s">
        <v>619</v>
      </c>
    </row>
    <row r="108" spans="3:3" ht="15" x14ac:dyDescent="0.2">
      <c r="C108" s="192" t="s">
        <v>620</v>
      </c>
    </row>
    <row r="110" spans="3:3" ht="15" x14ac:dyDescent="0.2">
      <c r="C110" s="192" t="s">
        <v>621</v>
      </c>
    </row>
    <row r="111" spans="3:3" ht="15" x14ac:dyDescent="0.2">
      <c r="C111" s="192" t="s">
        <v>622</v>
      </c>
    </row>
    <row r="112" spans="3:3" ht="15" x14ac:dyDescent="0.2">
      <c r="C112" s="192" t="s">
        <v>623</v>
      </c>
    </row>
    <row r="113" spans="3:3" ht="15" x14ac:dyDescent="0.2">
      <c r="C113" s="192" t="s">
        <v>624</v>
      </c>
    </row>
    <row r="114" spans="3:3" ht="15" x14ac:dyDescent="0.2">
      <c r="C114" s="192" t="s">
        <v>625</v>
      </c>
    </row>
    <row r="115" spans="3:3" ht="15" x14ac:dyDescent="0.2">
      <c r="C115" s="192" t="s">
        <v>626</v>
      </c>
    </row>
    <row r="116" spans="3:3" ht="15" x14ac:dyDescent="0.2">
      <c r="C116" s="192" t="s">
        <v>827</v>
      </c>
    </row>
    <row r="117" spans="3:3" ht="15" x14ac:dyDescent="0.2">
      <c r="C117" s="192" t="s">
        <v>627</v>
      </c>
    </row>
    <row r="118" spans="3:3" ht="15" x14ac:dyDescent="0.2">
      <c r="C118" s="192" t="s">
        <v>615</v>
      </c>
    </row>
    <row r="119" spans="3:3" ht="15" x14ac:dyDescent="0.2">
      <c r="C119" s="192" t="s">
        <v>628</v>
      </c>
    </row>
    <row r="120" spans="3:3" ht="15" x14ac:dyDescent="0.2">
      <c r="C120" s="192" t="s">
        <v>629</v>
      </c>
    </row>
    <row r="121" spans="3:3" ht="15" x14ac:dyDescent="0.2">
      <c r="C121" s="192" t="s">
        <v>630</v>
      </c>
    </row>
    <row r="122" spans="3:3" ht="15" x14ac:dyDescent="0.2">
      <c r="C122" s="192" t="s">
        <v>631</v>
      </c>
    </row>
    <row r="123" spans="3:3" ht="15" x14ac:dyDescent="0.2">
      <c r="C123" s="192" t="s">
        <v>632</v>
      </c>
    </row>
    <row r="124" spans="3:3" ht="15" x14ac:dyDescent="0.2">
      <c r="C124" s="192" t="s">
        <v>633</v>
      </c>
    </row>
    <row r="126" spans="3:3" ht="15" x14ac:dyDescent="0.2">
      <c r="C126" s="192" t="s">
        <v>634</v>
      </c>
    </row>
    <row r="127" spans="3:3" ht="15" x14ac:dyDescent="0.2">
      <c r="C127" s="192" t="s">
        <v>635</v>
      </c>
    </row>
    <row r="129" spans="3:3" ht="15" x14ac:dyDescent="0.2">
      <c r="C129" s="192" t="s">
        <v>636</v>
      </c>
    </row>
    <row r="130" spans="3:3" ht="15" x14ac:dyDescent="0.2">
      <c r="C130" s="192" t="s">
        <v>637</v>
      </c>
    </row>
    <row r="131" spans="3:3" ht="15" x14ac:dyDescent="0.2">
      <c r="C131" s="192" t="s">
        <v>638</v>
      </c>
    </row>
    <row r="132" spans="3:3" ht="15" x14ac:dyDescent="0.2">
      <c r="C132" s="192" t="s">
        <v>639</v>
      </c>
    </row>
    <row r="133" spans="3:3" ht="15" x14ac:dyDescent="0.2">
      <c r="C133" s="192" t="s">
        <v>640</v>
      </c>
    </row>
    <row r="134" spans="3:3" ht="15" x14ac:dyDescent="0.2">
      <c r="C134" s="192" t="s">
        <v>641</v>
      </c>
    </row>
    <row r="135" spans="3:3" ht="15" x14ac:dyDescent="0.2">
      <c r="C135" s="192" t="s">
        <v>642</v>
      </c>
    </row>
    <row r="136" spans="3:3" ht="15" x14ac:dyDescent="0.2">
      <c r="C136" s="192" t="s">
        <v>643</v>
      </c>
    </row>
    <row r="137" spans="3:3" ht="15" x14ac:dyDescent="0.2">
      <c r="C137" s="192" t="s">
        <v>644</v>
      </c>
    </row>
    <row r="138" spans="3:3" ht="15" x14ac:dyDescent="0.2">
      <c r="C138" s="192" t="s">
        <v>645</v>
      </c>
    </row>
    <row r="139" spans="3:3" ht="15" x14ac:dyDescent="0.2">
      <c r="C139" s="192" t="s">
        <v>646</v>
      </c>
    </row>
    <row r="140" spans="3:3" ht="15" x14ac:dyDescent="0.2">
      <c r="C140" s="192" t="s">
        <v>647</v>
      </c>
    </row>
    <row r="142" spans="3:3" ht="15" x14ac:dyDescent="0.2">
      <c r="C142" s="192" t="s">
        <v>648</v>
      </c>
    </row>
    <row r="143" spans="3:3" ht="15" x14ac:dyDescent="0.2">
      <c r="C143" s="192" t="s">
        <v>649</v>
      </c>
    </row>
    <row r="144" spans="3:3" ht="15" x14ac:dyDescent="0.2">
      <c r="C144" s="192" t="s">
        <v>650</v>
      </c>
    </row>
    <row r="145" spans="3:3" ht="15" x14ac:dyDescent="0.2">
      <c r="C145" s="192" t="s">
        <v>651</v>
      </c>
    </row>
    <row r="146" spans="3:3" ht="15" x14ac:dyDescent="0.2">
      <c r="C146" s="192" t="s">
        <v>652</v>
      </c>
    </row>
    <row r="147" spans="3:3" ht="15" x14ac:dyDescent="0.2">
      <c r="C147" s="192" t="s">
        <v>653</v>
      </c>
    </row>
    <row r="148" spans="3:3" ht="15" x14ac:dyDescent="0.2">
      <c r="C148" s="192" t="s">
        <v>654</v>
      </c>
    </row>
    <row r="149" spans="3:3" ht="15" x14ac:dyDescent="0.2">
      <c r="C149" s="192" t="s">
        <v>646</v>
      </c>
    </row>
    <row r="150" spans="3:3" ht="15" x14ac:dyDescent="0.2">
      <c r="C150" s="192" t="s">
        <v>655</v>
      </c>
    </row>
    <row r="152" spans="3:3" ht="15" x14ac:dyDescent="0.2">
      <c r="C152" s="192" t="s">
        <v>656</v>
      </c>
    </row>
    <row r="153" spans="3:3" ht="15" x14ac:dyDescent="0.2">
      <c r="C153" s="192" t="s">
        <v>657</v>
      </c>
    </row>
    <row r="154" spans="3:3" ht="15" x14ac:dyDescent="0.2">
      <c r="C154" s="192" t="s">
        <v>658</v>
      </c>
    </row>
    <row r="156" spans="3:3" ht="15" x14ac:dyDescent="0.2">
      <c r="C156" s="192" t="s">
        <v>659</v>
      </c>
    </row>
    <row r="157" spans="3:3" ht="15" x14ac:dyDescent="0.2">
      <c r="C157" s="192" t="s">
        <v>660</v>
      </c>
    </row>
    <row r="158" spans="3:3" ht="15" x14ac:dyDescent="0.2">
      <c r="C158" s="192" t="s">
        <v>661</v>
      </c>
    </row>
    <row r="159" spans="3:3" ht="15" x14ac:dyDescent="0.2">
      <c r="C159" s="192" t="s">
        <v>662</v>
      </c>
    </row>
    <row r="160" spans="3:3" ht="15" x14ac:dyDescent="0.2">
      <c r="C160" s="192" t="s">
        <v>663</v>
      </c>
    </row>
    <row r="161" spans="3:3" ht="15" x14ac:dyDescent="0.2">
      <c r="C161" s="192" t="s">
        <v>664</v>
      </c>
    </row>
    <row r="162" spans="3:3" ht="15" x14ac:dyDescent="0.2">
      <c r="C162" s="192" t="s">
        <v>665</v>
      </c>
    </row>
    <row r="164" spans="3:3" ht="15" x14ac:dyDescent="0.2">
      <c r="C164" s="192" t="s">
        <v>666</v>
      </c>
    </row>
    <row r="165" spans="3:3" ht="15" x14ac:dyDescent="0.2">
      <c r="C165" s="192" t="s">
        <v>667</v>
      </c>
    </row>
    <row r="166" spans="3:3" ht="15" x14ac:dyDescent="0.2">
      <c r="C166" s="192" t="s">
        <v>668</v>
      </c>
    </row>
    <row r="168" spans="3:3" ht="15" x14ac:dyDescent="0.2">
      <c r="C168" s="192" t="s">
        <v>669</v>
      </c>
    </row>
    <row r="169" spans="3:3" ht="15" x14ac:dyDescent="0.2">
      <c r="C169" s="192" t="s">
        <v>670</v>
      </c>
    </row>
    <row r="170" spans="3:3" ht="15" x14ac:dyDescent="0.2">
      <c r="C170" s="192" t="s">
        <v>671</v>
      </c>
    </row>
    <row r="171" spans="3:3" ht="15" x14ac:dyDescent="0.2">
      <c r="C171" s="192" t="s">
        <v>672</v>
      </c>
    </row>
    <row r="172" spans="3:3" ht="15" x14ac:dyDescent="0.2">
      <c r="C172" s="192" t="s">
        <v>673</v>
      </c>
    </row>
    <row r="173" spans="3:3" ht="15" x14ac:dyDescent="0.2">
      <c r="C173" s="192" t="s">
        <v>674</v>
      </c>
    </row>
    <row r="174" spans="3:3" ht="15" x14ac:dyDescent="0.2">
      <c r="C174" s="192" t="s">
        <v>675</v>
      </c>
    </row>
    <row r="175" spans="3:3" ht="15" x14ac:dyDescent="0.2">
      <c r="C175" s="192" t="s">
        <v>676</v>
      </c>
    </row>
    <row r="176" spans="3:3" ht="15" x14ac:dyDescent="0.2">
      <c r="C176" s="192" t="s">
        <v>677</v>
      </c>
    </row>
    <row r="177" spans="3:3" ht="15" x14ac:dyDescent="0.2">
      <c r="C177" s="192" t="s">
        <v>678</v>
      </c>
    </row>
    <row r="179" spans="3:3" ht="15" x14ac:dyDescent="0.2">
      <c r="C179" s="192" t="s">
        <v>679</v>
      </c>
    </row>
    <row r="180" spans="3:3" ht="15" x14ac:dyDescent="0.2">
      <c r="C180" s="192" t="s">
        <v>680</v>
      </c>
    </row>
    <row r="182" spans="3:3" ht="15" x14ac:dyDescent="0.2">
      <c r="C182" s="192" t="s">
        <v>681</v>
      </c>
    </row>
    <row r="183" spans="3:3" ht="15" x14ac:dyDescent="0.2">
      <c r="C183" s="192" t="s">
        <v>682</v>
      </c>
    </row>
    <row r="184" spans="3:3" ht="15" x14ac:dyDescent="0.2">
      <c r="C184" s="192" t="s">
        <v>683</v>
      </c>
    </row>
    <row r="186" spans="3:3" ht="15" x14ac:dyDescent="0.2">
      <c r="C186" s="192" t="s">
        <v>684</v>
      </c>
    </row>
    <row r="187" spans="3:3" ht="15" x14ac:dyDescent="0.2">
      <c r="C187" s="192" t="s">
        <v>685</v>
      </c>
    </row>
    <row r="188" spans="3:3" ht="15" x14ac:dyDescent="0.2">
      <c r="C188" s="192" t="s">
        <v>686</v>
      </c>
    </row>
    <row r="189" spans="3:3" ht="15" x14ac:dyDescent="0.2">
      <c r="C189" s="192" t="s">
        <v>687</v>
      </c>
    </row>
    <row r="191" spans="3:3" ht="15" x14ac:dyDescent="0.2">
      <c r="C191" s="192" t="s">
        <v>688</v>
      </c>
    </row>
    <row r="192" spans="3:3" ht="15" x14ac:dyDescent="0.2">
      <c r="C192" s="192" t="s">
        <v>689</v>
      </c>
    </row>
    <row r="193" spans="3:3" ht="15" x14ac:dyDescent="0.2">
      <c r="C193" s="192" t="s">
        <v>690</v>
      </c>
    </row>
    <row r="194" spans="3:3" ht="15" x14ac:dyDescent="0.2">
      <c r="C194" s="192" t="s">
        <v>691</v>
      </c>
    </row>
    <row r="195" spans="3:3" ht="15" x14ac:dyDescent="0.2">
      <c r="C195" s="192" t="s">
        <v>650</v>
      </c>
    </row>
    <row r="196" spans="3:3" ht="15" x14ac:dyDescent="0.2">
      <c r="C196" s="192" t="s">
        <v>651</v>
      </c>
    </row>
    <row r="197" spans="3:3" ht="15" x14ac:dyDescent="0.2">
      <c r="C197" s="192" t="s">
        <v>692</v>
      </c>
    </row>
    <row r="198" spans="3:3" ht="15" x14ac:dyDescent="0.2">
      <c r="C198" s="192" t="s">
        <v>693</v>
      </c>
    </row>
    <row r="199" spans="3:3" ht="15" x14ac:dyDescent="0.2">
      <c r="C199" s="192" t="s">
        <v>694</v>
      </c>
    </row>
    <row r="200" spans="3:3" ht="15" x14ac:dyDescent="0.2">
      <c r="C200" s="192" t="s">
        <v>700</v>
      </c>
    </row>
    <row r="201" spans="3:3" ht="15" x14ac:dyDescent="0.2">
      <c r="C201" s="192" t="s">
        <v>701</v>
      </c>
    </row>
    <row r="202" spans="3:3" ht="15" x14ac:dyDescent="0.2">
      <c r="C202" s="192" t="s">
        <v>702</v>
      </c>
    </row>
    <row r="203" spans="3:3" ht="15" x14ac:dyDescent="0.2">
      <c r="C203" s="192" t="s">
        <v>703</v>
      </c>
    </row>
    <row r="204" spans="3:3" ht="15" x14ac:dyDescent="0.2">
      <c r="C204" s="192" t="s">
        <v>704</v>
      </c>
    </row>
    <row r="205" spans="3:3" ht="15" x14ac:dyDescent="0.2">
      <c r="C205" s="192" t="s">
        <v>705</v>
      </c>
    </row>
    <row r="206" spans="3:3" ht="15" x14ac:dyDescent="0.2">
      <c r="C206" s="192" t="s">
        <v>706</v>
      </c>
    </row>
    <row r="207" spans="3:3" ht="15" x14ac:dyDescent="0.2">
      <c r="C207" s="192" t="s">
        <v>707</v>
      </c>
    </row>
    <row r="208" spans="3:3" ht="15" x14ac:dyDescent="0.2">
      <c r="C208" s="192" t="s">
        <v>708</v>
      </c>
    </row>
    <row r="209" spans="3:3" ht="15" x14ac:dyDescent="0.2">
      <c r="C209" s="192" t="s">
        <v>709</v>
      </c>
    </row>
    <row r="210" spans="3:3" ht="15" x14ac:dyDescent="0.2">
      <c r="C210" s="192" t="s">
        <v>710</v>
      </c>
    </row>
    <row r="211" spans="3:3" ht="15" x14ac:dyDescent="0.2">
      <c r="C211" s="192" t="s">
        <v>711</v>
      </c>
    </row>
    <row r="212" spans="3:3" ht="15" x14ac:dyDescent="0.2">
      <c r="C212" s="192" t="s">
        <v>712</v>
      </c>
    </row>
    <row r="213" spans="3:3" ht="15" x14ac:dyDescent="0.2">
      <c r="C213" s="192" t="s">
        <v>713</v>
      </c>
    </row>
    <row r="214" spans="3:3" ht="15" x14ac:dyDescent="0.2">
      <c r="C214" s="192" t="s">
        <v>714</v>
      </c>
    </row>
    <row r="215" spans="3:3" ht="15" x14ac:dyDescent="0.2">
      <c r="C215" s="192" t="s">
        <v>715</v>
      </c>
    </row>
    <row r="216" spans="3:3" ht="15" x14ac:dyDescent="0.2">
      <c r="C216" s="192" t="s">
        <v>716</v>
      </c>
    </row>
    <row r="217" spans="3:3" ht="15" x14ac:dyDescent="0.2">
      <c r="C217" s="192" t="s">
        <v>717</v>
      </c>
    </row>
    <row r="218" spans="3:3" ht="15" x14ac:dyDescent="0.2">
      <c r="C218" s="192" t="s">
        <v>718</v>
      </c>
    </row>
    <row r="219" spans="3:3" ht="15" x14ac:dyDescent="0.2">
      <c r="C219" s="192" t="s">
        <v>719</v>
      </c>
    </row>
    <row r="220" spans="3:3" ht="15" x14ac:dyDescent="0.2">
      <c r="C220" s="192" t="s">
        <v>720</v>
      </c>
    </row>
    <row r="221" spans="3:3" ht="15" x14ac:dyDescent="0.2">
      <c r="C221" s="192" t="s">
        <v>721</v>
      </c>
    </row>
    <row r="222" spans="3:3" ht="15" x14ac:dyDescent="0.2">
      <c r="C222" s="192" t="s">
        <v>722</v>
      </c>
    </row>
    <row r="223" spans="3:3" ht="15" x14ac:dyDescent="0.2">
      <c r="C223" s="192" t="s">
        <v>595</v>
      </c>
    </row>
    <row r="224" spans="3:3" ht="15" x14ac:dyDescent="0.2">
      <c r="C224" s="192" t="s">
        <v>723</v>
      </c>
    </row>
    <row r="225" spans="3:3" ht="15" x14ac:dyDescent="0.2">
      <c r="C225" s="192" t="s">
        <v>724</v>
      </c>
    </row>
    <row r="226" spans="3:3" ht="15" x14ac:dyDescent="0.2">
      <c r="C226" s="192" t="s">
        <v>725</v>
      </c>
    </row>
    <row r="227" spans="3:3" ht="15" x14ac:dyDescent="0.2">
      <c r="C227" s="192" t="s">
        <v>726</v>
      </c>
    </row>
    <row r="228" spans="3:3" ht="15" x14ac:dyDescent="0.2">
      <c r="C228" s="192" t="s">
        <v>712</v>
      </c>
    </row>
    <row r="229" spans="3:3" ht="15" x14ac:dyDescent="0.2">
      <c r="C229" s="192" t="s">
        <v>713</v>
      </c>
    </row>
    <row r="230" spans="3:3" ht="15" x14ac:dyDescent="0.2">
      <c r="C230" s="192" t="s">
        <v>714</v>
      </c>
    </row>
    <row r="231" spans="3:3" ht="15" x14ac:dyDescent="0.2">
      <c r="C231" s="192" t="s">
        <v>727</v>
      </c>
    </row>
    <row r="232" spans="3:3" ht="15" x14ac:dyDescent="0.2">
      <c r="C232" s="192" t="s">
        <v>728</v>
      </c>
    </row>
    <row r="233" spans="3:3" ht="15" x14ac:dyDescent="0.2">
      <c r="C233" s="192" t="s">
        <v>729</v>
      </c>
    </row>
    <row r="234" spans="3:3" ht="15" x14ac:dyDescent="0.2">
      <c r="C234" s="192" t="s">
        <v>730</v>
      </c>
    </row>
    <row r="235" spans="3:3" ht="15" x14ac:dyDescent="0.2">
      <c r="C235" s="192" t="s">
        <v>731</v>
      </c>
    </row>
    <row r="236" spans="3:3" ht="15" x14ac:dyDescent="0.2">
      <c r="C236" s="192" t="s">
        <v>732</v>
      </c>
    </row>
    <row r="237" spans="3:3" ht="15" x14ac:dyDescent="0.2">
      <c r="C237" s="192" t="s">
        <v>733</v>
      </c>
    </row>
    <row r="238" spans="3:3" ht="15" x14ac:dyDescent="0.2">
      <c r="C238" s="192" t="s">
        <v>595</v>
      </c>
    </row>
    <row r="239" spans="3:3" ht="15" x14ac:dyDescent="0.2">
      <c r="C239" s="192" t="s">
        <v>734</v>
      </c>
    </row>
    <row r="240" spans="3:3" ht="15" x14ac:dyDescent="0.2">
      <c r="C240" s="192" t="s">
        <v>735</v>
      </c>
    </row>
    <row r="241" spans="3:3" ht="15" x14ac:dyDescent="0.2">
      <c r="C241" s="192" t="s">
        <v>736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737</v>
      </c>
    </row>
    <row r="246" spans="3:3" ht="15" x14ac:dyDescent="0.2">
      <c r="C246" s="192" t="s">
        <v>738</v>
      </c>
    </row>
    <row r="247" spans="3:3" ht="15" x14ac:dyDescent="0.2">
      <c r="C247" s="192" t="s">
        <v>595</v>
      </c>
    </row>
    <row r="248" spans="3:3" ht="15" x14ac:dyDescent="0.2">
      <c r="C248" s="192" t="s">
        <v>739</v>
      </c>
    </row>
    <row r="249" spans="3:3" ht="15" x14ac:dyDescent="0.2">
      <c r="C249" s="192" t="s">
        <v>740</v>
      </c>
    </row>
    <row r="250" spans="3:3" ht="15" x14ac:dyDescent="0.2">
      <c r="C250" s="192" t="s">
        <v>712</v>
      </c>
    </row>
    <row r="251" spans="3:3" ht="15" x14ac:dyDescent="0.2">
      <c r="C251" s="192" t="s">
        <v>713</v>
      </c>
    </row>
    <row r="252" spans="3:3" ht="15" x14ac:dyDescent="0.2">
      <c r="C252" s="192" t="s">
        <v>714</v>
      </c>
    </row>
    <row r="253" spans="3:3" ht="15" x14ac:dyDescent="0.2">
      <c r="C253" s="192" t="s">
        <v>728</v>
      </c>
    </row>
    <row r="254" spans="3:3" ht="15" x14ac:dyDescent="0.2">
      <c r="C254" s="192" t="s">
        <v>729</v>
      </c>
    </row>
    <row r="255" spans="3:3" ht="15" x14ac:dyDescent="0.2">
      <c r="C255" s="192" t="s">
        <v>730</v>
      </c>
    </row>
    <row r="256" spans="3:3" ht="15" x14ac:dyDescent="0.2">
      <c r="C256" s="192" t="s">
        <v>731</v>
      </c>
    </row>
    <row r="257" spans="3:3" ht="15" x14ac:dyDescent="0.2">
      <c r="C257" s="192" t="s">
        <v>732</v>
      </c>
    </row>
    <row r="258" spans="3:3" ht="15" x14ac:dyDescent="0.2">
      <c r="C258" s="192" t="s">
        <v>741</v>
      </c>
    </row>
    <row r="259" spans="3:3" ht="15" x14ac:dyDescent="0.2">
      <c r="C259" s="192" t="s">
        <v>742</v>
      </c>
    </row>
    <row r="260" spans="3:3" ht="15" x14ac:dyDescent="0.2">
      <c r="C260" s="192" t="s">
        <v>743</v>
      </c>
    </row>
    <row r="261" spans="3:3" ht="15" x14ac:dyDescent="0.2">
      <c r="C261" s="192" t="s">
        <v>744</v>
      </c>
    </row>
    <row r="262" spans="3:3" ht="15" x14ac:dyDescent="0.2">
      <c r="C262" s="192" t="s">
        <v>1063</v>
      </c>
    </row>
    <row r="263" spans="3:3" ht="15" x14ac:dyDescent="0.2">
      <c r="C263" s="192" t="s">
        <v>746</v>
      </c>
    </row>
    <row r="264" spans="3:3" ht="15" x14ac:dyDescent="0.2">
      <c r="C264" s="192" t="s">
        <v>747</v>
      </c>
    </row>
    <row r="265" spans="3:3" ht="15" x14ac:dyDescent="0.2">
      <c r="C265" s="192" t="s">
        <v>748</v>
      </c>
    </row>
    <row r="266" spans="3:3" ht="15" x14ac:dyDescent="0.2">
      <c r="C266" s="192" t="s">
        <v>749</v>
      </c>
    </row>
    <row r="267" spans="3:3" ht="15" x14ac:dyDescent="0.2">
      <c r="C267" s="192" t="s">
        <v>750</v>
      </c>
    </row>
    <row r="268" spans="3:3" ht="15" x14ac:dyDescent="0.2">
      <c r="C268" s="192" t="s">
        <v>751</v>
      </c>
    </row>
    <row r="269" spans="3:3" ht="15" x14ac:dyDescent="0.2">
      <c r="C269" s="192" t="s">
        <v>752</v>
      </c>
    </row>
    <row r="270" spans="3:3" ht="15" x14ac:dyDescent="0.2">
      <c r="C270" s="192" t="s">
        <v>753</v>
      </c>
    </row>
    <row r="271" spans="3:3" ht="15" x14ac:dyDescent="0.2">
      <c r="C271" s="192" t="s">
        <v>754</v>
      </c>
    </row>
    <row r="272" spans="3:3" ht="15" x14ac:dyDescent="0.2">
      <c r="C272" s="192" t="s">
        <v>755</v>
      </c>
    </row>
    <row r="273" spans="3:3" ht="15" x14ac:dyDescent="0.2">
      <c r="C273" s="192" t="s">
        <v>756</v>
      </c>
    </row>
    <row r="274" spans="3:3" ht="15" x14ac:dyDescent="0.2">
      <c r="C274" s="192" t="s">
        <v>757</v>
      </c>
    </row>
    <row r="275" spans="3:3" ht="15" x14ac:dyDescent="0.2">
      <c r="C275" s="192" t="s">
        <v>758</v>
      </c>
    </row>
    <row r="276" spans="3:3" ht="15" x14ac:dyDescent="0.2">
      <c r="C276" s="192" t="s">
        <v>750</v>
      </c>
    </row>
    <row r="277" spans="3:3" ht="15" x14ac:dyDescent="0.2">
      <c r="C277" s="192" t="s">
        <v>759</v>
      </c>
    </row>
    <row r="278" spans="3:3" ht="15" x14ac:dyDescent="0.2">
      <c r="C278" s="192" t="s">
        <v>760</v>
      </c>
    </row>
    <row r="279" spans="3:3" ht="15" x14ac:dyDescent="0.2">
      <c r="C279" s="192" t="s">
        <v>761</v>
      </c>
    </row>
    <row r="280" spans="3:3" ht="15" x14ac:dyDescent="0.2">
      <c r="C280" s="192" t="s">
        <v>762</v>
      </c>
    </row>
    <row r="281" spans="3:3" ht="15" x14ac:dyDescent="0.2">
      <c r="C281" s="192" t="s">
        <v>595</v>
      </c>
    </row>
    <row r="282" spans="3:3" ht="15" x14ac:dyDescent="0.2">
      <c r="C282" s="192" t="s">
        <v>763</v>
      </c>
    </row>
    <row r="283" spans="3:3" ht="15" x14ac:dyDescent="0.2">
      <c r="C283" s="192" t="s">
        <v>764</v>
      </c>
    </row>
    <row r="284" spans="3:3" ht="15" x14ac:dyDescent="0.2">
      <c r="C284" s="192" t="s">
        <v>765</v>
      </c>
    </row>
    <row r="285" spans="3:3" ht="15" x14ac:dyDescent="0.2">
      <c r="C285" s="192" t="s">
        <v>750</v>
      </c>
    </row>
    <row r="286" spans="3:3" ht="15" x14ac:dyDescent="0.2">
      <c r="C286" s="192" t="s">
        <v>766</v>
      </c>
    </row>
    <row r="287" spans="3:3" ht="15" x14ac:dyDescent="0.2">
      <c r="C287" s="192" t="s">
        <v>767</v>
      </c>
    </row>
    <row r="288" spans="3:3" ht="15" x14ac:dyDescent="0.2">
      <c r="C288" s="192" t="s">
        <v>768</v>
      </c>
    </row>
    <row r="289" spans="3:3" ht="15" x14ac:dyDescent="0.2">
      <c r="C289" s="192" t="s">
        <v>769</v>
      </c>
    </row>
    <row r="290" spans="3:3" ht="15" x14ac:dyDescent="0.2">
      <c r="C290" s="192" t="s">
        <v>770</v>
      </c>
    </row>
    <row r="291" spans="3:3" ht="15" x14ac:dyDescent="0.2">
      <c r="C291" s="192" t="s">
        <v>771</v>
      </c>
    </row>
    <row r="292" spans="3:3" ht="15" x14ac:dyDescent="0.2">
      <c r="C292" s="192" t="s">
        <v>772</v>
      </c>
    </row>
    <row r="293" spans="3:3" ht="15" x14ac:dyDescent="0.2">
      <c r="C293" s="192" t="s">
        <v>773</v>
      </c>
    </row>
    <row r="294" spans="3:3" ht="15" x14ac:dyDescent="0.2">
      <c r="C294" s="192" t="s">
        <v>774</v>
      </c>
    </row>
    <row r="296" spans="3:3" ht="15" x14ac:dyDescent="0.2">
      <c r="C296" s="192" t="s">
        <v>775</v>
      </c>
    </row>
    <row r="297" spans="3:3" ht="15" x14ac:dyDescent="0.2">
      <c r="C297" s="192" t="s">
        <v>776</v>
      </c>
    </row>
    <row r="298" spans="3:3" ht="15" x14ac:dyDescent="0.2">
      <c r="C298" s="192" t="s">
        <v>777</v>
      </c>
    </row>
    <row r="299" spans="3:3" ht="15" x14ac:dyDescent="0.2">
      <c r="C299" s="192" t="s">
        <v>778</v>
      </c>
    </row>
    <row r="300" spans="3:3" ht="15" x14ac:dyDescent="0.2">
      <c r="C300" s="192" t="s">
        <v>779</v>
      </c>
    </row>
    <row r="301" spans="3:3" ht="15" x14ac:dyDescent="0.2">
      <c r="C301" s="192" t="s">
        <v>780</v>
      </c>
    </row>
    <row r="302" spans="3:3" ht="15" x14ac:dyDescent="0.2">
      <c r="C302" s="192" t="s">
        <v>781</v>
      </c>
    </row>
    <row r="303" spans="3:3" ht="15" x14ac:dyDescent="0.2">
      <c r="C303" s="192" t="s">
        <v>782</v>
      </c>
    </row>
    <row r="304" spans="3:3" ht="15" x14ac:dyDescent="0.2">
      <c r="C304" s="192" t="s">
        <v>650</v>
      </c>
    </row>
    <row r="305" spans="3:3" ht="15" x14ac:dyDescent="0.2">
      <c r="C305" s="192" t="s">
        <v>651</v>
      </c>
    </row>
    <row r="306" spans="3:3" ht="15" x14ac:dyDescent="0.2">
      <c r="C306" s="192" t="s">
        <v>783</v>
      </c>
    </row>
    <row r="307" spans="3:3" ht="15" x14ac:dyDescent="0.2">
      <c r="C307" s="192" t="s">
        <v>784</v>
      </c>
    </row>
    <row r="308" spans="3:3" ht="15" x14ac:dyDescent="0.2">
      <c r="C308" s="192" t="s">
        <v>785</v>
      </c>
    </row>
    <row r="309" spans="3:3" ht="15" x14ac:dyDescent="0.2">
      <c r="C309" s="192" t="s">
        <v>786</v>
      </c>
    </row>
    <row r="310" spans="3:3" ht="15" x14ac:dyDescent="0.2">
      <c r="C310" s="192" t="s">
        <v>787</v>
      </c>
    </row>
    <row r="311" spans="3:3" ht="15" x14ac:dyDescent="0.2">
      <c r="C311" s="192" t="s">
        <v>788</v>
      </c>
    </row>
    <row r="312" spans="3:3" ht="15" x14ac:dyDescent="0.2">
      <c r="C312" s="192" t="s">
        <v>789</v>
      </c>
    </row>
    <row r="313" spans="3:3" ht="15" x14ac:dyDescent="0.2">
      <c r="C313" s="192" t="s">
        <v>790</v>
      </c>
    </row>
    <row r="314" spans="3:3" ht="15" x14ac:dyDescent="0.2">
      <c r="C314" s="192" t="s">
        <v>791</v>
      </c>
    </row>
    <row r="315" spans="3:3" ht="15" x14ac:dyDescent="0.2">
      <c r="C315" s="192" t="s">
        <v>792</v>
      </c>
    </row>
    <row r="316" spans="3:3" ht="15" x14ac:dyDescent="0.2">
      <c r="C316" s="192" t="s">
        <v>793</v>
      </c>
    </row>
    <row r="317" spans="3:3" ht="15" x14ac:dyDescent="0.2">
      <c r="C317" s="192" t="s">
        <v>794</v>
      </c>
    </row>
    <row r="318" spans="3:3" ht="15" x14ac:dyDescent="0.2">
      <c r="C318" s="192" t="s">
        <v>624</v>
      </c>
    </row>
    <row r="319" spans="3:3" ht="15" x14ac:dyDescent="0.2">
      <c r="C319" s="192" t="s">
        <v>795</v>
      </c>
    </row>
    <row r="320" spans="3:3" ht="15" x14ac:dyDescent="0.2">
      <c r="C320" s="192" t="s">
        <v>796</v>
      </c>
    </row>
    <row r="321" spans="3:3" ht="15" x14ac:dyDescent="0.2">
      <c r="C321" s="192" t="s">
        <v>797</v>
      </c>
    </row>
    <row r="322" spans="3:3" ht="15" x14ac:dyDescent="0.2">
      <c r="C322" s="192" t="s">
        <v>798</v>
      </c>
    </row>
    <row r="323" spans="3:3" ht="15" x14ac:dyDescent="0.2">
      <c r="C323" s="192" t="s">
        <v>799</v>
      </c>
    </row>
    <row r="324" spans="3:3" ht="15" x14ac:dyDescent="0.2">
      <c r="C324" s="192" t="s">
        <v>800</v>
      </c>
    </row>
    <row r="325" spans="3:3" ht="15" x14ac:dyDescent="0.2">
      <c r="C325" s="192" t="s">
        <v>801</v>
      </c>
    </row>
    <row r="326" spans="3:3" ht="15" x14ac:dyDescent="0.2">
      <c r="C326" s="192" t="s">
        <v>802</v>
      </c>
    </row>
    <row r="327" spans="3:3" ht="15" x14ac:dyDescent="0.2">
      <c r="C327" s="192" t="s">
        <v>803</v>
      </c>
    </row>
    <row r="328" spans="3:3" ht="15" x14ac:dyDescent="0.2">
      <c r="C328" s="192" t="s">
        <v>804</v>
      </c>
    </row>
    <row r="329" spans="3:3" ht="15" x14ac:dyDescent="0.2">
      <c r="C329" s="192" t="s">
        <v>805</v>
      </c>
    </row>
    <row r="330" spans="3:3" ht="15" x14ac:dyDescent="0.2">
      <c r="C330" s="192" t="s">
        <v>806</v>
      </c>
    </row>
    <row r="331" spans="3:3" ht="15" x14ac:dyDescent="0.2">
      <c r="C331" s="192" t="s">
        <v>807</v>
      </c>
    </row>
    <row r="332" spans="3:3" ht="15" x14ac:dyDescent="0.2">
      <c r="C332" s="192" t="s">
        <v>801</v>
      </c>
    </row>
    <row r="333" spans="3:3" ht="15" x14ac:dyDescent="0.2">
      <c r="C333" s="192" t="s">
        <v>802</v>
      </c>
    </row>
    <row r="334" spans="3:3" ht="15" x14ac:dyDescent="0.2">
      <c r="C334" s="192" t="s">
        <v>803</v>
      </c>
    </row>
    <row r="335" spans="3:3" ht="15" x14ac:dyDescent="0.2">
      <c r="C335" s="192" t="s">
        <v>804</v>
      </c>
    </row>
    <row r="336" spans="3:3" ht="15" x14ac:dyDescent="0.2">
      <c r="C336" s="192" t="s">
        <v>805</v>
      </c>
    </row>
    <row r="337" spans="3:3" ht="15" x14ac:dyDescent="0.2">
      <c r="C337" s="192" t="s">
        <v>808</v>
      </c>
    </row>
    <row r="338" spans="3:3" ht="15" x14ac:dyDescent="0.2">
      <c r="C338" s="192" t="s">
        <v>809</v>
      </c>
    </row>
    <row r="340" spans="3:3" ht="15" x14ac:dyDescent="0.2">
      <c r="C340" s="192" t="s">
        <v>810</v>
      </c>
    </row>
    <row r="341" spans="3:3" ht="15" x14ac:dyDescent="0.2">
      <c r="C341" s="192" t="s">
        <v>811</v>
      </c>
    </row>
    <row r="342" spans="3:3" ht="15" x14ac:dyDescent="0.2">
      <c r="C342" s="192" t="s">
        <v>812</v>
      </c>
    </row>
    <row r="344" spans="3:3" ht="15" x14ac:dyDescent="0.2">
      <c r="C344" s="192" t="s">
        <v>813</v>
      </c>
    </row>
    <row r="345" spans="3:3" ht="15" x14ac:dyDescent="0.2">
      <c r="C345" s="192" t="s">
        <v>814</v>
      </c>
    </row>
    <row r="346" spans="3:3" ht="15" x14ac:dyDescent="0.2">
      <c r="C346" s="192" t="s">
        <v>815</v>
      </c>
    </row>
    <row r="347" spans="3:3" ht="15" x14ac:dyDescent="0.2">
      <c r="C347" s="192" t="s">
        <v>816</v>
      </c>
    </row>
    <row r="348" spans="3:3" ht="15" x14ac:dyDescent="0.2">
      <c r="C348" s="192" t="s">
        <v>817</v>
      </c>
    </row>
    <row r="349" spans="3:3" ht="15" x14ac:dyDescent="0.2">
      <c r="C349" s="192" t="s">
        <v>818</v>
      </c>
    </row>
    <row r="350" spans="3:3" ht="15" x14ac:dyDescent="0.2">
      <c r="C350" s="192" t="s">
        <v>819</v>
      </c>
    </row>
    <row r="352" spans="3:3" ht="15" x14ac:dyDescent="0.2">
      <c r="C352" s="192" t="s">
        <v>820</v>
      </c>
    </row>
    <row r="353" spans="3:3" ht="15" x14ac:dyDescent="0.2">
      <c r="C353" s="192" t="s">
        <v>821</v>
      </c>
    </row>
    <row r="354" spans="3:3" ht="15" x14ac:dyDescent="0.2">
      <c r="C354" s="192" t="s">
        <v>822</v>
      </c>
    </row>
    <row r="355" spans="3:3" ht="15" x14ac:dyDescent="0.2">
      <c r="C355" s="192" t="s">
        <v>823</v>
      </c>
    </row>
    <row r="356" spans="3:3" ht="15" x14ac:dyDescent="0.2">
      <c r="C356" s="192" t="s">
        <v>824</v>
      </c>
    </row>
    <row r="357" spans="3:3" ht="15" x14ac:dyDescent="0.2">
      <c r="C357" s="192" t="s">
        <v>825</v>
      </c>
    </row>
    <row r="358" spans="3:3" ht="15" x14ac:dyDescent="0.2">
      <c r="C358" s="192" t="s">
        <v>826</v>
      </c>
    </row>
    <row r="359" spans="3:3" ht="15" x14ac:dyDescent="0.2">
      <c r="C359" s="192" t="s">
        <v>822</v>
      </c>
    </row>
    <row r="360" spans="3:3" ht="15" x14ac:dyDescent="0.2">
      <c r="C360" s="192" t="s">
        <v>823</v>
      </c>
    </row>
    <row r="361" spans="3:3" ht="15" x14ac:dyDescent="0.2">
      <c r="C361" s="192" t="s">
        <v>824</v>
      </c>
    </row>
    <row r="362" spans="3:3" ht="15" x14ac:dyDescent="0.2">
      <c r="C362" s="192" t="s">
        <v>827</v>
      </c>
    </row>
    <row r="363" spans="3:3" ht="15" x14ac:dyDescent="0.2">
      <c r="C363" s="192" t="s">
        <v>814</v>
      </c>
    </row>
    <row r="364" spans="3:3" ht="15" x14ac:dyDescent="0.2">
      <c r="C364" s="192" t="s">
        <v>828</v>
      </c>
    </row>
    <row r="365" spans="3:3" ht="15" x14ac:dyDescent="0.2">
      <c r="C365" s="192" t="s">
        <v>829</v>
      </c>
    </row>
    <row r="366" spans="3:3" ht="15" x14ac:dyDescent="0.2">
      <c r="C366" s="192" t="s">
        <v>817</v>
      </c>
    </row>
    <row r="367" spans="3:3" ht="15" x14ac:dyDescent="0.2">
      <c r="C367" s="192" t="s">
        <v>830</v>
      </c>
    </row>
    <row r="368" spans="3:3" ht="15" x14ac:dyDescent="0.2">
      <c r="C368" s="192" t="s">
        <v>1064</v>
      </c>
    </row>
    <row r="369" spans="3:3" ht="15" x14ac:dyDescent="0.2">
      <c r="C369" s="192"/>
    </row>
    <row r="370" spans="3:3" ht="15" x14ac:dyDescent="0.2">
      <c r="C370" s="192" t="s">
        <v>832</v>
      </c>
    </row>
    <row r="371" spans="3:3" ht="15" x14ac:dyDescent="0.2">
      <c r="C371" s="192" t="s">
        <v>833</v>
      </c>
    </row>
    <row r="372" spans="3:3" ht="15" x14ac:dyDescent="0.2">
      <c r="C372" s="192" t="s">
        <v>834</v>
      </c>
    </row>
    <row r="373" spans="3:3" ht="15" x14ac:dyDescent="0.2">
      <c r="C373" s="192" t="s">
        <v>835</v>
      </c>
    </row>
    <row r="374" spans="3:3" ht="15" x14ac:dyDescent="0.2">
      <c r="C374" s="192" t="s">
        <v>836</v>
      </c>
    </row>
    <row r="376" spans="3:3" ht="15" x14ac:dyDescent="0.2">
      <c r="C376" s="192" t="s">
        <v>1065</v>
      </c>
    </row>
    <row r="377" spans="3:3" ht="15" x14ac:dyDescent="0.2">
      <c r="C377" s="192" t="s">
        <v>872</v>
      </c>
    </row>
    <row r="379" spans="3:3" ht="15" x14ac:dyDescent="0.2">
      <c r="C379" s="192" t="s">
        <v>873</v>
      </c>
    </row>
    <row r="380" spans="3:3" ht="15" x14ac:dyDescent="0.2">
      <c r="C380" s="192" t="s">
        <v>1066</v>
      </c>
    </row>
    <row r="381" spans="3:3" ht="15" x14ac:dyDescent="0.2">
      <c r="C381" s="192" t="s">
        <v>1067</v>
      </c>
    </row>
    <row r="382" spans="3:3" ht="15" x14ac:dyDescent="0.2">
      <c r="C382" s="192" t="s">
        <v>876</v>
      </c>
    </row>
    <row r="383" spans="3:3" ht="15" x14ac:dyDescent="0.2">
      <c r="C383" s="192" t="s">
        <v>877</v>
      </c>
    </row>
    <row r="385" spans="3:3" ht="15" x14ac:dyDescent="0.2">
      <c r="C385" s="192" t="s">
        <v>878</v>
      </c>
    </row>
    <row r="386" spans="3:3" ht="15" x14ac:dyDescent="0.2">
      <c r="C386" s="192" t="s">
        <v>879</v>
      </c>
    </row>
    <row r="387" spans="3:3" ht="15" x14ac:dyDescent="0.2">
      <c r="C387" s="192" t="s">
        <v>880</v>
      </c>
    </row>
    <row r="388" spans="3:3" ht="15" x14ac:dyDescent="0.2">
      <c r="C388" s="192" t="s">
        <v>881</v>
      </c>
    </row>
    <row r="389" spans="3:3" ht="15" x14ac:dyDescent="0.2">
      <c r="C389" s="192" t="s">
        <v>882</v>
      </c>
    </row>
    <row r="390" spans="3:3" ht="15" x14ac:dyDescent="0.2">
      <c r="C390" s="192" t="s">
        <v>883</v>
      </c>
    </row>
    <row r="391" spans="3:3" ht="15" x14ac:dyDescent="0.2">
      <c r="C391" s="192" t="s">
        <v>884</v>
      </c>
    </row>
    <row r="392" spans="3:3" ht="15" x14ac:dyDescent="0.2">
      <c r="C392" s="192" t="s">
        <v>885</v>
      </c>
    </row>
    <row r="393" spans="3:3" ht="15" x14ac:dyDescent="0.2">
      <c r="C393" s="192" t="s">
        <v>886</v>
      </c>
    </row>
    <row r="394" spans="3:3" ht="15" x14ac:dyDescent="0.2">
      <c r="C394" s="192" t="s">
        <v>887</v>
      </c>
    </row>
    <row r="395" spans="3:3" ht="15" x14ac:dyDescent="0.2">
      <c r="C395" s="192" t="s">
        <v>888</v>
      </c>
    </row>
    <row r="396" spans="3:3" ht="15" x14ac:dyDescent="0.2">
      <c r="C396" s="192" t="s">
        <v>889</v>
      </c>
    </row>
    <row r="397" spans="3:3" ht="15" x14ac:dyDescent="0.2">
      <c r="C397" s="192" t="s">
        <v>890</v>
      </c>
    </row>
    <row r="399" spans="3:3" ht="15" x14ac:dyDescent="0.2">
      <c r="C399" s="192" t="s">
        <v>891</v>
      </c>
    </row>
    <row r="401" spans="3:3" ht="15" x14ac:dyDescent="0.2">
      <c r="C401" s="192" t="s">
        <v>892</v>
      </c>
    </row>
    <row r="402" spans="3:3" ht="15" x14ac:dyDescent="0.2">
      <c r="C402" s="192" t="s">
        <v>893</v>
      </c>
    </row>
    <row r="403" spans="3:3" ht="15" x14ac:dyDescent="0.2">
      <c r="C403" s="192" t="s">
        <v>894</v>
      </c>
    </row>
    <row r="404" spans="3:3" ht="15" x14ac:dyDescent="0.2">
      <c r="C404" s="192" t="s">
        <v>895</v>
      </c>
    </row>
    <row r="405" spans="3:3" ht="15" x14ac:dyDescent="0.2">
      <c r="C405" s="192" t="s">
        <v>896</v>
      </c>
    </row>
    <row r="406" spans="3:3" ht="15" x14ac:dyDescent="0.2">
      <c r="C406" s="192" t="s">
        <v>897</v>
      </c>
    </row>
    <row r="407" spans="3:3" ht="15" x14ac:dyDescent="0.2">
      <c r="C407" s="192" t="s">
        <v>876</v>
      </c>
    </row>
    <row r="409" spans="3:3" ht="15" x14ac:dyDescent="0.2">
      <c r="C409" s="192" t="s">
        <v>898</v>
      </c>
    </row>
    <row r="410" spans="3:3" ht="15" x14ac:dyDescent="0.2">
      <c r="C410" s="192" t="s">
        <v>899</v>
      </c>
    </row>
    <row r="412" spans="3:3" ht="15" x14ac:dyDescent="0.2">
      <c r="C412" s="192" t="s">
        <v>900</v>
      </c>
    </row>
    <row r="413" spans="3:3" ht="15" x14ac:dyDescent="0.2">
      <c r="C413" s="192" t="s">
        <v>901</v>
      </c>
    </row>
    <row r="414" spans="3:3" ht="15" x14ac:dyDescent="0.2">
      <c r="C414" s="192" t="s">
        <v>902</v>
      </c>
    </row>
    <row r="415" spans="3:3" ht="15" x14ac:dyDescent="0.2">
      <c r="C415" s="192" t="s">
        <v>903</v>
      </c>
    </row>
    <row r="416" spans="3:3" ht="15" x14ac:dyDescent="0.2">
      <c r="C416" s="192" t="s">
        <v>904</v>
      </c>
    </row>
    <row r="417" spans="3:3" ht="15" x14ac:dyDescent="0.2">
      <c r="C417" s="192" t="s">
        <v>905</v>
      </c>
    </row>
    <row r="419" spans="3:3" ht="15" x14ac:dyDescent="0.2">
      <c r="C419" s="192" t="s">
        <v>900</v>
      </c>
    </row>
    <row r="420" spans="3:3" ht="15" x14ac:dyDescent="0.2">
      <c r="C420" s="192" t="s">
        <v>906</v>
      </c>
    </row>
    <row r="421" spans="3:3" ht="15" x14ac:dyDescent="0.2">
      <c r="C421" s="192" t="s">
        <v>907</v>
      </c>
    </row>
    <row r="422" spans="3:3" ht="15" x14ac:dyDescent="0.2">
      <c r="C422" s="192" t="s">
        <v>908</v>
      </c>
    </row>
    <row r="423" spans="3:3" ht="15" x14ac:dyDescent="0.2">
      <c r="C423" s="192" t="s">
        <v>909</v>
      </c>
    </row>
    <row r="425" spans="3:3" ht="15" x14ac:dyDescent="0.2">
      <c r="C425" s="192" t="s">
        <v>910</v>
      </c>
    </row>
    <row r="426" spans="3:3" ht="15" x14ac:dyDescent="0.2">
      <c r="C426" s="192" t="s">
        <v>911</v>
      </c>
    </row>
    <row r="427" spans="3:3" ht="15" x14ac:dyDescent="0.2">
      <c r="C427" s="192" t="s">
        <v>912</v>
      </c>
    </row>
    <row r="428" spans="3:3" ht="15" x14ac:dyDescent="0.2">
      <c r="C428" s="192" t="s">
        <v>913</v>
      </c>
    </row>
    <row r="429" spans="3:3" ht="15" x14ac:dyDescent="0.2">
      <c r="C429" s="192" t="s">
        <v>914</v>
      </c>
    </row>
    <row r="431" spans="3:3" ht="15" x14ac:dyDescent="0.2">
      <c r="C431" s="192" t="s">
        <v>915</v>
      </c>
    </row>
    <row r="432" spans="3:3" ht="15" x14ac:dyDescent="0.2">
      <c r="C432" s="192" t="s">
        <v>916</v>
      </c>
    </row>
    <row r="433" spans="3:3" ht="15" x14ac:dyDescent="0.2">
      <c r="C433" s="192" t="s">
        <v>650</v>
      </c>
    </row>
    <row r="434" spans="3:3" ht="15" x14ac:dyDescent="0.2">
      <c r="C434" s="192" t="s">
        <v>651</v>
      </c>
    </row>
    <row r="435" spans="3:3" ht="15" x14ac:dyDescent="0.2">
      <c r="C435" s="192" t="s">
        <v>917</v>
      </c>
    </row>
    <row r="436" spans="3:3" ht="15" x14ac:dyDescent="0.2">
      <c r="C436" s="192" t="s">
        <v>918</v>
      </c>
    </row>
    <row r="437" spans="3:3" ht="15" x14ac:dyDescent="0.2">
      <c r="C437" s="192" t="s">
        <v>919</v>
      </c>
    </row>
    <row r="439" spans="3:3" ht="15" x14ac:dyDescent="0.2">
      <c r="C439" s="192" t="s">
        <v>920</v>
      </c>
    </row>
    <row r="440" spans="3:3" ht="15" x14ac:dyDescent="0.2">
      <c r="C440" s="192" t="s">
        <v>651</v>
      </c>
    </row>
    <row r="442" spans="3:3" ht="15" x14ac:dyDescent="0.2">
      <c r="C442" s="192" t="s">
        <v>921</v>
      </c>
    </row>
    <row r="443" spans="3:3" ht="15" x14ac:dyDescent="0.2">
      <c r="C443" s="192" t="s">
        <v>922</v>
      </c>
    </row>
    <row r="444" spans="3:3" ht="15" x14ac:dyDescent="0.2">
      <c r="C444" s="192" t="s">
        <v>923</v>
      </c>
    </row>
    <row r="446" spans="3:3" ht="15" x14ac:dyDescent="0.2">
      <c r="C446" s="192" t="s">
        <v>924</v>
      </c>
    </row>
    <row r="447" spans="3:3" ht="15" x14ac:dyDescent="0.2">
      <c r="C447" s="192" t="s">
        <v>925</v>
      </c>
    </row>
    <row r="448" spans="3:3" ht="15" x14ac:dyDescent="0.2">
      <c r="C448" s="192" t="s">
        <v>926</v>
      </c>
    </row>
    <row r="449" spans="3:3" ht="15" x14ac:dyDescent="0.2">
      <c r="C449" s="192" t="s">
        <v>927</v>
      </c>
    </row>
    <row r="450" spans="3:3" ht="15" x14ac:dyDescent="0.2">
      <c r="C450" s="192" t="s">
        <v>928</v>
      </c>
    </row>
    <row r="452" spans="3:3" ht="15" x14ac:dyDescent="0.2">
      <c r="C452" s="192" t="s">
        <v>946</v>
      </c>
    </row>
    <row r="453" spans="3:3" ht="15" x14ac:dyDescent="0.2">
      <c r="C453" s="192" t="s">
        <v>947</v>
      </c>
    </row>
    <row r="454" spans="3:3" ht="15" x14ac:dyDescent="0.2">
      <c r="C454" s="192" t="s">
        <v>948</v>
      </c>
    </row>
    <row r="455" spans="3:3" ht="15" x14ac:dyDescent="0.2">
      <c r="C455" s="192" t="s">
        <v>949</v>
      </c>
    </row>
    <row r="456" spans="3:3" ht="15" x14ac:dyDescent="0.2">
      <c r="C456" s="192" t="s">
        <v>950</v>
      </c>
    </row>
    <row r="457" spans="3:3" ht="15" x14ac:dyDescent="0.2">
      <c r="C457" s="192" t="s">
        <v>951</v>
      </c>
    </row>
    <row r="458" spans="3:3" ht="15" x14ac:dyDescent="0.2">
      <c r="C458" s="192" t="s">
        <v>952</v>
      </c>
    </row>
    <row r="459" spans="3:3" ht="15" x14ac:dyDescent="0.2">
      <c r="C459" s="192" t="s">
        <v>953</v>
      </c>
    </row>
    <row r="460" spans="3:3" ht="15" x14ac:dyDescent="0.2">
      <c r="C460" s="192" t="s">
        <v>954</v>
      </c>
    </row>
    <row r="461" spans="3:3" ht="15" x14ac:dyDescent="0.2">
      <c r="C461" s="192" t="s">
        <v>1068</v>
      </c>
    </row>
    <row r="462" spans="3:3" ht="15" x14ac:dyDescent="0.2">
      <c r="C462" s="192" t="s">
        <v>1069</v>
      </c>
    </row>
    <row r="463" spans="3:3" ht="15" x14ac:dyDescent="0.2">
      <c r="C463" s="192" t="s">
        <v>1070</v>
      </c>
    </row>
    <row r="464" spans="3:3" ht="15" x14ac:dyDescent="0.2">
      <c r="C464" s="192" t="s">
        <v>1071</v>
      </c>
    </row>
    <row r="465" spans="3:3" ht="15" x14ac:dyDescent="0.2">
      <c r="C465" s="192" t="s">
        <v>1072</v>
      </c>
    </row>
    <row r="466" spans="3:3" ht="15" x14ac:dyDescent="0.2">
      <c r="C466" s="192" t="s">
        <v>1073</v>
      </c>
    </row>
    <row r="467" spans="3:3" ht="15" x14ac:dyDescent="0.2">
      <c r="C467" s="192" t="s">
        <v>1074</v>
      </c>
    </row>
    <row r="468" spans="3:3" ht="15" x14ac:dyDescent="0.2">
      <c r="C468" s="192" t="s">
        <v>1075</v>
      </c>
    </row>
    <row r="469" spans="3:3" ht="15" x14ac:dyDescent="0.2">
      <c r="C469" s="192" t="s">
        <v>1076</v>
      </c>
    </row>
    <row r="470" spans="3:3" ht="15" x14ac:dyDescent="0.2">
      <c r="C470" s="192" t="s">
        <v>955</v>
      </c>
    </row>
    <row r="471" spans="3:3" ht="15" x14ac:dyDescent="0.2">
      <c r="C471" s="192" t="s">
        <v>956</v>
      </c>
    </row>
    <row r="472" spans="3:3" ht="15" x14ac:dyDescent="0.2">
      <c r="C472" s="192" t="s">
        <v>957</v>
      </c>
    </row>
    <row r="473" spans="3:3" ht="15" x14ac:dyDescent="0.2">
      <c r="C473" s="192" t="s">
        <v>958</v>
      </c>
    </row>
    <row r="474" spans="3:3" ht="15" x14ac:dyDescent="0.2">
      <c r="C474" s="192" t="s">
        <v>959</v>
      </c>
    </row>
    <row r="475" spans="3:3" ht="15" x14ac:dyDescent="0.2">
      <c r="C475" s="192" t="s">
        <v>960</v>
      </c>
    </row>
    <row r="476" spans="3:3" ht="15" x14ac:dyDescent="0.2">
      <c r="C476" s="192" t="s">
        <v>961</v>
      </c>
    </row>
    <row r="477" spans="3:3" ht="15" x14ac:dyDescent="0.2">
      <c r="C477" s="192" t="s">
        <v>962</v>
      </c>
    </row>
    <row r="478" spans="3:3" ht="15" x14ac:dyDescent="0.2">
      <c r="C478" s="192" t="s">
        <v>963</v>
      </c>
    </row>
    <row r="479" spans="3:3" ht="15" x14ac:dyDescent="0.2">
      <c r="C479" s="192" t="s">
        <v>964</v>
      </c>
    </row>
    <row r="480" spans="3:3" ht="15" x14ac:dyDescent="0.2">
      <c r="C480" s="192" t="s">
        <v>965</v>
      </c>
    </row>
    <row r="481" spans="3:3" ht="15" x14ac:dyDescent="0.2">
      <c r="C481" s="192" t="s">
        <v>966</v>
      </c>
    </row>
    <row r="482" spans="3:3" ht="15" x14ac:dyDescent="0.2">
      <c r="C482" s="192" t="s">
        <v>967</v>
      </c>
    </row>
    <row r="483" spans="3:3" ht="15" x14ac:dyDescent="0.2">
      <c r="C483" s="192" t="s">
        <v>804</v>
      </c>
    </row>
    <row r="484" spans="3:3" ht="15" x14ac:dyDescent="0.2">
      <c r="C484" s="192" t="s">
        <v>968</v>
      </c>
    </row>
    <row r="485" spans="3:3" ht="15" x14ac:dyDescent="0.2">
      <c r="C485" s="192" t="s">
        <v>969</v>
      </c>
    </row>
    <row r="486" spans="3:3" ht="15" x14ac:dyDescent="0.2">
      <c r="C486" s="192" t="s">
        <v>970</v>
      </c>
    </row>
    <row r="487" spans="3:3" ht="15" x14ac:dyDescent="0.2">
      <c r="C487" s="192" t="s">
        <v>1077</v>
      </c>
    </row>
    <row r="488" spans="3:3" ht="15" x14ac:dyDescent="0.2">
      <c r="C488" s="192" t="s">
        <v>972</v>
      </c>
    </row>
    <row r="489" spans="3:3" ht="15" x14ac:dyDescent="0.2">
      <c r="C489" s="192" t="s">
        <v>973</v>
      </c>
    </row>
    <row r="490" spans="3:3" ht="15" x14ac:dyDescent="0.2">
      <c r="C490" s="192" t="s">
        <v>974</v>
      </c>
    </row>
    <row r="492" spans="3:3" ht="15" x14ac:dyDescent="0.2">
      <c r="C492" s="192" t="s">
        <v>1078</v>
      </c>
    </row>
    <row r="493" spans="3:3" ht="15" x14ac:dyDescent="0.2">
      <c r="C493" s="192" t="s">
        <v>1079</v>
      </c>
    </row>
    <row r="494" spans="3:3" ht="15" x14ac:dyDescent="0.2">
      <c r="C494" s="192" t="s">
        <v>1080</v>
      </c>
    </row>
    <row r="495" spans="3:3" ht="15" x14ac:dyDescent="0.2">
      <c r="C495" s="192" t="s">
        <v>1081</v>
      </c>
    </row>
    <row r="496" spans="3:3" ht="15" x14ac:dyDescent="0.2">
      <c r="C496" s="192" t="s">
        <v>1082</v>
      </c>
    </row>
    <row r="497" spans="3:3" ht="15" x14ac:dyDescent="0.2">
      <c r="C497" s="192" t="s">
        <v>1083</v>
      </c>
    </row>
    <row r="498" spans="3:3" ht="15" x14ac:dyDescent="0.2">
      <c r="C498" s="192" t="s">
        <v>1084</v>
      </c>
    </row>
    <row r="499" spans="3:3" ht="15" x14ac:dyDescent="0.2">
      <c r="C499" s="192" t="s">
        <v>1085</v>
      </c>
    </row>
    <row r="500" spans="3:3" ht="15" x14ac:dyDescent="0.2">
      <c r="C500" s="192" t="s">
        <v>1086</v>
      </c>
    </row>
    <row r="501" spans="3:3" ht="15" x14ac:dyDescent="0.2">
      <c r="C501" s="192" t="s">
        <v>1087</v>
      </c>
    </row>
    <row r="502" spans="3:3" ht="15" x14ac:dyDescent="0.2">
      <c r="C502" s="192" t="s">
        <v>1088</v>
      </c>
    </row>
    <row r="503" spans="3:3" ht="15" x14ac:dyDescent="0.2">
      <c r="C503" s="192" t="s">
        <v>677</v>
      </c>
    </row>
    <row r="504" spans="3:3" ht="15" x14ac:dyDescent="0.2">
      <c r="C504" s="192" t="s">
        <v>1089</v>
      </c>
    </row>
    <row r="505" spans="3:3" ht="15" x14ac:dyDescent="0.2">
      <c r="C505" s="192" t="s">
        <v>976</v>
      </c>
    </row>
    <row r="507" spans="3:3" ht="15" x14ac:dyDescent="0.2">
      <c r="C507" s="192" t="s">
        <v>977</v>
      </c>
    </row>
    <row r="508" spans="3:3" ht="15" x14ac:dyDescent="0.2">
      <c r="C508" s="192" t="s">
        <v>978</v>
      </c>
    </row>
    <row r="510" spans="3:3" ht="15" x14ac:dyDescent="0.2">
      <c r="C510" s="192" t="s">
        <v>1090</v>
      </c>
    </row>
    <row r="511" spans="3:3" ht="15" x14ac:dyDescent="0.2">
      <c r="C511" s="192" t="s">
        <v>1091</v>
      </c>
    </row>
    <row r="512" spans="3:3" ht="15" x14ac:dyDescent="0.2">
      <c r="C512" s="192" t="s">
        <v>1092</v>
      </c>
    </row>
    <row r="513" spans="3:3" ht="15" x14ac:dyDescent="0.2">
      <c r="C513" s="192" t="s">
        <v>1093</v>
      </c>
    </row>
    <row r="514" spans="3:3" ht="15" x14ac:dyDescent="0.2">
      <c r="C514" s="192" t="s">
        <v>1094</v>
      </c>
    </row>
    <row r="515" spans="3:3" ht="15" x14ac:dyDescent="0.2">
      <c r="C515" s="192" t="s">
        <v>1095</v>
      </c>
    </row>
    <row r="516" spans="3:3" ht="15" x14ac:dyDescent="0.2">
      <c r="C516" s="192" t="s">
        <v>1096</v>
      </c>
    </row>
    <row r="517" spans="3:3" ht="15" x14ac:dyDescent="0.2">
      <c r="C517" s="192" t="s">
        <v>1097</v>
      </c>
    </row>
    <row r="519" spans="3:3" ht="15" x14ac:dyDescent="0.2">
      <c r="C519" s="192" t="s">
        <v>1098</v>
      </c>
    </row>
    <row r="521" spans="3:3" ht="15" x14ac:dyDescent="0.2">
      <c r="C521" s="192" t="s">
        <v>930</v>
      </c>
    </row>
    <row r="522" spans="3:3" ht="15" x14ac:dyDescent="0.2">
      <c r="C522" s="192" t="s">
        <v>931</v>
      </c>
    </row>
    <row r="523" spans="3:3" ht="15" x14ac:dyDescent="0.2">
      <c r="C523" s="192" t="s">
        <v>1099</v>
      </c>
    </row>
    <row r="524" spans="3:3" ht="15" x14ac:dyDescent="0.2">
      <c r="C524" s="192" t="s">
        <v>933</v>
      </c>
    </row>
    <row r="525" spans="3:3" ht="15" x14ac:dyDescent="0.2">
      <c r="C525" s="192" t="s">
        <v>1100</v>
      </c>
    </row>
    <row r="526" spans="3:3" ht="15" x14ac:dyDescent="0.2">
      <c r="C526" s="192" t="s">
        <v>935</v>
      </c>
    </row>
    <row r="527" spans="3:3" ht="15" x14ac:dyDescent="0.2">
      <c r="C527" s="192" t="s">
        <v>1101</v>
      </c>
    </row>
    <row r="528" spans="3:3" ht="15" x14ac:dyDescent="0.2">
      <c r="C528" s="192" t="s">
        <v>876</v>
      </c>
    </row>
    <row r="530" spans="3:3" ht="15" x14ac:dyDescent="0.2">
      <c r="C530" s="192" t="s">
        <v>930</v>
      </c>
    </row>
    <row r="531" spans="3:3" ht="15" x14ac:dyDescent="0.2">
      <c r="C531" s="192" t="s">
        <v>931</v>
      </c>
    </row>
    <row r="532" spans="3:3" ht="15" x14ac:dyDescent="0.2">
      <c r="C532" s="192" t="s">
        <v>1102</v>
      </c>
    </row>
    <row r="533" spans="3:3" ht="15" x14ac:dyDescent="0.2">
      <c r="C533" s="192" t="s">
        <v>933</v>
      </c>
    </row>
    <row r="534" spans="3:3" ht="15" x14ac:dyDescent="0.2">
      <c r="C534" s="192" t="s">
        <v>1103</v>
      </c>
    </row>
    <row r="535" spans="3:3" ht="15" x14ac:dyDescent="0.2">
      <c r="C535" s="192" t="s">
        <v>935</v>
      </c>
    </row>
    <row r="536" spans="3:3" ht="15" x14ac:dyDescent="0.2">
      <c r="C536" s="192" t="s">
        <v>1101</v>
      </c>
    </row>
    <row r="537" spans="3:3" ht="15" x14ac:dyDescent="0.2">
      <c r="C537" s="192" t="s">
        <v>876</v>
      </c>
    </row>
    <row r="539" spans="3:3" ht="15" x14ac:dyDescent="0.2">
      <c r="C539" s="192" t="s">
        <v>1104</v>
      </c>
    </row>
    <row r="540" spans="3:3" ht="15" x14ac:dyDescent="0.2">
      <c r="C540" s="192" t="s">
        <v>1105</v>
      </c>
    </row>
    <row r="541" spans="3:3" ht="15" x14ac:dyDescent="0.2">
      <c r="C541" s="192" t="s">
        <v>1106</v>
      </c>
    </row>
    <row r="542" spans="3:3" ht="15" x14ac:dyDescent="0.2">
      <c r="C542" s="192" t="s">
        <v>1107</v>
      </c>
    </row>
    <row r="543" spans="3:3" ht="15" x14ac:dyDescent="0.2">
      <c r="C543" s="192" t="s">
        <v>930</v>
      </c>
    </row>
    <row r="544" spans="3:3" ht="15" x14ac:dyDescent="0.2">
      <c r="C544" s="192" t="s">
        <v>1108</v>
      </c>
    </row>
    <row r="545" spans="3:3" ht="15" x14ac:dyDescent="0.2">
      <c r="C545" s="192" t="s">
        <v>1109</v>
      </c>
    </row>
    <row r="546" spans="3:3" ht="15" x14ac:dyDescent="0.2">
      <c r="C546" s="192" t="s">
        <v>933</v>
      </c>
    </row>
    <row r="547" spans="3:3" ht="15" x14ac:dyDescent="0.2">
      <c r="C547" s="192" t="s">
        <v>941</v>
      </c>
    </row>
    <row r="548" spans="3:3" ht="15" x14ac:dyDescent="0.2">
      <c r="C548" s="192" t="s">
        <v>942</v>
      </c>
    </row>
    <row r="549" spans="3:3" ht="15" x14ac:dyDescent="0.2">
      <c r="C549" s="192" t="s">
        <v>1110</v>
      </c>
    </row>
    <row r="550" spans="3:3" ht="15" x14ac:dyDescent="0.2">
      <c r="C550" s="192" t="s">
        <v>943</v>
      </c>
    </row>
    <row r="551" spans="3:3" ht="15" x14ac:dyDescent="0.2">
      <c r="C551" s="192" t="s">
        <v>944</v>
      </c>
    </row>
    <row r="552" spans="3:3" ht="15" x14ac:dyDescent="0.2">
      <c r="C552" s="192" t="s">
        <v>876</v>
      </c>
    </row>
    <row r="555" spans="3:3" ht="15" x14ac:dyDescent="0.2">
      <c r="C555" s="192" t="s">
        <v>1111</v>
      </c>
    </row>
    <row r="556" spans="3:3" ht="15" x14ac:dyDescent="0.2">
      <c r="C556" s="192" t="s">
        <v>1112</v>
      </c>
    </row>
    <row r="557" spans="3:3" ht="15" x14ac:dyDescent="0.2">
      <c r="C557" s="192" t="s">
        <v>1113</v>
      </c>
    </row>
    <row r="558" spans="3:3" ht="15" x14ac:dyDescent="0.2">
      <c r="C558" s="192" t="s">
        <v>1114</v>
      </c>
    </row>
    <row r="559" spans="3:3" ht="15" x14ac:dyDescent="0.2">
      <c r="C559" s="192" t="s">
        <v>1115</v>
      </c>
    </row>
    <row r="560" spans="3:3" ht="15" x14ac:dyDescent="0.2">
      <c r="C560" s="192" t="s">
        <v>1116</v>
      </c>
    </row>
    <row r="562" spans="3:3" ht="15" x14ac:dyDescent="0.2">
      <c r="C562" s="192" t="s">
        <v>1117</v>
      </c>
    </row>
    <row r="564" spans="3:3" ht="15" x14ac:dyDescent="0.2">
      <c r="C564" s="192" t="s">
        <v>930</v>
      </c>
    </row>
    <row r="565" spans="3:3" ht="15" x14ac:dyDescent="0.2">
      <c r="C565" s="192" t="s">
        <v>931</v>
      </c>
    </row>
    <row r="566" spans="3:3" ht="15" x14ac:dyDescent="0.2">
      <c r="C566" s="192" t="s">
        <v>1118</v>
      </c>
    </row>
    <row r="567" spans="3:3" ht="15" x14ac:dyDescent="0.2">
      <c r="C567" s="192" t="s">
        <v>933</v>
      </c>
    </row>
    <row r="568" spans="3:3" ht="15" x14ac:dyDescent="0.2">
      <c r="C568" s="192" t="s">
        <v>1119</v>
      </c>
    </row>
    <row r="569" spans="3:3" ht="15" x14ac:dyDescent="0.2">
      <c r="C569" s="192" t="s">
        <v>935</v>
      </c>
    </row>
    <row r="570" spans="3:3" ht="15" x14ac:dyDescent="0.2">
      <c r="C570" s="192" t="s">
        <v>1120</v>
      </c>
    </row>
    <row r="571" spans="3:3" ht="15" x14ac:dyDescent="0.2">
      <c r="C571" s="192" t="s">
        <v>876</v>
      </c>
    </row>
    <row r="573" spans="3:3" ht="15" x14ac:dyDescent="0.2">
      <c r="C573" s="192" t="s">
        <v>930</v>
      </c>
    </row>
    <row r="574" spans="3:3" ht="15" x14ac:dyDescent="0.2">
      <c r="C574" s="192" t="s">
        <v>931</v>
      </c>
    </row>
    <row r="575" spans="3:3" ht="15" x14ac:dyDescent="0.2">
      <c r="C575" s="192" t="s">
        <v>1121</v>
      </c>
    </row>
    <row r="576" spans="3:3" ht="15" x14ac:dyDescent="0.2">
      <c r="C576" s="192" t="s">
        <v>933</v>
      </c>
    </row>
    <row r="577" spans="3:3" ht="15" x14ac:dyDescent="0.2">
      <c r="C577" s="192" t="s">
        <v>1122</v>
      </c>
    </row>
    <row r="578" spans="3:3" ht="15" x14ac:dyDescent="0.2">
      <c r="C578" s="192" t="s">
        <v>935</v>
      </c>
    </row>
    <row r="579" spans="3:3" ht="15" x14ac:dyDescent="0.2">
      <c r="C579" s="192" t="s">
        <v>1120</v>
      </c>
    </row>
    <row r="580" spans="3:3" ht="15" x14ac:dyDescent="0.2">
      <c r="C580" s="192" t="s">
        <v>876</v>
      </c>
    </row>
    <row r="582" spans="3:3" ht="15" x14ac:dyDescent="0.2">
      <c r="C582" s="192" t="s">
        <v>1123</v>
      </c>
    </row>
    <row r="583" spans="3:3" ht="15" x14ac:dyDescent="0.2">
      <c r="C583" s="192" t="s">
        <v>1124</v>
      </c>
    </row>
    <row r="584" spans="3:3" ht="15" x14ac:dyDescent="0.2">
      <c r="C584" s="192" t="s">
        <v>1125</v>
      </c>
    </row>
    <row r="585" spans="3:3" ht="15" x14ac:dyDescent="0.2">
      <c r="C585" s="192" t="s">
        <v>1126</v>
      </c>
    </row>
    <row r="586" spans="3:3" ht="15" x14ac:dyDescent="0.2">
      <c r="C586" s="192" t="s">
        <v>1107</v>
      </c>
    </row>
    <row r="587" spans="3:3" ht="15" x14ac:dyDescent="0.2">
      <c r="C587" s="192" t="s">
        <v>930</v>
      </c>
    </row>
    <row r="588" spans="3:3" ht="15" x14ac:dyDescent="0.2">
      <c r="C588" s="192" t="s">
        <v>1127</v>
      </c>
    </row>
    <row r="589" spans="3:3" ht="15" x14ac:dyDescent="0.2">
      <c r="C589" s="192" t="s">
        <v>1128</v>
      </c>
    </row>
    <row r="590" spans="3:3" ht="15" x14ac:dyDescent="0.2">
      <c r="C590" s="192" t="s">
        <v>933</v>
      </c>
    </row>
    <row r="591" spans="3:3" ht="15" x14ac:dyDescent="0.2">
      <c r="C591" s="192" t="s">
        <v>941</v>
      </c>
    </row>
    <row r="592" spans="3:3" ht="15" x14ac:dyDescent="0.2">
      <c r="C592" s="192" t="s">
        <v>942</v>
      </c>
    </row>
    <row r="593" spans="3:3" ht="15" x14ac:dyDescent="0.2">
      <c r="C593" s="192" t="s">
        <v>1110</v>
      </c>
    </row>
    <row r="594" spans="3:3" ht="15" x14ac:dyDescent="0.2">
      <c r="C594" s="192" t="s">
        <v>986</v>
      </c>
    </row>
    <row r="595" spans="3:3" ht="15" x14ac:dyDescent="0.2">
      <c r="C595" s="192" t="s">
        <v>944</v>
      </c>
    </row>
    <row r="596" spans="3:3" ht="15" x14ac:dyDescent="0.2">
      <c r="C596" s="192" t="s">
        <v>876</v>
      </c>
    </row>
    <row r="598" spans="3:3" ht="15" x14ac:dyDescent="0.2">
      <c r="C598" s="192" t="s">
        <v>872</v>
      </c>
    </row>
    <row r="599" spans="3:3" ht="15" x14ac:dyDescent="0.2">
      <c r="C599" s="192" t="s">
        <v>1129</v>
      </c>
    </row>
    <row r="600" spans="3:3" ht="15" x14ac:dyDescent="0.2">
      <c r="C600" s="192" t="s">
        <v>1047</v>
      </c>
    </row>
    <row r="602" spans="3:3" ht="15" x14ac:dyDescent="0.2">
      <c r="C602" s="192" t="s">
        <v>1048</v>
      </c>
    </row>
    <row r="603" spans="3:3" ht="15" x14ac:dyDescent="0.2">
      <c r="C603" s="192" t="s">
        <v>1049</v>
      </c>
    </row>
    <row r="604" spans="3:3" ht="15" x14ac:dyDescent="0.2">
      <c r="C604" s="192" t="s">
        <v>1050</v>
      </c>
    </row>
    <row r="606" spans="3:3" ht="15" x14ac:dyDescent="0.2">
      <c r="C606" s="192" t="s">
        <v>1051</v>
      </c>
    </row>
    <row r="607" spans="3:3" ht="15" x14ac:dyDescent="0.2">
      <c r="C607" s="192" t="s">
        <v>1052</v>
      </c>
    </row>
    <row r="608" spans="3:3" ht="15" x14ac:dyDescent="0.2">
      <c r="C608" s="192" t="s">
        <v>1053</v>
      </c>
    </row>
    <row r="609" spans="3:3" ht="15" x14ac:dyDescent="0.2">
      <c r="C609" s="192" t="s">
        <v>1054</v>
      </c>
    </row>
    <row r="611" spans="3:3" ht="15" x14ac:dyDescent="0.2">
      <c r="C611" s="192" t="s">
        <v>1055</v>
      </c>
    </row>
    <row r="612" spans="3:3" x14ac:dyDescent="0.2">
      <c r="C61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CONCATENATE("_figures\",Results!C39,".png")</f>
        <v>_figures\Cont1.png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Results!C39,".py")</f>
        <v>_figures\Cont1.py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1663</v>
      </c>
      <c r="C10" s="192" t="s">
        <v>523</v>
      </c>
    </row>
    <row r="11" spans="1:3" ht="16.5" thickTop="1" thickBot="1" x14ac:dyDescent="0.25">
      <c r="A11" s="189" t="str">
        <f>_xlfn.CONCAT(Results!C39,".sim")</f>
        <v>Cont1.sim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Results!C48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r'Cont1.sim'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r'_figures\Cont1.png'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/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4" spans="3:3" ht="15" x14ac:dyDescent="0.2">
      <c r="C434" s="192" t="s">
        <v>827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1" spans="3:3" ht="15" x14ac:dyDescent="0.2">
      <c r="C441" s="192"/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1161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1175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CONCATENATE("_figures\",Results!C40,".png")</f>
        <v>_figures\Cont2.png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Results!C40,".py")</f>
        <v>_figures\Cont2.py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1784</v>
      </c>
      <c r="C10" s="192" t="s">
        <v>523</v>
      </c>
    </row>
    <row r="11" spans="1:3" ht="16.5" thickTop="1" thickBot="1" x14ac:dyDescent="0.25">
      <c r="A11" s="189" t="str">
        <f>_xlfn.CONCAT(Results!C40,".sim")</f>
        <v>Cont2.sim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Results!C49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r'Cont2.sim'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r'_figures\Cont2.png'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 t="s">
        <v>597</v>
      </c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1176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1003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4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CONCATENATE("_figures\",Results!C41,".png")</f>
        <v>_figures\Hmax.png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Results!C41,".py")</f>
        <v>_figures\Hmax.py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1660</v>
      </c>
      <c r="C10" s="192" t="s">
        <v>523</v>
      </c>
    </row>
    <row r="11" spans="1:3" ht="16.5" thickTop="1" thickBot="1" x14ac:dyDescent="0.25">
      <c r="A11" s="189" t="str">
        <f>_xlfn.CONCAT(Results!C41,".sim")</f>
        <v>Hmax.sim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Results!C50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_xlfn.CONCAT("filename_hmax = r'",A11,"'")</f>
        <v>filename_hmax = r'Hmax.sim'</v>
      </c>
    </row>
    <row r="20" spans="1:3" ht="15" x14ac:dyDescent="0.2">
      <c r="C20" s="712" t="s">
        <v>2196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r'_figures\Hmax.png'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'24'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1178</v>
      </c>
    </row>
    <row r="99" spans="2:3" ht="15" x14ac:dyDescent="0.2">
      <c r="C99" s="192" t="s">
        <v>1179</v>
      </c>
    </row>
    <row r="100" spans="2:3" ht="15" x14ac:dyDescent="0.2">
      <c r="C100" s="192" t="s">
        <v>1180</v>
      </c>
    </row>
    <row r="102" spans="2:3" ht="15" x14ac:dyDescent="0.2">
      <c r="C102" s="192" t="s">
        <v>601</v>
      </c>
    </row>
    <row r="103" spans="2:3" ht="15" x14ac:dyDescent="0.2">
      <c r="B103" s="196"/>
      <c r="C103" s="192" t="str">
        <f>_xlfn.CONCAT("vcm1=model['",$A$19,"']")</f>
        <v>vcm1=model['P7000048060_/_'DU700154300_Rev._C']</v>
      </c>
    </row>
    <row r="105" spans="2:3" ht="15" x14ac:dyDescent="0.2">
      <c r="C105" s="192" t="s">
        <v>602</v>
      </c>
    </row>
    <row r="106" spans="2:3" ht="15" x14ac:dyDescent="0.2">
      <c r="B106" s="196"/>
      <c r="C106" s="192" t="str">
        <f>_xlfn.CONCAT("line1=model['",$A$17,"']")</f>
        <v>line1=model['Line']</v>
      </c>
    </row>
    <row r="107" spans="2:3" ht="15" x14ac:dyDescent="0.2">
      <c r="B107" s="196"/>
      <c r="C107" s="192" t="str">
        <f>_xlfn.CONCAT("att_lines=list(['",$A$18,"'])")</f>
        <v>att_lines=list(['Stiffener1'])</v>
      </c>
    </row>
    <row r="109" spans="2:3" ht="15" x14ac:dyDescent="0.2">
      <c r="C109" s="192" t="s">
        <v>603</v>
      </c>
    </row>
    <row r="110" spans="2:3" ht="15" x14ac:dyDescent="0.2">
      <c r="C110" s="192" t="s">
        <v>604</v>
      </c>
    </row>
    <row r="111" spans="2:3" ht="15" x14ac:dyDescent="0.2">
      <c r="C111" s="192" t="s">
        <v>605</v>
      </c>
    </row>
    <row r="112" spans="2:3" ht="15" x14ac:dyDescent="0.2">
      <c r="C112" s="192" t="s">
        <v>606</v>
      </c>
    </row>
    <row r="113" spans="3:3" ht="15" x14ac:dyDescent="0.2">
      <c r="C113" s="192" t="s">
        <v>607</v>
      </c>
    </row>
    <row r="114" spans="3:3" ht="15" x14ac:dyDescent="0.2">
      <c r="C114" s="192" t="s">
        <v>608</v>
      </c>
    </row>
    <row r="115" spans="3:3" ht="15" x14ac:dyDescent="0.2">
      <c r="C115" s="192" t="s">
        <v>609</v>
      </c>
    </row>
    <row r="117" spans="3:3" ht="15" x14ac:dyDescent="0.2">
      <c r="C117" s="192" t="s">
        <v>610</v>
      </c>
    </row>
    <row r="118" spans="3:3" ht="15" x14ac:dyDescent="0.2">
      <c r="C118" s="192" t="s">
        <v>611</v>
      </c>
    </row>
    <row r="119" spans="3:3" ht="15" x14ac:dyDescent="0.2">
      <c r="C119" s="192" t="s">
        <v>612</v>
      </c>
    </row>
    <row r="120" spans="3:3" ht="15" x14ac:dyDescent="0.2">
      <c r="C120" s="192" t="s">
        <v>613</v>
      </c>
    </row>
    <row r="121" spans="3:3" ht="15" x14ac:dyDescent="0.2">
      <c r="C121" s="192" t="s">
        <v>614</v>
      </c>
    </row>
    <row r="122" spans="3:3" ht="15" x14ac:dyDescent="0.2">
      <c r="C122" s="192" t="s">
        <v>615</v>
      </c>
    </row>
    <row r="123" spans="3:3" ht="15" x14ac:dyDescent="0.2">
      <c r="C123" s="192" t="s">
        <v>616</v>
      </c>
    </row>
    <row r="124" spans="3:3" ht="15" x14ac:dyDescent="0.2">
      <c r="C124" s="192" t="s">
        <v>617</v>
      </c>
    </row>
    <row r="125" spans="3:3" ht="15" x14ac:dyDescent="0.2">
      <c r="C125" s="192" t="s">
        <v>618</v>
      </c>
    </row>
    <row r="126" spans="3:3" ht="15" x14ac:dyDescent="0.2">
      <c r="C126" s="192" t="s">
        <v>619</v>
      </c>
    </row>
    <row r="127" spans="3:3" ht="15" x14ac:dyDescent="0.2">
      <c r="C127" s="192" t="s">
        <v>620</v>
      </c>
    </row>
    <row r="129" spans="3:3" ht="15" x14ac:dyDescent="0.2">
      <c r="C129" s="192" t="s">
        <v>621</v>
      </c>
    </row>
    <row r="130" spans="3:3" ht="15" x14ac:dyDescent="0.2">
      <c r="C130" s="192" t="s">
        <v>622</v>
      </c>
    </row>
    <row r="131" spans="3:3" ht="15" x14ac:dyDescent="0.2">
      <c r="C131" s="192" t="s">
        <v>623</v>
      </c>
    </row>
    <row r="132" spans="3:3" ht="15" x14ac:dyDescent="0.2">
      <c r="C132" s="192" t="s">
        <v>624</v>
      </c>
    </row>
    <row r="133" spans="3:3" ht="15" x14ac:dyDescent="0.2">
      <c r="C133" s="192" t="s">
        <v>625</v>
      </c>
    </row>
    <row r="134" spans="3:3" ht="15" x14ac:dyDescent="0.2">
      <c r="C134" s="192" t="s">
        <v>626</v>
      </c>
    </row>
    <row r="136" spans="3:3" ht="15" x14ac:dyDescent="0.2">
      <c r="C136" s="192" t="s">
        <v>627</v>
      </c>
    </row>
    <row r="137" spans="3:3" ht="15" x14ac:dyDescent="0.2">
      <c r="C137" s="192" t="s">
        <v>615</v>
      </c>
    </row>
    <row r="138" spans="3:3" ht="15" x14ac:dyDescent="0.2">
      <c r="C138" s="192" t="s">
        <v>628</v>
      </c>
    </row>
    <row r="139" spans="3:3" ht="15" x14ac:dyDescent="0.2">
      <c r="C139" s="192" t="s">
        <v>629</v>
      </c>
    </row>
    <row r="140" spans="3:3" ht="15" x14ac:dyDescent="0.2">
      <c r="C140" s="192" t="s">
        <v>630</v>
      </c>
    </row>
    <row r="141" spans="3:3" ht="15" x14ac:dyDescent="0.2">
      <c r="C141" s="192" t="s">
        <v>631</v>
      </c>
    </row>
    <row r="142" spans="3:3" ht="15" x14ac:dyDescent="0.2">
      <c r="C142" s="192" t="s">
        <v>632</v>
      </c>
    </row>
    <row r="143" spans="3:3" ht="15" x14ac:dyDescent="0.2">
      <c r="C143" s="192" t="s">
        <v>633</v>
      </c>
    </row>
    <row r="145" spans="3:3" ht="15" x14ac:dyDescent="0.2">
      <c r="C145" s="192" t="s">
        <v>634</v>
      </c>
    </row>
    <row r="146" spans="3:3" ht="15" x14ac:dyDescent="0.2">
      <c r="C146" s="192" t="s">
        <v>635</v>
      </c>
    </row>
    <row r="148" spans="3:3" ht="15" x14ac:dyDescent="0.2">
      <c r="C148" s="192" t="s">
        <v>636</v>
      </c>
    </row>
    <row r="149" spans="3:3" ht="15" x14ac:dyDescent="0.2">
      <c r="C149" s="192" t="s">
        <v>637</v>
      </c>
    </row>
    <row r="150" spans="3:3" ht="15" x14ac:dyDescent="0.2">
      <c r="C150" s="192" t="s">
        <v>638</v>
      </c>
    </row>
    <row r="151" spans="3:3" ht="15" x14ac:dyDescent="0.2">
      <c r="C151" s="192" t="s">
        <v>639</v>
      </c>
    </row>
    <row r="152" spans="3:3" ht="15" x14ac:dyDescent="0.2">
      <c r="C152" s="192" t="s">
        <v>640</v>
      </c>
    </row>
    <row r="153" spans="3:3" ht="15" x14ac:dyDescent="0.2">
      <c r="C153" s="192" t="s">
        <v>641</v>
      </c>
    </row>
    <row r="154" spans="3:3" ht="15" x14ac:dyDescent="0.2">
      <c r="C154" s="192" t="s">
        <v>642</v>
      </c>
    </row>
    <row r="155" spans="3:3" ht="15" x14ac:dyDescent="0.2">
      <c r="C155" s="192" t="s">
        <v>643</v>
      </c>
    </row>
    <row r="156" spans="3:3" ht="15" x14ac:dyDescent="0.2">
      <c r="C156" s="192" t="s">
        <v>644</v>
      </c>
    </row>
    <row r="157" spans="3:3" ht="15" x14ac:dyDescent="0.2">
      <c r="C157" s="192" t="s">
        <v>645</v>
      </c>
    </row>
    <row r="158" spans="3:3" ht="15" x14ac:dyDescent="0.2">
      <c r="C158" s="192" t="s">
        <v>646</v>
      </c>
    </row>
    <row r="159" spans="3:3" ht="15" x14ac:dyDescent="0.2">
      <c r="C159" s="192" t="s">
        <v>647</v>
      </c>
    </row>
    <row r="161" spans="3:3" ht="15" x14ac:dyDescent="0.2">
      <c r="C161" s="192" t="s">
        <v>648</v>
      </c>
    </row>
    <row r="162" spans="3:3" ht="15" x14ac:dyDescent="0.2">
      <c r="C162" s="192" t="s">
        <v>649</v>
      </c>
    </row>
    <row r="163" spans="3:3" ht="15" x14ac:dyDescent="0.2">
      <c r="C163" s="192" t="s">
        <v>650</v>
      </c>
    </row>
    <row r="164" spans="3:3" ht="15" x14ac:dyDescent="0.2">
      <c r="C164" s="192" t="s">
        <v>651</v>
      </c>
    </row>
    <row r="165" spans="3:3" ht="15" x14ac:dyDescent="0.2">
      <c r="C165" s="192" t="s">
        <v>652</v>
      </c>
    </row>
    <row r="166" spans="3:3" ht="15" x14ac:dyDescent="0.2">
      <c r="C166" s="192" t="s">
        <v>653</v>
      </c>
    </row>
    <row r="167" spans="3:3" ht="15" x14ac:dyDescent="0.2">
      <c r="C167" s="192" t="s">
        <v>654</v>
      </c>
    </row>
    <row r="168" spans="3:3" ht="15" x14ac:dyDescent="0.2">
      <c r="C168" s="192" t="s">
        <v>646</v>
      </c>
    </row>
    <row r="169" spans="3:3" ht="15" x14ac:dyDescent="0.2">
      <c r="C169" s="192" t="s">
        <v>655</v>
      </c>
    </row>
    <row r="170" spans="3:3" ht="15" x14ac:dyDescent="0.2">
      <c r="C170" s="192" t="s">
        <v>656</v>
      </c>
    </row>
    <row r="171" spans="3:3" ht="15" x14ac:dyDescent="0.2">
      <c r="C171" s="192" t="s">
        <v>657</v>
      </c>
    </row>
    <row r="172" spans="3:3" ht="15" x14ac:dyDescent="0.2">
      <c r="C172" s="192" t="s">
        <v>1181</v>
      </c>
    </row>
    <row r="174" spans="3:3" ht="15" x14ac:dyDescent="0.2">
      <c r="C174" s="192" t="s">
        <v>659</v>
      </c>
    </row>
    <row r="175" spans="3:3" ht="15" x14ac:dyDescent="0.2">
      <c r="C175" s="192" t="s">
        <v>660</v>
      </c>
    </row>
    <row r="176" spans="3:3" ht="15" x14ac:dyDescent="0.2">
      <c r="C176" s="192" t="s">
        <v>661</v>
      </c>
    </row>
    <row r="177" spans="3:3" ht="15" x14ac:dyDescent="0.2">
      <c r="C177" s="192" t="s">
        <v>662</v>
      </c>
    </row>
    <row r="178" spans="3:3" ht="15" x14ac:dyDescent="0.2">
      <c r="C178" s="192" t="s">
        <v>663</v>
      </c>
    </row>
    <row r="179" spans="3:3" ht="15" x14ac:dyDescent="0.2">
      <c r="C179" s="192" t="s">
        <v>664</v>
      </c>
    </row>
    <row r="180" spans="3:3" ht="15" x14ac:dyDescent="0.2">
      <c r="C180" s="192" t="s">
        <v>665</v>
      </c>
    </row>
    <row r="182" spans="3:3" ht="15" x14ac:dyDescent="0.2">
      <c r="C182" s="192" t="s">
        <v>666</v>
      </c>
    </row>
    <row r="183" spans="3:3" ht="15" x14ac:dyDescent="0.2">
      <c r="C183" s="192" t="s">
        <v>667</v>
      </c>
    </row>
    <row r="184" spans="3:3" ht="15" x14ac:dyDescent="0.2">
      <c r="C184" s="192" t="s">
        <v>668</v>
      </c>
    </row>
    <row r="186" spans="3:3" ht="15" x14ac:dyDescent="0.2">
      <c r="C186" s="192" t="s">
        <v>669</v>
      </c>
    </row>
    <row r="187" spans="3:3" ht="15" x14ac:dyDescent="0.2">
      <c r="C187" s="192" t="s">
        <v>670</v>
      </c>
    </row>
    <row r="188" spans="3:3" ht="15" x14ac:dyDescent="0.2">
      <c r="C188" s="192" t="s">
        <v>671</v>
      </c>
    </row>
    <row r="189" spans="3:3" ht="15" x14ac:dyDescent="0.2">
      <c r="C189" s="192" t="s">
        <v>672</v>
      </c>
    </row>
    <row r="190" spans="3:3" ht="15" x14ac:dyDescent="0.2">
      <c r="C190" s="192" t="s">
        <v>673</v>
      </c>
    </row>
    <row r="191" spans="3:3" ht="15" x14ac:dyDescent="0.2">
      <c r="C191" s="192" t="s">
        <v>1156</v>
      </c>
    </row>
    <row r="192" spans="3:3" ht="15" x14ac:dyDescent="0.2">
      <c r="C192" s="192" t="s">
        <v>678</v>
      </c>
    </row>
    <row r="194" spans="3:3" ht="15" x14ac:dyDescent="0.2">
      <c r="C194" s="192" t="s">
        <v>679</v>
      </c>
    </row>
    <row r="195" spans="3:3" ht="15" x14ac:dyDescent="0.2">
      <c r="C195" s="192" t="s">
        <v>680</v>
      </c>
    </row>
    <row r="197" spans="3:3" ht="15" x14ac:dyDescent="0.2">
      <c r="C197" s="192" t="s">
        <v>681</v>
      </c>
    </row>
    <row r="198" spans="3:3" ht="15" x14ac:dyDescent="0.2">
      <c r="C198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711</v>
      </c>
    </row>
    <row r="232" spans="3:3" ht="15" x14ac:dyDescent="0.2">
      <c r="C232" s="192" t="s">
        <v>712</v>
      </c>
    </row>
    <row r="233" spans="3:3" ht="15" x14ac:dyDescent="0.2">
      <c r="C233" s="192" t="s">
        <v>713</v>
      </c>
    </row>
    <row r="234" spans="3:3" ht="15" x14ac:dyDescent="0.2">
      <c r="C234" s="192" t="s">
        <v>714</v>
      </c>
    </row>
    <row r="235" spans="3:3" ht="15" x14ac:dyDescent="0.2">
      <c r="C235" s="192" t="s">
        <v>715</v>
      </c>
    </row>
    <row r="236" spans="3:3" ht="15" x14ac:dyDescent="0.2">
      <c r="C236" s="192" t="s">
        <v>716</v>
      </c>
    </row>
    <row r="237" spans="3:3" ht="15" x14ac:dyDescent="0.2">
      <c r="C237" s="192" t="s">
        <v>595</v>
      </c>
    </row>
    <row r="238" spans="3:3" ht="15" x14ac:dyDescent="0.2">
      <c r="C238" s="192" t="s">
        <v>723</v>
      </c>
    </row>
    <row r="239" spans="3:3" ht="15" x14ac:dyDescent="0.2">
      <c r="C239" s="192" t="s">
        <v>724</v>
      </c>
    </row>
    <row r="240" spans="3:3" ht="15" x14ac:dyDescent="0.2">
      <c r="C240" s="192" t="s">
        <v>725</v>
      </c>
    </row>
    <row r="241" spans="3:3" ht="15" x14ac:dyDescent="0.2">
      <c r="C241" s="192" t="s">
        <v>726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727</v>
      </c>
    </row>
    <row r="246" spans="3:3" ht="15" x14ac:dyDescent="0.2">
      <c r="C246" s="192" t="s">
        <v>728</v>
      </c>
    </row>
    <row r="247" spans="3:3" ht="15" x14ac:dyDescent="0.2">
      <c r="C247" s="192" t="s">
        <v>729</v>
      </c>
    </row>
    <row r="248" spans="3:3" ht="15" x14ac:dyDescent="0.2">
      <c r="C248" s="192" t="s">
        <v>1182</v>
      </c>
    </row>
    <row r="249" spans="3:3" ht="15" x14ac:dyDescent="0.2">
      <c r="C249" s="192" t="s">
        <v>1183</v>
      </c>
    </row>
    <row r="250" spans="3:3" ht="15" x14ac:dyDescent="0.2">
      <c r="C250" s="192" t="s">
        <v>595</v>
      </c>
    </row>
    <row r="251" spans="3:3" ht="15" x14ac:dyDescent="0.2">
      <c r="C251" s="192" t="s">
        <v>734</v>
      </c>
    </row>
    <row r="252" spans="3:3" ht="15" x14ac:dyDescent="0.2">
      <c r="C252" s="192" t="s">
        <v>735</v>
      </c>
    </row>
    <row r="253" spans="3:3" ht="15" x14ac:dyDescent="0.2">
      <c r="C253" s="192" t="s">
        <v>736</v>
      </c>
    </row>
    <row r="254" spans="3:3" ht="15" x14ac:dyDescent="0.2">
      <c r="C254" s="192" t="s">
        <v>712</v>
      </c>
    </row>
    <row r="255" spans="3:3" ht="15" x14ac:dyDescent="0.2">
      <c r="C255" s="192" t="s">
        <v>713</v>
      </c>
    </row>
    <row r="256" spans="3:3" ht="15" x14ac:dyDescent="0.2">
      <c r="C256" s="192" t="s">
        <v>714</v>
      </c>
    </row>
    <row r="257" spans="3:3" ht="15" x14ac:dyDescent="0.2">
      <c r="C257" s="192" t="s">
        <v>737</v>
      </c>
    </row>
    <row r="258" spans="3:3" ht="15" x14ac:dyDescent="0.2">
      <c r="C258" s="192" t="s">
        <v>738</v>
      </c>
    </row>
    <row r="259" spans="3:3" ht="15" x14ac:dyDescent="0.2">
      <c r="C259" s="192" t="s">
        <v>595</v>
      </c>
    </row>
    <row r="260" spans="3:3" ht="15" x14ac:dyDescent="0.2">
      <c r="C260" s="192" t="s">
        <v>739</v>
      </c>
    </row>
    <row r="261" spans="3:3" ht="15" x14ac:dyDescent="0.2">
      <c r="C261" s="192" t="s">
        <v>740</v>
      </c>
    </row>
    <row r="262" spans="3:3" ht="15" x14ac:dyDescent="0.2">
      <c r="C262" s="192" t="s">
        <v>712</v>
      </c>
    </row>
    <row r="263" spans="3:3" ht="15" x14ac:dyDescent="0.2">
      <c r="C263" s="192" t="s">
        <v>713</v>
      </c>
    </row>
    <row r="264" spans="3:3" ht="15" x14ac:dyDescent="0.2">
      <c r="C264" s="192" t="s">
        <v>714</v>
      </c>
    </row>
    <row r="265" spans="3:3" ht="15" x14ac:dyDescent="0.2">
      <c r="C265" s="192" t="s">
        <v>728</v>
      </c>
    </row>
    <row r="266" spans="3:3" ht="15" x14ac:dyDescent="0.2">
      <c r="C266" s="192" t="s">
        <v>729</v>
      </c>
    </row>
    <row r="267" spans="3:3" ht="15" x14ac:dyDescent="0.2">
      <c r="C267" s="192" t="s">
        <v>1182</v>
      </c>
    </row>
    <row r="268" spans="3:3" ht="15" x14ac:dyDescent="0.2">
      <c r="C268" s="192" t="s">
        <v>1184</v>
      </c>
    </row>
    <row r="269" spans="3:3" ht="15" x14ac:dyDescent="0.2">
      <c r="C269" s="192" t="s">
        <v>1185</v>
      </c>
    </row>
    <row r="270" spans="3:3" ht="15" x14ac:dyDescent="0.2">
      <c r="C270" s="192" t="s">
        <v>1186</v>
      </c>
    </row>
    <row r="271" spans="3:3" ht="15" x14ac:dyDescent="0.2">
      <c r="C271" s="192" t="s">
        <v>1187</v>
      </c>
    </row>
    <row r="272" spans="3:3" ht="15" x14ac:dyDescent="0.2">
      <c r="C272" s="192" t="s">
        <v>745</v>
      </c>
    </row>
    <row r="273" spans="3:3" ht="15" x14ac:dyDescent="0.2">
      <c r="C273" s="192" t="s">
        <v>746</v>
      </c>
    </row>
    <row r="274" spans="3:3" ht="15" x14ac:dyDescent="0.2">
      <c r="C274" s="192" t="s">
        <v>747</v>
      </c>
    </row>
    <row r="275" spans="3:3" ht="15" x14ac:dyDescent="0.2">
      <c r="C275" s="192" t="s">
        <v>748</v>
      </c>
    </row>
    <row r="276" spans="3:3" ht="15" x14ac:dyDescent="0.2">
      <c r="C276" s="192" t="s">
        <v>749</v>
      </c>
    </row>
    <row r="277" spans="3:3" ht="15" x14ac:dyDescent="0.2">
      <c r="C277" s="192" t="s">
        <v>750</v>
      </c>
    </row>
    <row r="278" spans="3:3" ht="15" x14ac:dyDescent="0.2">
      <c r="C278" s="192" t="s">
        <v>751</v>
      </c>
    </row>
    <row r="279" spans="3:3" ht="15" x14ac:dyDescent="0.2">
      <c r="C279" s="192" t="s">
        <v>752</v>
      </c>
    </row>
    <row r="280" spans="3:3" ht="15" x14ac:dyDescent="0.2">
      <c r="C280" s="192" t="s">
        <v>753</v>
      </c>
    </row>
    <row r="281" spans="3:3" ht="15" x14ac:dyDescent="0.2">
      <c r="C281" s="192" t="s">
        <v>754</v>
      </c>
    </row>
    <row r="282" spans="3:3" ht="15" x14ac:dyDescent="0.2">
      <c r="C282" s="192" t="s">
        <v>755</v>
      </c>
    </row>
    <row r="283" spans="3:3" ht="15" x14ac:dyDescent="0.2">
      <c r="C283" s="192" t="s">
        <v>756</v>
      </c>
    </row>
    <row r="284" spans="3:3" ht="15" x14ac:dyDescent="0.2">
      <c r="C284" s="192" t="s">
        <v>757</v>
      </c>
    </row>
    <row r="285" spans="3:3" ht="15" x14ac:dyDescent="0.2">
      <c r="C285" s="192" t="s">
        <v>758</v>
      </c>
    </row>
    <row r="286" spans="3:3" ht="15" x14ac:dyDescent="0.2">
      <c r="C286" s="192" t="s">
        <v>750</v>
      </c>
    </row>
    <row r="287" spans="3:3" ht="15" x14ac:dyDescent="0.2">
      <c r="C287" s="192" t="s">
        <v>759</v>
      </c>
    </row>
    <row r="288" spans="3:3" ht="15" x14ac:dyDescent="0.2">
      <c r="C288" s="192" t="s">
        <v>760</v>
      </c>
    </row>
    <row r="289" spans="3:3" ht="15" x14ac:dyDescent="0.2">
      <c r="C289" s="192" t="s">
        <v>761</v>
      </c>
    </row>
    <row r="290" spans="3:3" ht="15" x14ac:dyDescent="0.2">
      <c r="C290" s="192" t="s">
        <v>762</v>
      </c>
    </row>
    <row r="291" spans="3:3" ht="15" x14ac:dyDescent="0.2">
      <c r="C291" s="192" t="s">
        <v>595</v>
      </c>
    </row>
    <row r="292" spans="3:3" ht="15" x14ac:dyDescent="0.2">
      <c r="C292" s="192" t="s">
        <v>763</v>
      </c>
    </row>
    <row r="293" spans="3:3" ht="15" x14ac:dyDescent="0.2">
      <c r="C293" s="192" t="s">
        <v>764</v>
      </c>
    </row>
    <row r="294" spans="3:3" ht="15" x14ac:dyDescent="0.2">
      <c r="C294" s="192" t="s">
        <v>765</v>
      </c>
    </row>
    <row r="295" spans="3:3" ht="15" x14ac:dyDescent="0.2">
      <c r="C295" s="192" t="s">
        <v>750</v>
      </c>
    </row>
    <row r="296" spans="3:3" ht="15" x14ac:dyDescent="0.2">
      <c r="C296" s="192" t="s">
        <v>766</v>
      </c>
    </row>
    <row r="297" spans="3:3" ht="15" x14ac:dyDescent="0.2">
      <c r="C297" s="192" t="s">
        <v>767</v>
      </c>
    </row>
    <row r="298" spans="3:3" ht="15" x14ac:dyDescent="0.2">
      <c r="C298" s="192" t="s">
        <v>768</v>
      </c>
    </row>
    <row r="299" spans="3:3" ht="15" x14ac:dyDescent="0.2">
      <c r="C299" s="192" t="s">
        <v>769</v>
      </c>
    </row>
    <row r="300" spans="3:3" ht="15" x14ac:dyDescent="0.2">
      <c r="C300" s="192" t="s">
        <v>770</v>
      </c>
    </row>
    <row r="301" spans="3:3" ht="15" x14ac:dyDescent="0.2">
      <c r="C301" s="192" t="s">
        <v>771</v>
      </c>
    </row>
    <row r="302" spans="3:3" ht="15" x14ac:dyDescent="0.2">
      <c r="C302" s="192" t="s">
        <v>772</v>
      </c>
    </row>
    <row r="303" spans="3:3" ht="15" x14ac:dyDescent="0.2">
      <c r="C303" s="192" t="s">
        <v>773</v>
      </c>
    </row>
    <row r="304" spans="3:3" ht="15" x14ac:dyDescent="0.2">
      <c r="C304" s="192" t="s">
        <v>774</v>
      </c>
    </row>
    <row r="306" spans="3:3" ht="15" x14ac:dyDescent="0.2">
      <c r="C306" s="192" t="s">
        <v>775</v>
      </c>
    </row>
    <row r="307" spans="3:3" ht="15" x14ac:dyDescent="0.2">
      <c r="C307" s="192" t="s">
        <v>776</v>
      </c>
    </row>
    <row r="308" spans="3:3" ht="15" x14ac:dyDescent="0.2">
      <c r="C308" s="192" t="s">
        <v>777</v>
      </c>
    </row>
    <row r="309" spans="3:3" ht="15" x14ac:dyDescent="0.2">
      <c r="C309" s="192" t="s">
        <v>778</v>
      </c>
    </row>
    <row r="310" spans="3:3" ht="15" x14ac:dyDescent="0.2">
      <c r="C310" s="192" t="s">
        <v>779</v>
      </c>
    </row>
    <row r="311" spans="3:3" ht="15" x14ac:dyDescent="0.2">
      <c r="C311" s="192" t="s">
        <v>780</v>
      </c>
    </row>
    <row r="312" spans="3:3" ht="15" x14ac:dyDescent="0.2">
      <c r="C312" s="192" t="s">
        <v>781</v>
      </c>
    </row>
    <row r="313" spans="3:3" ht="15" x14ac:dyDescent="0.2">
      <c r="C313" s="192" t="s">
        <v>782</v>
      </c>
    </row>
    <row r="314" spans="3:3" ht="15" x14ac:dyDescent="0.2">
      <c r="C314" s="192" t="s">
        <v>650</v>
      </c>
    </row>
    <row r="315" spans="3:3" ht="15" x14ac:dyDescent="0.2">
      <c r="C315" s="192" t="s">
        <v>651</v>
      </c>
    </row>
    <row r="316" spans="3:3" ht="15" x14ac:dyDescent="0.2">
      <c r="C316" s="192" t="s">
        <v>783</v>
      </c>
    </row>
    <row r="317" spans="3:3" ht="15" x14ac:dyDescent="0.2">
      <c r="C317" s="192" t="s">
        <v>784</v>
      </c>
    </row>
    <row r="318" spans="3:3" ht="15" x14ac:dyDescent="0.2">
      <c r="C318" s="192" t="s">
        <v>785</v>
      </c>
    </row>
    <row r="319" spans="3:3" ht="15" x14ac:dyDescent="0.2">
      <c r="C319" s="192" t="s">
        <v>786</v>
      </c>
    </row>
    <row r="320" spans="3:3" ht="15" x14ac:dyDescent="0.2">
      <c r="C320" s="192" t="s">
        <v>787</v>
      </c>
    </row>
    <row r="321" spans="3:3" ht="15" x14ac:dyDescent="0.2">
      <c r="C321" s="192" t="s">
        <v>788</v>
      </c>
    </row>
    <row r="322" spans="3:3" ht="15" x14ac:dyDescent="0.2">
      <c r="C322" s="192" t="s">
        <v>789</v>
      </c>
    </row>
    <row r="323" spans="3:3" ht="15" x14ac:dyDescent="0.2">
      <c r="C323" s="192" t="s">
        <v>790</v>
      </c>
    </row>
    <row r="324" spans="3:3" ht="15" x14ac:dyDescent="0.2">
      <c r="C324" s="192" t="s">
        <v>791</v>
      </c>
    </row>
    <row r="325" spans="3:3" ht="15" x14ac:dyDescent="0.2">
      <c r="C325" s="192" t="s">
        <v>792</v>
      </c>
    </row>
    <row r="326" spans="3:3" ht="15" x14ac:dyDescent="0.2">
      <c r="C326" s="192" t="s">
        <v>793</v>
      </c>
    </row>
    <row r="327" spans="3:3" ht="15" x14ac:dyDescent="0.2">
      <c r="C327" s="192" t="s">
        <v>794</v>
      </c>
    </row>
    <row r="328" spans="3:3" ht="15" x14ac:dyDescent="0.2">
      <c r="C328" s="192" t="s">
        <v>624</v>
      </c>
    </row>
    <row r="329" spans="3:3" ht="15" x14ac:dyDescent="0.2">
      <c r="C329" s="192" t="s">
        <v>795</v>
      </c>
    </row>
    <row r="330" spans="3:3" ht="15" x14ac:dyDescent="0.2">
      <c r="C330" s="192" t="s">
        <v>796</v>
      </c>
    </row>
    <row r="331" spans="3:3" ht="15" x14ac:dyDescent="0.2">
      <c r="C331" s="192" t="s">
        <v>797</v>
      </c>
    </row>
    <row r="332" spans="3:3" ht="15" x14ac:dyDescent="0.2">
      <c r="C332" s="192" t="s">
        <v>798</v>
      </c>
    </row>
    <row r="333" spans="3:3" ht="15" x14ac:dyDescent="0.2">
      <c r="C333" s="192" t="s">
        <v>799</v>
      </c>
    </row>
    <row r="334" spans="3:3" ht="15" x14ac:dyDescent="0.2">
      <c r="C334" s="192" t="s">
        <v>800</v>
      </c>
    </row>
    <row r="335" spans="3:3" ht="15" x14ac:dyDescent="0.2">
      <c r="C335" s="192" t="s">
        <v>801</v>
      </c>
    </row>
    <row r="336" spans="3:3" ht="15" x14ac:dyDescent="0.2">
      <c r="C336" s="192" t="s">
        <v>802</v>
      </c>
    </row>
    <row r="337" spans="3:3" ht="15" x14ac:dyDescent="0.2">
      <c r="C337" s="192" t="s">
        <v>803</v>
      </c>
    </row>
    <row r="338" spans="3:3" ht="15" x14ac:dyDescent="0.2">
      <c r="C338" s="192" t="s">
        <v>804</v>
      </c>
    </row>
    <row r="339" spans="3:3" ht="15" x14ac:dyDescent="0.2">
      <c r="C339" s="192" t="s">
        <v>805</v>
      </c>
    </row>
    <row r="340" spans="3:3" ht="15" x14ac:dyDescent="0.2">
      <c r="C340" s="192" t="s">
        <v>806</v>
      </c>
    </row>
    <row r="341" spans="3:3" ht="15" x14ac:dyDescent="0.2">
      <c r="C341" s="192" t="s">
        <v>807</v>
      </c>
    </row>
    <row r="342" spans="3:3" ht="15" x14ac:dyDescent="0.2">
      <c r="C342" s="192" t="s">
        <v>801</v>
      </c>
    </row>
    <row r="343" spans="3:3" ht="15" x14ac:dyDescent="0.2">
      <c r="C343" s="192" t="s">
        <v>802</v>
      </c>
    </row>
    <row r="344" spans="3:3" ht="15" x14ac:dyDescent="0.2">
      <c r="C344" s="192" t="s">
        <v>803</v>
      </c>
    </row>
    <row r="345" spans="3:3" ht="15" x14ac:dyDescent="0.2">
      <c r="C345" s="192" t="s">
        <v>804</v>
      </c>
    </row>
    <row r="346" spans="3:3" ht="15" x14ac:dyDescent="0.2">
      <c r="C346" s="192" t="s">
        <v>805</v>
      </c>
    </row>
    <row r="347" spans="3:3" ht="15" x14ac:dyDescent="0.2">
      <c r="C347" s="192" t="s">
        <v>808</v>
      </c>
    </row>
    <row r="348" spans="3:3" ht="15" x14ac:dyDescent="0.2">
      <c r="C348" s="192" t="s">
        <v>809</v>
      </c>
    </row>
    <row r="350" spans="3:3" ht="15" x14ac:dyDescent="0.2">
      <c r="C350" s="192" t="s">
        <v>810</v>
      </c>
    </row>
    <row r="351" spans="3:3" ht="15" x14ac:dyDescent="0.2">
      <c r="C351" s="192" t="s">
        <v>811</v>
      </c>
    </row>
    <row r="352" spans="3:3" ht="15" x14ac:dyDescent="0.2">
      <c r="C352" s="192" t="s">
        <v>812</v>
      </c>
    </row>
    <row r="354" spans="3:3" ht="15" x14ac:dyDescent="0.2">
      <c r="C354" s="192" t="s">
        <v>813</v>
      </c>
    </row>
    <row r="355" spans="3:3" ht="15" x14ac:dyDescent="0.2">
      <c r="C355" s="192" t="s">
        <v>814</v>
      </c>
    </row>
    <row r="356" spans="3:3" ht="15" x14ac:dyDescent="0.2">
      <c r="C356" s="192" t="s">
        <v>815</v>
      </c>
    </row>
    <row r="357" spans="3:3" ht="15" x14ac:dyDescent="0.2">
      <c r="C357" s="192" t="s">
        <v>816</v>
      </c>
    </row>
    <row r="358" spans="3:3" ht="15" x14ac:dyDescent="0.2">
      <c r="C358" s="192" t="s">
        <v>817</v>
      </c>
    </row>
    <row r="359" spans="3:3" ht="15" x14ac:dyDescent="0.2">
      <c r="C359" s="192" t="s">
        <v>818</v>
      </c>
    </row>
    <row r="360" spans="3:3" ht="15" x14ac:dyDescent="0.2">
      <c r="C360" s="192" t="s">
        <v>819</v>
      </c>
    </row>
    <row r="362" spans="3:3" ht="15" x14ac:dyDescent="0.2">
      <c r="C362" s="192" t="s">
        <v>820</v>
      </c>
    </row>
    <row r="363" spans="3:3" ht="15" x14ac:dyDescent="0.2">
      <c r="C363" s="192" t="s">
        <v>821</v>
      </c>
    </row>
    <row r="364" spans="3:3" ht="15" x14ac:dyDescent="0.2">
      <c r="C364" s="192" t="s">
        <v>822</v>
      </c>
    </row>
    <row r="365" spans="3:3" ht="15" x14ac:dyDescent="0.2">
      <c r="C365" s="192" t="s">
        <v>823</v>
      </c>
    </row>
    <row r="366" spans="3:3" ht="15" x14ac:dyDescent="0.2">
      <c r="C366" s="192" t="s">
        <v>824</v>
      </c>
    </row>
    <row r="367" spans="3:3" ht="15" x14ac:dyDescent="0.2">
      <c r="C367" s="192" t="s">
        <v>825</v>
      </c>
    </row>
    <row r="368" spans="3:3" ht="15" x14ac:dyDescent="0.2">
      <c r="C368" s="192" t="s">
        <v>826</v>
      </c>
    </row>
    <row r="369" spans="3:3" ht="15" x14ac:dyDescent="0.2">
      <c r="C369" s="192" t="s">
        <v>822</v>
      </c>
    </row>
    <row r="370" spans="3:3" ht="15" x14ac:dyDescent="0.2">
      <c r="C370" s="192" t="s">
        <v>823</v>
      </c>
    </row>
    <row r="371" spans="3:3" ht="15" x14ac:dyDescent="0.2">
      <c r="C371" s="192" t="s">
        <v>824</v>
      </c>
    </row>
    <row r="372" spans="3:3" ht="15" x14ac:dyDescent="0.2">
      <c r="C372" s="192" t="s">
        <v>827</v>
      </c>
    </row>
    <row r="373" spans="3:3" ht="15" x14ac:dyDescent="0.2">
      <c r="C373" s="192" t="s">
        <v>814</v>
      </c>
    </row>
    <row r="374" spans="3:3" ht="15" x14ac:dyDescent="0.2">
      <c r="C374" s="192" t="s">
        <v>828</v>
      </c>
    </row>
    <row r="375" spans="3:3" ht="15" x14ac:dyDescent="0.2">
      <c r="C375" s="192" t="s">
        <v>829</v>
      </c>
    </row>
    <row r="376" spans="3:3" ht="15" x14ac:dyDescent="0.2">
      <c r="C376" s="192" t="s">
        <v>817</v>
      </c>
    </row>
    <row r="377" spans="3:3" ht="15" x14ac:dyDescent="0.2">
      <c r="C377" s="192" t="s">
        <v>830</v>
      </c>
    </row>
    <row r="378" spans="3:3" ht="15" x14ac:dyDescent="0.2">
      <c r="C378" s="192" t="s">
        <v>1064</v>
      </c>
    </row>
    <row r="379" spans="3:3" ht="15" x14ac:dyDescent="0.2">
      <c r="C379" s="192"/>
    </row>
    <row r="380" spans="3:3" ht="15" x14ac:dyDescent="0.2">
      <c r="C380" s="192" t="s">
        <v>832</v>
      </c>
    </row>
    <row r="381" spans="3:3" ht="15" x14ac:dyDescent="0.2">
      <c r="C381" s="192" t="s">
        <v>833</v>
      </c>
    </row>
    <row r="382" spans="3:3" ht="15" x14ac:dyDescent="0.2">
      <c r="C382" s="192" t="s">
        <v>834</v>
      </c>
    </row>
    <row r="383" spans="3:3" ht="15" x14ac:dyDescent="0.2">
      <c r="C383" s="192" t="s">
        <v>835</v>
      </c>
    </row>
    <row r="384" spans="3:3" ht="15" x14ac:dyDescent="0.2">
      <c r="C384" s="192" t="s">
        <v>836</v>
      </c>
    </row>
    <row r="386" spans="3:3" ht="15" x14ac:dyDescent="0.2">
      <c r="C386" s="192" t="s">
        <v>837</v>
      </c>
    </row>
    <row r="387" spans="3:3" ht="15" x14ac:dyDescent="0.2">
      <c r="C387" s="192" t="s">
        <v>838</v>
      </c>
    </row>
    <row r="388" spans="3:3" ht="15" x14ac:dyDescent="0.2">
      <c r="C388" s="192" t="s">
        <v>640</v>
      </c>
    </row>
    <row r="389" spans="3:3" ht="15" x14ac:dyDescent="0.2">
      <c r="C389" s="192" t="s">
        <v>839</v>
      </c>
    </row>
    <row r="390" spans="3:3" ht="15" x14ac:dyDescent="0.2">
      <c r="C390" s="192" t="s">
        <v>840</v>
      </c>
    </row>
    <row r="391" spans="3:3" ht="15" x14ac:dyDescent="0.2">
      <c r="C391" s="192" t="s">
        <v>841</v>
      </c>
    </row>
    <row r="392" spans="3:3" ht="15" x14ac:dyDescent="0.2">
      <c r="C392" s="192" t="s">
        <v>842</v>
      </c>
    </row>
    <row r="393" spans="3:3" ht="15" x14ac:dyDescent="0.2">
      <c r="C393" s="192" t="s">
        <v>843</v>
      </c>
    </row>
    <row r="394" spans="3:3" ht="15" x14ac:dyDescent="0.2">
      <c r="C394" s="192" t="s">
        <v>844</v>
      </c>
    </row>
    <row r="395" spans="3:3" ht="15" x14ac:dyDescent="0.2">
      <c r="C395" s="192" t="s">
        <v>845</v>
      </c>
    </row>
    <row r="396" spans="3:3" ht="15" x14ac:dyDescent="0.2">
      <c r="C396" s="192" t="s">
        <v>846</v>
      </c>
    </row>
    <row r="397" spans="3:3" ht="15" x14ac:dyDescent="0.2">
      <c r="C397" s="192" t="s">
        <v>847</v>
      </c>
    </row>
    <row r="398" spans="3:3" ht="15" x14ac:dyDescent="0.2">
      <c r="C398" s="192" t="s">
        <v>848</v>
      </c>
    </row>
    <row r="399" spans="3:3" ht="15" x14ac:dyDescent="0.2">
      <c r="C399" s="192" t="s">
        <v>842</v>
      </c>
    </row>
    <row r="400" spans="3:3" ht="15" x14ac:dyDescent="0.2">
      <c r="C400" s="192" t="s">
        <v>843</v>
      </c>
    </row>
    <row r="401" spans="2:3" ht="15" x14ac:dyDescent="0.2">
      <c r="C401" s="192" t="s">
        <v>844</v>
      </c>
    </row>
    <row r="402" spans="2:3" ht="15" x14ac:dyDescent="0.2">
      <c r="C402" s="192" t="s">
        <v>845</v>
      </c>
    </row>
    <row r="403" spans="2:3" ht="15" x14ac:dyDescent="0.2">
      <c r="C403" s="192" t="s">
        <v>846</v>
      </c>
    </row>
    <row r="405" spans="2:3" ht="15" x14ac:dyDescent="0.2">
      <c r="C405" s="192" t="s">
        <v>849</v>
      </c>
    </row>
    <row r="406" spans="2:3" ht="15" x14ac:dyDescent="0.2">
      <c r="C406" s="192" t="s">
        <v>850</v>
      </c>
    </row>
    <row r="407" spans="2:3" ht="15" x14ac:dyDescent="0.2">
      <c r="C407" s="192" t="s">
        <v>851</v>
      </c>
    </row>
    <row r="409" spans="2:3" ht="15" x14ac:dyDescent="0.2">
      <c r="C409" s="192" t="s">
        <v>1161</v>
      </c>
    </row>
    <row r="410" spans="2:3" ht="15" x14ac:dyDescent="0.2">
      <c r="C410" s="192" t="s">
        <v>853</v>
      </c>
    </row>
    <row r="411" spans="2:3" ht="15" x14ac:dyDescent="0.2">
      <c r="C411" s="192" t="s">
        <v>854</v>
      </c>
    </row>
    <row r="413" spans="2:3" ht="15" x14ac:dyDescent="0.2">
      <c r="C413" s="192" t="s">
        <v>601</v>
      </c>
    </row>
    <row r="414" spans="2:3" ht="15" x14ac:dyDescent="0.2">
      <c r="B414" s="196"/>
      <c r="C414" s="192" t="str">
        <f>_xlfn.CONCAT("vcm1_static=model_static['",$A$19,"']")</f>
        <v>vcm1_static=model_static['P7000048060_/_'DU700154300_Rev._C']</v>
      </c>
    </row>
    <row r="416" spans="2:3" ht="15" x14ac:dyDescent="0.2">
      <c r="C416" s="192" t="s">
        <v>602</v>
      </c>
    </row>
    <row r="417" spans="2:3" ht="15" x14ac:dyDescent="0.2">
      <c r="B417" s="196"/>
      <c r="C417" s="192" t="str">
        <f>_xlfn.CONCAT("line1_static=model_static['",$A$17,"']")</f>
        <v>line1_static=model_static['Line']</v>
      </c>
    </row>
    <row r="418" spans="2:3" ht="15" x14ac:dyDescent="0.2">
      <c r="B418" s="196"/>
      <c r="C418" s="192" t="str">
        <f>_xlfn.CONCAT("att_lines_static=list(['",$A$18,"'])")</f>
        <v>att_lines_static=list(['Stiffener1'])</v>
      </c>
    </row>
    <row r="420" spans="2:3" ht="15" x14ac:dyDescent="0.2">
      <c r="C420" s="192" t="s">
        <v>1188</v>
      </c>
    </row>
    <row r="421" spans="2:3" ht="15" x14ac:dyDescent="0.2">
      <c r="C421" s="192" t="s">
        <v>1189</v>
      </c>
    </row>
    <row r="422" spans="2:3" ht="15" x14ac:dyDescent="0.2">
      <c r="C422" s="192" t="s">
        <v>1190</v>
      </c>
    </row>
    <row r="423" spans="2:3" ht="15" x14ac:dyDescent="0.2">
      <c r="C423" s="192" t="s">
        <v>1191</v>
      </c>
    </row>
    <row r="424" spans="2:3" ht="15" x14ac:dyDescent="0.2">
      <c r="C424" s="192" t="s">
        <v>1192</v>
      </c>
    </row>
    <row r="425" spans="2:3" ht="15" x14ac:dyDescent="0.2">
      <c r="C425" s="192" t="s">
        <v>1193</v>
      </c>
    </row>
    <row r="426" spans="2:3" ht="15" x14ac:dyDescent="0.2">
      <c r="C426" s="192" t="s">
        <v>1194</v>
      </c>
    </row>
    <row r="427" spans="2:3" ht="15" x14ac:dyDescent="0.2">
      <c r="C427" s="192" t="s">
        <v>1195</v>
      </c>
    </row>
    <row r="428" spans="2:3" ht="15" x14ac:dyDescent="0.2">
      <c r="C428" s="192" t="s">
        <v>1196</v>
      </c>
    </row>
    <row r="429" spans="2:3" ht="15" x14ac:dyDescent="0.2">
      <c r="C429" s="192" t="s">
        <v>1197</v>
      </c>
    </row>
    <row r="430" spans="2:3" ht="15" x14ac:dyDescent="0.2">
      <c r="C430" s="192" t="s">
        <v>1198</v>
      </c>
    </row>
    <row r="431" spans="2:3" ht="15" x14ac:dyDescent="0.2">
      <c r="C431" s="192" t="s">
        <v>1199</v>
      </c>
    </row>
    <row r="432" spans="2:3" ht="15" x14ac:dyDescent="0.2">
      <c r="C432" s="192" t="s">
        <v>1200</v>
      </c>
    </row>
    <row r="433" spans="3:3" ht="15" x14ac:dyDescent="0.2">
      <c r="C433" s="192" t="s">
        <v>1201</v>
      </c>
    </row>
    <row r="434" spans="3:3" ht="15" x14ac:dyDescent="0.2">
      <c r="C434" s="192" t="s">
        <v>1202</v>
      </c>
    </row>
    <row r="435" spans="3:3" ht="15" x14ac:dyDescent="0.2">
      <c r="C435" s="192" t="s">
        <v>1203</v>
      </c>
    </row>
    <row r="436" spans="3:3" ht="15" x14ac:dyDescent="0.2">
      <c r="C436" s="192" t="s">
        <v>636</v>
      </c>
    </row>
    <row r="437" spans="3:3" ht="15" x14ac:dyDescent="0.2">
      <c r="C437" s="192" t="s">
        <v>1204</v>
      </c>
    </row>
    <row r="438" spans="3:3" ht="15" x14ac:dyDescent="0.2">
      <c r="C438" s="192" t="s">
        <v>1205</v>
      </c>
    </row>
    <row r="439" spans="3:3" ht="15" x14ac:dyDescent="0.2">
      <c r="C439" s="192" t="s">
        <v>1206</v>
      </c>
    </row>
    <row r="440" spans="3:3" ht="15" x14ac:dyDescent="0.2">
      <c r="C440" s="192" t="s">
        <v>1207</v>
      </c>
    </row>
    <row r="441" spans="3:3" ht="15" x14ac:dyDescent="0.2">
      <c r="C441" s="192" t="s">
        <v>1208</v>
      </c>
    </row>
    <row r="442" spans="3:3" ht="15" x14ac:dyDescent="0.2">
      <c r="C442" s="192" t="s">
        <v>1209</v>
      </c>
    </row>
    <row r="443" spans="3:3" ht="15" x14ac:dyDescent="0.2">
      <c r="C443" s="192" t="s">
        <v>1210</v>
      </c>
    </row>
    <row r="444" spans="3:3" ht="15" x14ac:dyDescent="0.2">
      <c r="C444" s="192" t="s">
        <v>1211</v>
      </c>
    </row>
    <row r="445" spans="3:3" ht="15" x14ac:dyDescent="0.2">
      <c r="C445" s="192" t="s">
        <v>1212</v>
      </c>
    </row>
    <row r="446" spans="3:3" ht="15" x14ac:dyDescent="0.2">
      <c r="C446" s="192" t="s">
        <v>646</v>
      </c>
    </row>
    <row r="447" spans="3:3" ht="15" x14ac:dyDescent="0.2">
      <c r="C447" s="192" t="s">
        <v>1213</v>
      </c>
    </row>
    <row r="448" spans="3:3" ht="15" x14ac:dyDescent="0.2">
      <c r="C448" s="192" t="s">
        <v>648</v>
      </c>
    </row>
    <row r="449" spans="3:3" ht="15" x14ac:dyDescent="0.2">
      <c r="C449" s="192" t="s">
        <v>1214</v>
      </c>
    </row>
    <row r="450" spans="3:3" ht="15" x14ac:dyDescent="0.2">
      <c r="C450" s="192" t="s">
        <v>1199</v>
      </c>
    </row>
    <row r="451" spans="3:3" ht="15" x14ac:dyDescent="0.2">
      <c r="C451" s="192" t="s">
        <v>1200</v>
      </c>
    </row>
    <row r="452" spans="3:3" ht="15" x14ac:dyDescent="0.2">
      <c r="C452" s="192" t="s">
        <v>1215</v>
      </c>
    </row>
    <row r="453" spans="3:3" ht="15" x14ac:dyDescent="0.2">
      <c r="C453" s="192" t="s">
        <v>1216</v>
      </c>
    </row>
    <row r="454" spans="3:3" ht="15" x14ac:dyDescent="0.2">
      <c r="C454" s="192" t="s">
        <v>1217</v>
      </c>
    </row>
    <row r="455" spans="3:3" ht="15" x14ac:dyDescent="0.2">
      <c r="C455" s="192" t="s">
        <v>646</v>
      </c>
    </row>
    <row r="456" spans="3:3" ht="15" x14ac:dyDescent="0.2">
      <c r="C456" s="192" t="s">
        <v>1218</v>
      </c>
    </row>
    <row r="457" spans="3:3" ht="15" x14ac:dyDescent="0.2">
      <c r="C457" s="192" t="s">
        <v>1219</v>
      </c>
    </row>
    <row r="458" spans="3:3" ht="15" x14ac:dyDescent="0.2">
      <c r="C458" s="192" t="s">
        <v>1220</v>
      </c>
    </row>
    <row r="459" spans="3:3" ht="15" x14ac:dyDescent="0.2">
      <c r="C459" s="192" t="s">
        <v>1221</v>
      </c>
    </row>
    <row r="461" spans="3:3" ht="15" x14ac:dyDescent="0.2">
      <c r="C461" s="192" t="s">
        <v>872</v>
      </c>
    </row>
    <row r="463" spans="3:3" ht="15" x14ac:dyDescent="0.2">
      <c r="C463" s="192" t="s">
        <v>873</v>
      </c>
    </row>
    <row r="464" spans="3:3" ht="15" x14ac:dyDescent="0.2">
      <c r="C464" s="192" t="s">
        <v>1222</v>
      </c>
    </row>
    <row r="465" spans="3:3" ht="15" x14ac:dyDescent="0.2">
      <c r="C465" s="192" t="s">
        <v>875</v>
      </c>
    </row>
    <row r="466" spans="3:3" ht="15" x14ac:dyDescent="0.2">
      <c r="C466" s="192" t="s">
        <v>876</v>
      </c>
    </row>
    <row r="467" spans="3:3" ht="15" x14ac:dyDescent="0.2">
      <c r="C467" s="192" t="s">
        <v>877</v>
      </c>
    </row>
    <row r="469" spans="3:3" ht="15" x14ac:dyDescent="0.2">
      <c r="C469" s="192" t="s">
        <v>878</v>
      </c>
    </row>
    <row r="470" spans="3:3" ht="15" x14ac:dyDescent="0.2">
      <c r="C470" s="192" t="s">
        <v>879</v>
      </c>
    </row>
    <row r="471" spans="3:3" ht="15" x14ac:dyDescent="0.2">
      <c r="C471" s="192" t="s">
        <v>1223</v>
      </c>
    </row>
    <row r="472" spans="3:3" ht="15" x14ac:dyDescent="0.2">
      <c r="C472" s="192" t="s">
        <v>1224</v>
      </c>
    </row>
    <row r="473" spans="3:3" ht="15" x14ac:dyDescent="0.2">
      <c r="C473" s="192" t="s">
        <v>1225</v>
      </c>
    </row>
    <row r="474" spans="3:3" ht="15" x14ac:dyDescent="0.2">
      <c r="C474" s="192" t="s">
        <v>1226</v>
      </c>
    </row>
    <row r="475" spans="3:3" ht="15" x14ac:dyDescent="0.2">
      <c r="C475" s="192" t="s">
        <v>1227</v>
      </c>
    </row>
    <row r="476" spans="3:3" ht="15" x14ac:dyDescent="0.2">
      <c r="C476" s="192" t="s">
        <v>885</v>
      </c>
    </row>
    <row r="477" spans="3:3" ht="15" x14ac:dyDescent="0.2">
      <c r="C477" s="192" t="s">
        <v>886</v>
      </c>
    </row>
    <row r="478" spans="3:3" ht="15" x14ac:dyDescent="0.2">
      <c r="C478" s="192" t="s">
        <v>887</v>
      </c>
    </row>
    <row r="479" spans="3:3" ht="15" x14ac:dyDescent="0.2">
      <c r="C479" s="192" t="s">
        <v>888</v>
      </c>
    </row>
    <row r="480" spans="3:3" ht="15" x14ac:dyDescent="0.2">
      <c r="C480" s="192" t="s">
        <v>1228</v>
      </c>
    </row>
    <row r="481" spans="3:3" ht="15" x14ac:dyDescent="0.2">
      <c r="C481" s="192" t="s">
        <v>1229</v>
      </c>
    </row>
    <row r="483" spans="3:3" ht="15" x14ac:dyDescent="0.2">
      <c r="C483" s="192" t="s">
        <v>1230</v>
      </c>
    </row>
    <row r="485" spans="3:3" ht="15" x14ac:dyDescent="0.2">
      <c r="C485" s="192" t="s">
        <v>1231</v>
      </c>
    </row>
    <row r="486" spans="3:3" ht="15" x14ac:dyDescent="0.2">
      <c r="C486" s="192" t="s">
        <v>1232</v>
      </c>
    </row>
    <row r="487" spans="3:3" ht="15" x14ac:dyDescent="0.2">
      <c r="C487" s="192" t="s">
        <v>1233</v>
      </c>
    </row>
    <row r="488" spans="3:3" ht="15" x14ac:dyDescent="0.2">
      <c r="C488" s="192" t="s">
        <v>1234</v>
      </c>
    </row>
    <row r="489" spans="3:3" ht="15" x14ac:dyDescent="0.2">
      <c r="C489" s="192" t="s">
        <v>1235</v>
      </c>
    </row>
    <row r="490" spans="3:3" ht="15" x14ac:dyDescent="0.2">
      <c r="C490" s="192" t="s">
        <v>1236</v>
      </c>
    </row>
    <row r="492" spans="3:3" ht="15" x14ac:dyDescent="0.2">
      <c r="C492" s="192" t="s">
        <v>1237</v>
      </c>
    </row>
    <row r="493" spans="3:3" ht="15" x14ac:dyDescent="0.2">
      <c r="C493" s="192" t="s">
        <v>1238</v>
      </c>
    </row>
    <row r="494" spans="3:3" ht="15" x14ac:dyDescent="0.2">
      <c r="C494" s="192" t="s">
        <v>1239</v>
      </c>
    </row>
    <row r="495" spans="3:3" ht="15" x14ac:dyDescent="0.2">
      <c r="C495" s="192" t="s">
        <v>1240</v>
      </c>
    </row>
    <row r="496" spans="3:3" ht="15" x14ac:dyDescent="0.2">
      <c r="C496" s="192" t="s">
        <v>1241</v>
      </c>
    </row>
    <row r="498" spans="3:3" ht="15" x14ac:dyDescent="0.2">
      <c r="C498" s="192" t="s">
        <v>1242</v>
      </c>
    </row>
    <row r="499" spans="3:3" ht="15" x14ac:dyDescent="0.2">
      <c r="C499" s="192" t="s">
        <v>911</v>
      </c>
    </row>
    <row r="500" spans="3:3" ht="15" x14ac:dyDescent="0.2">
      <c r="C500" s="192" t="s">
        <v>912</v>
      </c>
    </row>
    <row r="501" spans="3:3" ht="15" x14ac:dyDescent="0.2">
      <c r="C501" s="192" t="s">
        <v>1243</v>
      </c>
    </row>
    <row r="502" spans="3:3" ht="15" x14ac:dyDescent="0.2">
      <c r="C502" s="192" t="s">
        <v>914</v>
      </c>
    </row>
    <row r="504" spans="3:3" ht="15" x14ac:dyDescent="0.2">
      <c r="C504" s="192" t="s">
        <v>1244</v>
      </c>
    </row>
    <row r="505" spans="3:3" ht="15" x14ac:dyDescent="0.2">
      <c r="C505" s="192" t="s">
        <v>1245</v>
      </c>
    </row>
    <row r="506" spans="3:3" ht="15" x14ac:dyDescent="0.2">
      <c r="C506" s="192" t="s">
        <v>1199</v>
      </c>
    </row>
    <row r="507" spans="3:3" ht="15" x14ac:dyDescent="0.2">
      <c r="C507" s="192" t="s">
        <v>1200</v>
      </c>
    </row>
    <row r="508" spans="3:3" ht="15" x14ac:dyDescent="0.2">
      <c r="C508" s="192" t="s">
        <v>1246</v>
      </c>
    </row>
    <row r="509" spans="3:3" ht="15" x14ac:dyDescent="0.2">
      <c r="C509" s="192" t="s">
        <v>1247</v>
      </c>
    </row>
    <row r="510" spans="3:3" ht="15" x14ac:dyDescent="0.2">
      <c r="C510" s="192" t="s">
        <v>1248</v>
      </c>
    </row>
    <row r="512" spans="3:3" ht="15" x14ac:dyDescent="0.2">
      <c r="C512" s="192" t="s">
        <v>1249</v>
      </c>
    </row>
    <row r="513" spans="3:3" ht="15" x14ac:dyDescent="0.2">
      <c r="C513" s="192" t="s">
        <v>1200</v>
      </c>
    </row>
    <row r="514" spans="3:3" ht="15" x14ac:dyDescent="0.2">
      <c r="C514" s="192" t="s">
        <v>1250</v>
      </c>
    </row>
    <row r="515" spans="3:3" ht="15" x14ac:dyDescent="0.2">
      <c r="C515" s="192" t="s">
        <v>1251</v>
      </c>
    </row>
    <row r="516" spans="3:3" ht="15" x14ac:dyDescent="0.2">
      <c r="C516" s="192" t="s">
        <v>1252</v>
      </c>
    </row>
    <row r="518" spans="3:3" ht="15" x14ac:dyDescent="0.2">
      <c r="C518" s="192" t="s">
        <v>1253</v>
      </c>
    </row>
    <row r="519" spans="3:3" ht="15" x14ac:dyDescent="0.2">
      <c r="C519" s="192" t="s">
        <v>925</v>
      </c>
    </row>
    <row r="520" spans="3:3" ht="15" x14ac:dyDescent="0.2">
      <c r="C520" s="192" t="s">
        <v>926</v>
      </c>
    </row>
    <row r="521" spans="3:3" ht="15" x14ac:dyDescent="0.2">
      <c r="C521" s="192" t="s">
        <v>1254</v>
      </c>
    </row>
    <row r="522" spans="3:3" ht="15" x14ac:dyDescent="0.2">
      <c r="C522" s="192" t="s">
        <v>928</v>
      </c>
    </row>
    <row r="524" spans="3:3" ht="15" x14ac:dyDescent="0.2">
      <c r="C524" s="192" t="s">
        <v>878</v>
      </c>
    </row>
    <row r="525" spans="3:3" ht="15" x14ac:dyDescent="0.2">
      <c r="C525" s="192" t="s">
        <v>1255</v>
      </c>
    </row>
    <row r="526" spans="3:3" ht="15" x14ac:dyDescent="0.2">
      <c r="C526" s="192" t="s">
        <v>880</v>
      </c>
    </row>
    <row r="527" spans="3:3" ht="15" x14ac:dyDescent="0.2">
      <c r="C527" s="192" t="s">
        <v>881</v>
      </c>
    </row>
    <row r="528" spans="3:3" ht="15" x14ac:dyDescent="0.2">
      <c r="C528" s="192" t="s">
        <v>882</v>
      </c>
    </row>
    <row r="529" spans="3:3" ht="15" x14ac:dyDescent="0.2">
      <c r="C529" s="192" t="s">
        <v>883</v>
      </c>
    </row>
    <row r="530" spans="3:3" ht="15" x14ac:dyDescent="0.2">
      <c r="C530" s="192" t="s">
        <v>884</v>
      </c>
    </row>
    <row r="531" spans="3:3" ht="15" x14ac:dyDescent="0.2">
      <c r="C531" s="192" t="s">
        <v>885</v>
      </c>
    </row>
    <row r="532" spans="3:3" ht="15" x14ac:dyDescent="0.2">
      <c r="C532" s="192" t="s">
        <v>886</v>
      </c>
    </row>
    <row r="533" spans="3:3" ht="15" x14ac:dyDescent="0.2">
      <c r="C533" s="192" t="s">
        <v>887</v>
      </c>
    </row>
    <row r="534" spans="3:3" ht="15" x14ac:dyDescent="0.2">
      <c r="C534" s="192" t="s">
        <v>888</v>
      </c>
    </row>
    <row r="535" spans="3:3" ht="15" x14ac:dyDescent="0.2">
      <c r="C535" s="192" t="s">
        <v>889</v>
      </c>
    </row>
    <row r="536" spans="3:3" ht="15" x14ac:dyDescent="0.2">
      <c r="C536" s="192" t="s">
        <v>1256</v>
      </c>
    </row>
    <row r="538" spans="3:3" ht="15" x14ac:dyDescent="0.2">
      <c r="C538" s="192" t="s">
        <v>891</v>
      </c>
    </row>
    <row r="540" spans="3:3" ht="15" x14ac:dyDescent="0.2">
      <c r="C540" s="192" t="s">
        <v>892</v>
      </c>
    </row>
    <row r="541" spans="3:3" ht="15" x14ac:dyDescent="0.2">
      <c r="C541" s="192" t="s">
        <v>1257</v>
      </c>
    </row>
    <row r="542" spans="3:3" ht="15" x14ac:dyDescent="0.2">
      <c r="C542" s="192" t="s">
        <v>1258</v>
      </c>
    </row>
    <row r="543" spans="3:3" ht="15" x14ac:dyDescent="0.2">
      <c r="C543" s="192" t="s">
        <v>1259</v>
      </c>
    </row>
    <row r="544" spans="3:3" ht="15" x14ac:dyDescent="0.2">
      <c r="C544" s="192" t="s">
        <v>876</v>
      </c>
    </row>
    <row r="546" spans="3:3" ht="15" x14ac:dyDescent="0.2">
      <c r="C546" s="192" t="s">
        <v>898</v>
      </c>
    </row>
    <row r="547" spans="3:3" ht="15" x14ac:dyDescent="0.2">
      <c r="C547" s="192" t="s">
        <v>899</v>
      </c>
    </row>
    <row r="549" spans="3:3" ht="15" x14ac:dyDescent="0.2">
      <c r="C549" s="192" t="s">
        <v>900</v>
      </c>
    </row>
    <row r="550" spans="3:3" ht="15" x14ac:dyDescent="0.2">
      <c r="C550" s="192" t="s">
        <v>901</v>
      </c>
    </row>
    <row r="551" spans="3:3" ht="15" x14ac:dyDescent="0.2">
      <c r="C551" s="192" t="s">
        <v>902</v>
      </c>
    </row>
    <row r="552" spans="3:3" ht="15" x14ac:dyDescent="0.2">
      <c r="C552" s="192" t="s">
        <v>903</v>
      </c>
    </row>
    <row r="553" spans="3:3" ht="15" x14ac:dyDescent="0.2">
      <c r="C553" s="192" t="s">
        <v>904</v>
      </c>
    </row>
    <row r="554" spans="3:3" ht="15" x14ac:dyDescent="0.2">
      <c r="C554" s="192" t="s">
        <v>905</v>
      </c>
    </row>
    <row r="556" spans="3:3" ht="15" x14ac:dyDescent="0.2">
      <c r="C556" s="192" t="s">
        <v>900</v>
      </c>
    </row>
    <row r="557" spans="3:3" ht="15" x14ac:dyDescent="0.2">
      <c r="C557" s="192" t="s">
        <v>906</v>
      </c>
    </row>
    <row r="558" spans="3:3" ht="15" x14ac:dyDescent="0.2">
      <c r="C558" s="192" t="s">
        <v>907</v>
      </c>
    </row>
    <row r="559" spans="3:3" ht="15" x14ac:dyDescent="0.2">
      <c r="C559" s="192" t="s">
        <v>908</v>
      </c>
    </row>
    <row r="560" spans="3:3" ht="15" x14ac:dyDescent="0.2">
      <c r="C560" s="192" t="s">
        <v>909</v>
      </c>
    </row>
    <row r="562" spans="3:3" ht="15" x14ac:dyDescent="0.2">
      <c r="C562" s="192" t="s">
        <v>910</v>
      </c>
    </row>
    <row r="563" spans="3:3" ht="15" x14ac:dyDescent="0.2">
      <c r="C563" s="192" t="s">
        <v>911</v>
      </c>
    </row>
    <row r="564" spans="3:3" ht="15" x14ac:dyDescent="0.2">
      <c r="C564" s="192" t="s">
        <v>912</v>
      </c>
    </row>
    <row r="565" spans="3:3" ht="15" x14ac:dyDescent="0.2">
      <c r="C565" s="192" t="s">
        <v>913</v>
      </c>
    </row>
    <row r="566" spans="3:3" ht="15" x14ac:dyDescent="0.2">
      <c r="C566" s="192" t="s">
        <v>914</v>
      </c>
    </row>
    <row r="568" spans="3:3" ht="15" x14ac:dyDescent="0.2">
      <c r="C568" s="192" t="s">
        <v>915</v>
      </c>
    </row>
    <row r="569" spans="3:3" ht="15" x14ac:dyDescent="0.2">
      <c r="C569" s="192" t="s">
        <v>916</v>
      </c>
    </row>
    <row r="570" spans="3:3" ht="15" x14ac:dyDescent="0.2">
      <c r="C570" s="192" t="s">
        <v>650</v>
      </c>
    </row>
    <row r="571" spans="3:3" ht="15" x14ac:dyDescent="0.2">
      <c r="C571" s="192" t="s">
        <v>651</v>
      </c>
    </row>
    <row r="572" spans="3:3" ht="15" x14ac:dyDescent="0.2">
      <c r="C572" s="192" t="s">
        <v>917</v>
      </c>
    </row>
    <row r="573" spans="3:3" ht="15" x14ac:dyDescent="0.2">
      <c r="C573" s="192" t="s">
        <v>918</v>
      </c>
    </row>
    <row r="574" spans="3:3" ht="15" x14ac:dyDescent="0.2">
      <c r="C574" s="192" t="s">
        <v>919</v>
      </c>
    </row>
    <row r="576" spans="3:3" ht="15" x14ac:dyDescent="0.2">
      <c r="C576" s="192" t="s">
        <v>920</v>
      </c>
    </row>
    <row r="577" spans="3:3" ht="15" x14ac:dyDescent="0.2">
      <c r="C577" s="192" t="s">
        <v>651</v>
      </c>
    </row>
    <row r="579" spans="3:3" ht="15" x14ac:dyDescent="0.2">
      <c r="C579" s="192" t="s">
        <v>921</v>
      </c>
    </row>
    <row r="580" spans="3:3" ht="15" x14ac:dyDescent="0.2">
      <c r="C580" s="192" t="s">
        <v>922</v>
      </c>
    </row>
    <row r="581" spans="3:3" ht="15" x14ac:dyDescent="0.2">
      <c r="C581" s="192" t="s">
        <v>923</v>
      </c>
    </row>
    <row r="583" spans="3:3" ht="15" x14ac:dyDescent="0.2">
      <c r="C583" s="192" t="s">
        <v>924</v>
      </c>
    </row>
    <row r="584" spans="3:3" ht="15" x14ac:dyDescent="0.2">
      <c r="C584" s="192" t="s">
        <v>925</v>
      </c>
    </row>
    <row r="585" spans="3:3" ht="15" x14ac:dyDescent="0.2">
      <c r="C585" s="192" t="s">
        <v>926</v>
      </c>
    </row>
    <row r="586" spans="3:3" ht="15" x14ac:dyDescent="0.2">
      <c r="C586" s="192" t="s">
        <v>927</v>
      </c>
    </row>
    <row r="587" spans="3:3" ht="15" x14ac:dyDescent="0.2">
      <c r="C587" s="192" t="s">
        <v>928</v>
      </c>
    </row>
    <row r="589" spans="3:3" ht="15" x14ac:dyDescent="0.2">
      <c r="C589" s="192" t="s">
        <v>929</v>
      </c>
    </row>
    <row r="590" spans="3:3" ht="15" x14ac:dyDescent="0.2">
      <c r="C590" s="192" t="s">
        <v>930</v>
      </c>
    </row>
    <row r="591" spans="3:3" ht="15" x14ac:dyDescent="0.2">
      <c r="C591" s="192" t="s">
        <v>931</v>
      </c>
    </row>
    <row r="592" spans="3:3" ht="15" x14ac:dyDescent="0.2">
      <c r="C592" s="192" t="s">
        <v>932</v>
      </c>
    </row>
    <row r="593" spans="3:3" ht="15" x14ac:dyDescent="0.2">
      <c r="C593" s="192" t="s">
        <v>933</v>
      </c>
    </row>
    <row r="594" spans="3:3" ht="15" x14ac:dyDescent="0.2">
      <c r="C594" s="192" t="s">
        <v>934</v>
      </c>
    </row>
    <row r="595" spans="3:3" ht="15" x14ac:dyDescent="0.2">
      <c r="C595" s="192" t="s">
        <v>935</v>
      </c>
    </row>
    <row r="596" spans="3:3" ht="15" x14ac:dyDescent="0.2">
      <c r="C596" s="192" t="s">
        <v>936</v>
      </c>
    </row>
    <row r="597" spans="3:3" ht="15" x14ac:dyDescent="0.2">
      <c r="C597" s="192" t="s">
        <v>876</v>
      </c>
    </row>
    <row r="599" spans="3:3" ht="15" x14ac:dyDescent="0.2">
      <c r="C599" s="192" t="s">
        <v>937</v>
      </c>
    </row>
    <row r="600" spans="3:3" ht="15" x14ac:dyDescent="0.2">
      <c r="C600" s="192" t="s">
        <v>938</v>
      </c>
    </row>
    <row r="602" spans="3:3" ht="15" x14ac:dyDescent="0.2">
      <c r="C602" s="192" t="s">
        <v>930</v>
      </c>
    </row>
    <row r="603" spans="3:3" ht="15" x14ac:dyDescent="0.2">
      <c r="C603" s="192" t="s">
        <v>1260</v>
      </c>
    </row>
    <row r="604" spans="3:3" ht="15" x14ac:dyDescent="0.2">
      <c r="C604" s="192" t="s">
        <v>1261</v>
      </c>
    </row>
    <row r="605" spans="3:3" ht="15" x14ac:dyDescent="0.2">
      <c r="C605" s="192" t="s">
        <v>933</v>
      </c>
    </row>
    <row r="606" spans="3:3" ht="15" x14ac:dyDescent="0.2">
      <c r="C606" s="192" t="s">
        <v>941</v>
      </c>
    </row>
    <row r="607" spans="3:3" ht="15" x14ac:dyDescent="0.2">
      <c r="C607" s="192" t="s">
        <v>942</v>
      </c>
    </row>
    <row r="608" spans="3:3" ht="15" x14ac:dyDescent="0.2">
      <c r="C608" s="192" t="s">
        <v>943</v>
      </c>
    </row>
    <row r="609" spans="3:3" ht="15" x14ac:dyDescent="0.2">
      <c r="C609" s="192" t="s">
        <v>944</v>
      </c>
    </row>
    <row r="610" spans="3:3" ht="15" x14ac:dyDescent="0.2">
      <c r="C610" s="192" t="s">
        <v>1262</v>
      </c>
    </row>
    <row r="612" spans="3:3" ht="15" x14ac:dyDescent="0.2">
      <c r="C612" s="192" t="s">
        <v>946</v>
      </c>
    </row>
    <row r="613" spans="3:3" ht="15" x14ac:dyDescent="0.2">
      <c r="C613" s="192" t="s">
        <v>947</v>
      </c>
    </row>
    <row r="614" spans="3:3" ht="15" x14ac:dyDescent="0.2">
      <c r="C614" s="192" t="s">
        <v>948</v>
      </c>
    </row>
    <row r="615" spans="3:3" ht="15" x14ac:dyDescent="0.2">
      <c r="C615" s="192" t="s">
        <v>949</v>
      </c>
    </row>
    <row r="616" spans="3:3" ht="15" x14ac:dyDescent="0.2">
      <c r="C616" s="192" t="s">
        <v>950</v>
      </c>
    </row>
    <row r="617" spans="3:3" ht="15" x14ac:dyDescent="0.2">
      <c r="C617" s="192" t="s">
        <v>951</v>
      </c>
    </row>
    <row r="618" spans="3:3" ht="15" x14ac:dyDescent="0.2">
      <c r="C618" s="192" t="s">
        <v>952</v>
      </c>
    </row>
    <row r="619" spans="3:3" ht="15" x14ac:dyDescent="0.2">
      <c r="C619" s="192" t="s">
        <v>953</v>
      </c>
    </row>
    <row r="620" spans="3:3" ht="15" x14ac:dyDescent="0.2">
      <c r="C620" s="192" t="s">
        <v>954</v>
      </c>
    </row>
    <row r="621" spans="3:3" ht="15" x14ac:dyDescent="0.2">
      <c r="C621" s="192" t="s">
        <v>955</v>
      </c>
    </row>
    <row r="622" spans="3:3" ht="15" x14ac:dyDescent="0.2">
      <c r="C622" s="192" t="s">
        <v>956</v>
      </c>
    </row>
    <row r="623" spans="3:3" ht="15" x14ac:dyDescent="0.2">
      <c r="C623" s="192" t="s">
        <v>957</v>
      </c>
    </row>
    <row r="624" spans="3:3" ht="15" x14ac:dyDescent="0.2">
      <c r="C624" s="192" t="s">
        <v>958</v>
      </c>
    </row>
    <row r="625" spans="3:3" ht="15" x14ac:dyDescent="0.2">
      <c r="C625" s="192" t="s">
        <v>959</v>
      </c>
    </row>
    <row r="626" spans="3:3" ht="15" x14ac:dyDescent="0.2">
      <c r="C626" s="192" t="s">
        <v>960</v>
      </c>
    </row>
    <row r="627" spans="3:3" ht="15" x14ac:dyDescent="0.2">
      <c r="C627" s="192" t="s">
        <v>961</v>
      </c>
    </row>
    <row r="628" spans="3:3" ht="15" x14ac:dyDescent="0.2">
      <c r="C628" s="192" t="s">
        <v>962</v>
      </c>
    </row>
    <row r="629" spans="3:3" ht="15" x14ac:dyDescent="0.2">
      <c r="C629" s="192" t="s">
        <v>963</v>
      </c>
    </row>
    <row r="630" spans="3:3" ht="15" x14ac:dyDescent="0.2">
      <c r="C630" s="192" t="s">
        <v>964</v>
      </c>
    </row>
    <row r="631" spans="3:3" ht="15" x14ac:dyDescent="0.2">
      <c r="C631" s="192" t="s">
        <v>965</v>
      </c>
    </row>
    <row r="632" spans="3:3" ht="15" x14ac:dyDescent="0.2">
      <c r="C632" s="192" t="s">
        <v>966</v>
      </c>
    </row>
    <row r="633" spans="3:3" ht="15" x14ac:dyDescent="0.2">
      <c r="C633" s="192" t="s">
        <v>967</v>
      </c>
    </row>
    <row r="634" spans="3:3" ht="15" x14ac:dyDescent="0.2">
      <c r="C634" s="192" t="s">
        <v>804</v>
      </c>
    </row>
    <row r="635" spans="3:3" ht="15" x14ac:dyDescent="0.2">
      <c r="C635" s="192" t="s">
        <v>968</v>
      </c>
    </row>
    <row r="636" spans="3:3" ht="15" x14ac:dyDescent="0.2">
      <c r="C636" s="192" t="s">
        <v>969</v>
      </c>
    </row>
    <row r="637" spans="3:3" ht="15" x14ac:dyDescent="0.2">
      <c r="C637" s="192" t="s">
        <v>970</v>
      </c>
    </row>
    <row r="638" spans="3:3" ht="15" x14ac:dyDescent="0.2">
      <c r="C638" s="192" t="s">
        <v>971</v>
      </c>
    </row>
    <row r="639" spans="3:3" ht="15" x14ac:dyDescent="0.2">
      <c r="C639" s="192" t="s">
        <v>972</v>
      </c>
    </row>
    <row r="640" spans="3:3" ht="15" x14ac:dyDescent="0.2">
      <c r="C640" s="192" t="s">
        <v>973</v>
      </c>
    </row>
    <row r="641" spans="3:3" ht="15" x14ac:dyDescent="0.2">
      <c r="C641" s="192" t="s">
        <v>974</v>
      </c>
    </row>
    <row r="643" spans="3:3" ht="15" x14ac:dyDescent="0.2">
      <c r="C643" s="192" t="s">
        <v>975</v>
      </c>
    </row>
    <row r="644" spans="3:3" ht="15" x14ac:dyDescent="0.2">
      <c r="C644" s="192" t="s">
        <v>976</v>
      </c>
    </row>
    <row r="646" spans="3:3" ht="15" x14ac:dyDescent="0.2">
      <c r="C646" s="192" t="s">
        <v>977</v>
      </c>
    </row>
    <row r="647" spans="3:3" ht="15" x14ac:dyDescent="0.2">
      <c r="C647" s="192" t="s">
        <v>978</v>
      </c>
    </row>
    <row r="649" spans="3:3" ht="15" x14ac:dyDescent="0.2">
      <c r="C649" s="192" t="s">
        <v>979</v>
      </c>
    </row>
    <row r="650" spans="3:3" ht="15" x14ac:dyDescent="0.2">
      <c r="C650" s="192" t="s">
        <v>930</v>
      </c>
    </row>
    <row r="651" spans="3:3" ht="15" x14ac:dyDescent="0.2">
      <c r="C651" s="192" t="s">
        <v>931</v>
      </c>
    </row>
    <row r="652" spans="3:3" ht="15" x14ac:dyDescent="0.2">
      <c r="C652" s="192" t="s">
        <v>980</v>
      </c>
    </row>
    <row r="653" spans="3:3" ht="15" x14ac:dyDescent="0.2">
      <c r="C653" s="192" t="s">
        <v>933</v>
      </c>
    </row>
    <row r="654" spans="3:3" ht="15" x14ac:dyDescent="0.2">
      <c r="C654" s="192" t="s">
        <v>981</v>
      </c>
    </row>
    <row r="655" spans="3:3" ht="15" x14ac:dyDescent="0.2">
      <c r="C655" s="192" t="s">
        <v>935</v>
      </c>
    </row>
    <row r="656" spans="3:3" ht="15" x14ac:dyDescent="0.2">
      <c r="C656" s="192" t="s">
        <v>936</v>
      </c>
    </row>
    <row r="657" spans="3:3" ht="15" x14ac:dyDescent="0.2">
      <c r="C657" s="192" t="s">
        <v>876</v>
      </c>
    </row>
    <row r="659" spans="3:3" ht="15" x14ac:dyDescent="0.2">
      <c r="C659" s="192" t="s">
        <v>982</v>
      </c>
    </row>
    <row r="660" spans="3:3" ht="15" x14ac:dyDescent="0.2">
      <c r="C660" s="192" t="s">
        <v>983</v>
      </c>
    </row>
    <row r="662" spans="3:3" ht="15" x14ac:dyDescent="0.2">
      <c r="C662" s="192" t="s">
        <v>930</v>
      </c>
    </row>
    <row r="663" spans="3:3" ht="15" x14ac:dyDescent="0.2">
      <c r="C663" s="192" t="s">
        <v>984</v>
      </c>
    </row>
    <row r="664" spans="3:3" ht="15" x14ac:dyDescent="0.2">
      <c r="C664" s="192" t="s">
        <v>985</v>
      </c>
    </row>
    <row r="665" spans="3:3" ht="15" x14ac:dyDescent="0.2">
      <c r="C665" s="192" t="s">
        <v>933</v>
      </c>
    </row>
    <row r="666" spans="3:3" ht="15" x14ac:dyDescent="0.2">
      <c r="C666" s="192" t="s">
        <v>1263</v>
      </c>
    </row>
    <row r="667" spans="3:3" ht="15" x14ac:dyDescent="0.2">
      <c r="C667" s="192" t="s">
        <v>942</v>
      </c>
    </row>
    <row r="668" spans="3:3" ht="15" x14ac:dyDescent="0.2">
      <c r="C668" s="192" t="s">
        <v>943</v>
      </c>
    </row>
    <row r="669" spans="3:3" ht="15" x14ac:dyDescent="0.2">
      <c r="C669" s="192" t="s">
        <v>944</v>
      </c>
    </row>
    <row r="670" spans="3:3" ht="15" x14ac:dyDescent="0.2">
      <c r="C670" s="192" t="s">
        <v>876</v>
      </c>
    </row>
    <row r="672" spans="3:3" ht="15" x14ac:dyDescent="0.2">
      <c r="C672" s="192" t="s">
        <v>987</v>
      </c>
    </row>
    <row r="673" spans="3:3" ht="15" x14ac:dyDescent="0.2">
      <c r="C673" s="192" t="s">
        <v>930</v>
      </c>
    </row>
    <row r="674" spans="3:3" ht="15" x14ac:dyDescent="0.2">
      <c r="C674" s="192" t="s">
        <v>931</v>
      </c>
    </row>
    <row r="675" spans="3:3" ht="15" x14ac:dyDescent="0.2">
      <c r="C675" s="192" t="s">
        <v>988</v>
      </c>
    </row>
    <row r="676" spans="3:3" ht="15" x14ac:dyDescent="0.2">
      <c r="C676" s="192" t="s">
        <v>933</v>
      </c>
    </row>
    <row r="677" spans="3:3" ht="15" x14ac:dyDescent="0.2">
      <c r="C677" s="192" t="s">
        <v>989</v>
      </c>
    </row>
    <row r="678" spans="3:3" ht="15" x14ac:dyDescent="0.2">
      <c r="C678" s="192" t="s">
        <v>935</v>
      </c>
    </row>
    <row r="679" spans="3:3" ht="15" x14ac:dyDescent="0.2">
      <c r="C679" s="192" t="s">
        <v>936</v>
      </c>
    </row>
    <row r="680" spans="3:3" ht="15" x14ac:dyDescent="0.2">
      <c r="C680" s="192" t="s">
        <v>876</v>
      </c>
    </row>
    <row r="682" spans="3:3" ht="15" x14ac:dyDescent="0.2">
      <c r="C682" s="192" t="s">
        <v>990</v>
      </c>
    </row>
    <row r="683" spans="3:3" ht="15" x14ac:dyDescent="0.2">
      <c r="C683" s="192" t="s">
        <v>991</v>
      </c>
    </row>
    <row r="685" spans="3:3" ht="15" x14ac:dyDescent="0.2">
      <c r="C685" s="192" t="s">
        <v>930</v>
      </c>
    </row>
    <row r="686" spans="3:3" ht="15" x14ac:dyDescent="0.2">
      <c r="C686" s="192" t="s">
        <v>992</v>
      </c>
    </row>
    <row r="687" spans="3:3" ht="15" x14ac:dyDescent="0.2">
      <c r="C687" s="192" t="s">
        <v>993</v>
      </c>
    </row>
    <row r="688" spans="3:3" ht="15" x14ac:dyDescent="0.2">
      <c r="C688" s="192" t="s">
        <v>933</v>
      </c>
    </row>
    <row r="689" spans="3:3" ht="15" x14ac:dyDescent="0.2">
      <c r="C689" s="192" t="s">
        <v>941</v>
      </c>
    </row>
    <row r="690" spans="3:3" ht="15" x14ac:dyDescent="0.2">
      <c r="C690" s="192" t="s">
        <v>942</v>
      </c>
    </row>
    <row r="691" spans="3:3" ht="15" x14ac:dyDescent="0.2">
      <c r="C691" s="192" t="s">
        <v>943</v>
      </c>
    </row>
    <row r="692" spans="3:3" ht="15" x14ac:dyDescent="0.2">
      <c r="C692" s="192" t="s">
        <v>944</v>
      </c>
    </row>
    <row r="693" spans="3:3" ht="15" x14ac:dyDescent="0.2">
      <c r="C693" s="192" t="s">
        <v>876</v>
      </c>
    </row>
    <row r="695" spans="3:3" ht="15" x14ac:dyDescent="0.2">
      <c r="C695" s="192" t="s">
        <v>994</v>
      </c>
    </row>
    <row r="696" spans="3:3" ht="15" x14ac:dyDescent="0.2">
      <c r="C696" s="192" t="s">
        <v>930</v>
      </c>
    </row>
    <row r="697" spans="3:3" ht="15" x14ac:dyDescent="0.2">
      <c r="C697" s="192" t="s">
        <v>931</v>
      </c>
    </row>
    <row r="698" spans="3:3" ht="15" x14ac:dyDescent="0.2">
      <c r="C698" s="192" t="s">
        <v>995</v>
      </c>
    </row>
    <row r="699" spans="3:3" ht="15" x14ac:dyDescent="0.2">
      <c r="C699" s="192" t="s">
        <v>933</v>
      </c>
    </row>
    <row r="700" spans="3:3" ht="15" x14ac:dyDescent="0.2">
      <c r="C700" s="192" t="s">
        <v>996</v>
      </c>
    </row>
    <row r="701" spans="3:3" ht="15" x14ac:dyDescent="0.2">
      <c r="C701" s="192" t="s">
        <v>935</v>
      </c>
    </row>
    <row r="702" spans="3:3" ht="15" x14ac:dyDescent="0.2">
      <c r="C702" s="192" t="s">
        <v>936</v>
      </c>
    </row>
    <row r="703" spans="3:3" ht="15" x14ac:dyDescent="0.2">
      <c r="C703" s="192" t="s">
        <v>876</v>
      </c>
    </row>
    <row r="705" spans="3:3" ht="15" x14ac:dyDescent="0.2">
      <c r="C705" s="192" t="s">
        <v>997</v>
      </c>
    </row>
    <row r="706" spans="3:3" ht="15" x14ac:dyDescent="0.2">
      <c r="C706" s="192" t="s">
        <v>998</v>
      </c>
    </row>
    <row r="708" spans="3:3" ht="15" x14ac:dyDescent="0.2">
      <c r="C708" s="192" t="s">
        <v>930</v>
      </c>
    </row>
    <row r="709" spans="3:3" ht="15" x14ac:dyDescent="0.2">
      <c r="C709" s="192" t="s">
        <v>999</v>
      </c>
    </row>
    <row r="710" spans="3:3" ht="15" x14ac:dyDescent="0.2">
      <c r="C710" s="192" t="s">
        <v>1000</v>
      </c>
    </row>
    <row r="711" spans="3:3" ht="15" x14ac:dyDescent="0.2">
      <c r="C711" s="192" t="s">
        <v>933</v>
      </c>
    </row>
    <row r="712" spans="3:3" ht="15" x14ac:dyDescent="0.2">
      <c r="C712" s="192" t="s">
        <v>941</v>
      </c>
    </row>
    <row r="713" spans="3:3" ht="15" x14ac:dyDescent="0.2">
      <c r="C713" s="192" t="s">
        <v>942</v>
      </c>
    </row>
    <row r="714" spans="3:3" ht="15" x14ac:dyDescent="0.2">
      <c r="C714" s="192" t="s">
        <v>943</v>
      </c>
    </row>
    <row r="715" spans="3:3" ht="15" x14ac:dyDescent="0.2">
      <c r="C715" s="192" t="s">
        <v>1001</v>
      </c>
    </row>
    <row r="716" spans="3:3" ht="15" x14ac:dyDescent="0.2">
      <c r="C716" s="192" t="s">
        <v>1002</v>
      </c>
    </row>
    <row r="718" spans="3:3" ht="15" x14ac:dyDescent="0.2">
      <c r="C718" s="192" t="s">
        <v>1175</v>
      </c>
    </row>
    <row r="719" spans="3:3" ht="15" x14ac:dyDescent="0.2">
      <c r="C719" s="192" t="s">
        <v>1004</v>
      </c>
    </row>
    <row r="720" spans="3:3" ht="15" x14ac:dyDescent="0.2">
      <c r="C720" s="192" t="s">
        <v>1005</v>
      </c>
    </row>
    <row r="722" spans="3:3" ht="15" x14ac:dyDescent="0.2">
      <c r="C722" s="192" t="s">
        <v>930</v>
      </c>
    </row>
    <row r="723" spans="3:3" ht="15" x14ac:dyDescent="0.2">
      <c r="C723" s="192" t="s">
        <v>1006</v>
      </c>
    </row>
    <row r="724" spans="3:3" ht="15" x14ac:dyDescent="0.2">
      <c r="C724" s="192" t="s">
        <v>1007</v>
      </c>
    </row>
    <row r="725" spans="3:3" ht="15" x14ac:dyDescent="0.2">
      <c r="C725" s="192" t="s">
        <v>933</v>
      </c>
    </row>
    <row r="726" spans="3:3" ht="15" x14ac:dyDescent="0.2">
      <c r="C726" s="192" t="s">
        <v>941</v>
      </c>
    </row>
    <row r="727" spans="3:3" ht="15" x14ac:dyDescent="0.2">
      <c r="C727" s="192" t="s">
        <v>1008</v>
      </c>
    </row>
    <row r="728" spans="3:3" ht="15" x14ac:dyDescent="0.2">
      <c r="C728" s="192" t="s">
        <v>944</v>
      </c>
    </row>
    <row r="729" spans="3:3" ht="15" x14ac:dyDescent="0.2">
      <c r="C729" s="192" t="s">
        <v>876</v>
      </c>
    </row>
    <row r="731" spans="3:3" ht="15" x14ac:dyDescent="0.2">
      <c r="C731" s="192" t="s">
        <v>872</v>
      </c>
    </row>
    <row r="733" spans="3:3" ht="15" x14ac:dyDescent="0.2">
      <c r="C733" s="192" t="s">
        <v>1264</v>
      </c>
    </row>
    <row r="734" spans="3:3" ht="15" x14ac:dyDescent="0.2">
      <c r="C734" s="192" t="s">
        <v>1265</v>
      </c>
    </row>
    <row r="736" spans="3:3" ht="15" x14ac:dyDescent="0.2">
      <c r="C736" s="192" t="s">
        <v>1266</v>
      </c>
    </row>
    <row r="737" spans="3:3" ht="15" x14ac:dyDescent="0.2">
      <c r="C737" s="192" t="s">
        <v>1267</v>
      </c>
    </row>
    <row r="739" spans="3:3" ht="15" x14ac:dyDescent="0.2">
      <c r="C739" s="192" t="s">
        <v>1048</v>
      </c>
    </row>
    <row r="740" spans="3:3" ht="15" x14ac:dyDescent="0.2">
      <c r="C740" s="192" t="s">
        <v>1049</v>
      </c>
    </row>
    <row r="741" spans="3:3" ht="15" x14ac:dyDescent="0.2">
      <c r="C741" s="192" t="s">
        <v>1050</v>
      </c>
    </row>
    <row r="743" spans="3:3" ht="15" x14ac:dyDescent="0.2">
      <c r="C743" s="192" t="s">
        <v>1051</v>
      </c>
    </row>
    <row r="744" spans="3:3" ht="15" x14ac:dyDescent="0.2">
      <c r="C744" s="192" t="s">
        <v>1052</v>
      </c>
    </row>
    <row r="745" spans="3:3" ht="15" x14ac:dyDescent="0.2">
      <c r="C745" s="192" t="s">
        <v>1053</v>
      </c>
    </row>
    <row r="746" spans="3:3" ht="15" x14ac:dyDescent="0.2">
      <c r="C746" s="192" t="s">
        <v>1054</v>
      </c>
    </row>
    <row r="748" spans="3:3" ht="15" x14ac:dyDescent="0.2">
      <c r="C748" s="192" t="s">
        <v>1055</v>
      </c>
    </row>
    <row r="749" spans="3:3" x14ac:dyDescent="0.2">
      <c r="C749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58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CONCATENATE("_figures\",Results!C42,".png")</f>
        <v>_figures\Dinamico.png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Results!C42,".py")</f>
        <v>_figures\Dinamico.py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1785</v>
      </c>
      <c r="C10" s="192" t="s">
        <v>523</v>
      </c>
    </row>
    <row r="11" spans="1:3" ht="16.5" thickTop="1" thickBot="1" x14ac:dyDescent="0.25">
      <c r="A11" s="189" t="str">
        <f>_xlfn.CONCAT(Results!C42,".sim")</f>
        <v>Dinamico.sim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Results!C51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_xlfn.CONCAT("filename_puxada = r'",A11,"'")</f>
        <v>filename_puxada = r'Dinamico.sim'</v>
      </c>
    </row>
    <row r="20" spans="1:3" ht="15" x14ac:dyDescent="0.2">
      <c r="C20" s="712" t="s">
        <v>2197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r'_figures\Dinamico.png'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'24'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1268</v>
      </c>
    </row>
    <row r="98" spans="2:3" ht="15" x14ac:dyDescent="0.2">
      <c r="C98" s="192" t="s">
        <v>1269</v>
      </c>
    </row>
    <row r="99" spans="2:3" ht="15" x14ac:dyDescent="0.2">
      <c r="C99" s="192" t="s">
        <v>1270</v>
      </c>
    </row>
    <row r="101" spans="2:3" ht="15" x14ac:dyDescent="0.2">
      <c r="C101" s="192" t="s">
        <v>1179</v>
      </c>
    </row>
    <row r="102" spans="2:3" ht="15" x14ac:dyDescent="0.2">
      <c r="C102" s="192" t="s">
        <v>1180</v>
      </c>
    </row>
    <row r="104" spans="2:3" ht="15" x14ac:dyDescent="0.2">
      <c r="C104" s="192" t="s">
        <v>601</v>
      </c>
    </row>
    <row r="105" spans="2:3" ht="15" x14ac:dyDescent="0.2">
      <c r="B105" s="196"/>
      <c r="C105" s="192" t="str">
        <f>_xlfn.CONCAT("vcm1=model['",$A$19,"']")</f>
        <v>vcm1=model['P7000048060_/_'DU700154300_Rev._C']</v>
      </c>
    </row>
    <row r="107" spans="2:3" ht="15" x14ac:dyDescent="0.2">
      <c r="C107" s="192" t="s">
        <v>602</v>
      </c>
    </row>
    <row r="108" spans="2:3" ht="15" x14ac:dyDescent="0.2">
      <c r="B108" s="196"/>
      <c r="C108" s="192" t="str">
        <f>_xlfn.CONCAT("line1=model['",$A$17,"']")</f>
        <v>line1=model['Line']</v>
      </c>
    </row>
    <row r="109" spans="2:3" ht="15" x14ac:dyDescent="0.2">
      <c r="B109" s="196"/>
      <c r="C109" s="192" t="str">
        <f>_xlfn.CONCAT("att_lines=list(['",$A$18,"'])")</f>
        <v>att_lines=list(['Stiffener1'])</v>
      </c>
    </row>
    <row r="110" spans="2:3" ht="15" x14ac:dyDescent="0.2">
      <c r="C110" s="192" t="s">
        <v>603</v>
      </c>
    </row>
    <row r="111" spans="2:3" ht="15" x14ac:dyDescent="0.2">
      <c r="C111" s="192" t="s">
        <v>604</v>
      </c>
    </row>
    <row r="112" spans="2:3" ht="15" x14ac:dyDescent="0.2">
      <c r="C112" s="192" t="s">
        <v>605</v>
      </c>
    </row>
    <row r="113" spans="3:3" ht="15" x14ac:dyDescent="0.2">
      <c r="C113" s="192" t="s">
        <v>606</v>
      </c>
    </row>
    <row r="114" spans="3:3" ht="15" x14ac:dyDescent="0.2">
      <c r="C114" s="192" t="s">
        <v>607</v>
      </c>
    </row>
    <row r="115" spans="3:3" ht="15" x14ac:dyDescent="0.2">
      <c r="C115" s="192" t="s">
        <v>608</v>
      </c>
    </row>
    <row r="116" spans="3:3" ht="15" x14ac:dyDescent="0.2">
      <c r="C116" s="192" t="s">
        <v>609</v>
      </c>
    </row>
    <row r="118" spans="3:3" ht="15" x14ac:dyDescent="0.2">
      <c r="C118" s="192" t="s">
        <v>610</v>
      </c>
    </row>
    <row r="119" spans="3:3" ht="15" x14ac:dyDescent="0.2">
      <c r="C119" s="192" t="s">
        <v>611</v>
      </c>
    </row>
    <row r="120" spans="3:3" ht="15" x14ac:dyDescent="0.2">
      <c r="C120" s="192" t="s">
        <v>612</v>
      </c>
    </row>
    <row r="121" spans="3:3" ht="15" x14ac:dyDescent="0.2">
      <c r="C121" s="192" t="s">
        <v>613</v>
      </c>
    </row>
    <row r="122" spans="3:3" ht="15" x14ac:dyDescent="0.2">
      <c r="C122" s="192" t="s">
        <v>614</v>
      </c>
    </row>
    <row r="123" spans="3:3" ht="15" x14ac:dyDescent="0.2">
      <c r="C123" s="192" t="s">
        <v>615</v>
      </c>
    </row>
    <row r="124" spans="3:3" ht="15" x14ac:dyDescent="0.2">
      <c r="C124" s="192" t="s">
        <v>616</v>
      </c>
    </row>
    <row r="125" spans="3:3" ht="15" x14ac:dyDescent="0.2">
      <c r="C125" s="192" t="s">
        <v>617</v>
      </c>
    </row>
    <row r="126" spans="3:3" ht="15" x14ac:dyDescent="0.2">
      <c r="C126" s="192" t="s">
        <v>618</v>
      </c>
    </row>
    <row r="127" spans="3:3" ht="15" x14ac:dyDescent="0.2">
      <c r="C127" s="192" t="s">
        <v>619</v>
      </c>
    </row>
    <row r="128" spans="3:3" ht="15" x14ac:dyDescent="0.2">
      <c r="C128" s="192" t="s">
        <v>620</v>
      </c>
    </row>
    <row r="130" spans="3:3" ht="15" x14ac:dyDescent="0.2">
      <c r="C130" s="192" t="s">
        <v>621</v>
      </c>
    </row>
    <row r="131" spans="3:3" ht="15" x14ac:dyDescent="0.2">
      <c r="C131" s="192" t="s">
        <v>622</v>
      </c>
    </row>
    <row r="132" spans="3:3" ht="15" x14ac:dyDescent="0.2">
      <c r="C132" s="192" t="s">
        <v>623</v>
      </c>
    </row>
    <row r="133" spans="3:3" ht="15" x14ac:dyDescent="0.2">
      <c r="C133" s="192" t="s">
        <v>624</v>
      </c>
    </row>
    <row r="134" spans="3:3" ht="15" x14ac:dyDescent="0.2">
      <c r="C134" s="192" t="s">
        <v>625</v>
      </c>
    </row>
    <row r="135" spans="3:3" ht="15" x14ac:dyDescent="0.2">
      <c r="C135" s="192" t="s">
        <v>626</v>
      </c>
    </row>
    <row r="137" spans="3:3" ht="15" x14ac:dyDescent="0.2">
      <c r="C137" s="192" t="s">
        <v>627</v>
      </c>
    </row>
    <row r="138" spans="3:3" ht="15" x14ac:dyDescent="0.2">
      <c r="C138" s="192" t="s">
        <v>615</v>
      </c>
    </row>
    <row r="139" spans="3:3" ht="15" x14ac:dyDescent="0.2">
      <c r="C139" s="192" t="s">
        <v>628</v>
      </c>
    </row>
    <row r="140" spans="3:3" ht="15" x14ac:dyDescent="0.2">
      <c r="C140" s="192" t="s">
        <v>629</v>
      </c>
    </row>
    <row r="141" spans="3:3" ht="15" x14ac:dyDescent="0.2">
      <c r="C141" s="192" t="s">
        <v>630</v>
      </c>
    </row>
    <row r="142" spans="3:3" ht="15" x14ac:dyDescent="0.2">
      <c r="C142" s="192" t="s">
        <v>631</v>
      </c>
    </row>
    <row r="143" spans="3:3" ht="15" x14ac:dyDescent="0.2">
      <c r="C143" s="192" t="s">
        <v>632</v>
      </c>
    </row>
    <row r="144" spans="3:3" ht="15" x14ac:dyDescent="0.2">
      <c r="C144" s="192" t="s">
        <v>633</v>
      </c>
    </row>
    <row r="146" spans="3:3" ht="15" x14ac:dyDescent="0.2">
      <c r="C146" s="192" t="s">
        <v>634</v>
      </c>
    </row>
    <row r="147" spans="3:3" ht="15" x14ac:dyDescent="0.2">
      <c r="C147" s="192" t="s">
        <v>635</v>
      </c>
    </row>
    <row r="149" spans="3:3" ht="15" x14ac:dyDescent="0.2">
      <c r="C149" s="192" t="s">
        <v>636</v>
      </c>
    </row>
    <row r="150" spans="3:3" ht="15" x14ac:dyDescent="0.2">
      <c r="C150" s="192" t="s">
        <v>637</v>
      </c>
    </row>
    <row r="151" spans="3:3" ht="15" x14ac:dyDescent="0.2">
      <c r="C151" s="192" t="s">
        <v>638</v>
      </c>
    </row>
    <row r="152" spans="3:3" ht="15" x14ac:dyDescent="0.2">
      <c r="C152" s="192" t="s">
        <v>639</v>
      </c>
    </row>
    <row r="153" spans="3:3" ht="15" x14ac:dyDescent="0.2">
      <c r="C153" s="192" t="s">
        <v>640</v>
      </c>
    </row>
    <row r="154" spans="3:3" ht="15" x14ac:dyDescent="0.2">
      <c r="C154" s="192" t="s">
        <v>641</v>
      </c>
    </row>
    <row r="155" spans="3:3" ht="15" x14ac:dyDescent="0.2">
      <c r="C155" s="192" t="s">
        <v>642</v>
      </c>
    </row>
    <row r="156" spans="3:3" ht="15" x14ac:dyDescent="0.2">
      <c r="C156" s="192" t="s">
        <v>643</v>
      </c>
    </row>
    <row r="157" spans="3:3" ht="15" x14ac:dyDescent="0.2">
      <c r="C157" s="192" t="s">
        <v>644</v>
      </c>
    </row>
    <row r="158" spans="3:3" ht="15" x14ac:dyDescent="0.2">
      <c r="C158" s="192" t="s">
        <v>645</v>
      </c>
    </row>
    <row r="159" spans="3:3" ht="15" x14ac:dyDescent="0.2">
      <c r="C159" s="192" t="s">
        <v>646</v>
      </c>
    </row>
    <row r="160" spans="3:3" ht="15" x14ac:dyDescent="0.2">
      <c r="C160" s="192" t="s">
        <v>647</v>
      </c>
    </row>
    <row r="162" spans="3:3" ht="15" x14ac:dyDescent="0.2">
      <c r="C162" s="192" t="s">
        <v>648</v>
      </c>
    </row>
    <row r="163" spans="3:3" ht="15" x14ac:dyDescent="0.2">
      <c r="C163" s="192" t="s">
        <v>649</v>
      </c>
    </row>
    <row r="164" spans="3:3" ht="15" x14ac:dyDescent="0.2">
      <c r="C164" s="192" t="s">
        <v>650</v>
      </c>
    </row>
    <row r="165" spans="3:3" ht="15" x14ac:dyDescent="0.2">
      <c r="C165" s="192" t="s">
        <v>651</v>
      </c>
    </row>
    <row r="166" spans="3:3" ht="15" x14ac:dyDescent="0.2">
      <c r="C166" s="192" t="s">
        <v>652</v>
      </c>
    </row>
    <row r="167" spans="3:3" ht="15" x14ac:dyDescent="0.2">
      <c r="C167" s="192" t="s">
        <v>653</v>
      </c>
    </row>
    <row r="168" spans="3:3" ht="15" x14ac:dyDescent="0.2">
      <c r="C168" s="192" t="s">
        <v>654</v>
      </c>
    </row>
    <row r="169" spans="3:3" ht="15" x14ac:dyDescent="0.2">
      <c r="C169" s="192" t="s">
        <v>646</v>
      </c>
    </row>
    <row r="170" spans="3:3" ht="15" x14ac:dyDescent="0.2">
      <c r="C170" s="192" t="s">
        <v>655</v>
      </c>
    </row>
    <row r="171" spans="3:3" ht="15" x14ac:dyDescent="0.2">
      <c r="C171" s="192" t="s">
        <v>656</v>
      </c>
    </row>
    <row r="172" spans="3:3" ht="15" x14ac:dyDescent="0.2">
      <c r="C172" s="192" t="s">
        <v>657</v>
      </c>
    </row>
    <row r="173" spans="3:3" ht="15" x14ac:dyDescent="0.2">
      <c r="C173" s="192" t="s">
        <v>1181</v>
      </c>
    </row>
    <row r="175" spans="3:3" ht="15" x14ac:dyDescent="0.2">
      <c r="C175" s="192" t="s">
        <v>659</v>
      </c>
    </row>
    <row r="176" spans="3:3" ht="15" x14ac:dyDescent="0.2">
      <c r="C176" s="192" t="s">
        <v>660</v>
      </c>
    </row>
    <row r="177" spans="3:3" ht="15" x14ac:dyDescent="0.2">
      <c r="C177" s="192" t="s">
        <v>661</v>
      </c>
    </row>
    <row r="178" spans="3:3" ht="15" x14ac:dyDescent="0.2">
      <c r="C178" s="192" t="s">
        <v>662</v>
      </c>
    </row>
    <row r="179" spans="3:3" ht="15" x14ac:dyDescent="0.2">
      <c r="C179" s="192" t="s">
        <v>663</v>
      </c>
    </row>
    <row r="180" spans="3:3" ht="15" x14ac:dyDescent="0.2">
      <c r="C180" s="192" t="s">
        <v>664</v>
      </c>
    </row>
    <row r="181" spans="3:3" ht="15" x14ac:dyDescent="0.2">
      <c r="C181" s="192" t="s">
        <v>665</v>
      </c>
    </row>
    <row r="183" spans="3:3" ht="15" x14ac:dyDescent="0.2">
      <c r="C183" s="192" t="s">
        <v>666</v>
      </c>
    </row>
    <row r="184" spans="3:3" ht="15" x14ac:dyDescent="0.2">
      <c r="C184" s="192" t="s">
        <v>667</v>
      </c>
    </row>
    <row r="185" spans="3:3" ht="15" x14ac:dyDescent="0.2">
      <c r="C185" s="192" t="s">
        <v>668</v>
      </c>
    </row>
    <row r="187" spans="3:3" ht="15" x14ac:dyDescent="0.2">
      <c r="C187" s="192" t="s">
        <v>669</v>
      </c>
    </row>
    <row r="188" spans="3:3" ht="15" x14ac:dyDescent="0.2">
      <c r="C188" s="192" t="s">
        <v>670</v>
      </c>
    </row>
    <row r="189" spans="3:3" ht="15" x14ac:dyDescent="0.2">
      <c r="C189" s="192" t="s">
        <v>671</v>
      </c>
    </row>
    <row r="190" spans="3:3" ht="15" x14ac:dyDescent="0.2">
      <c r="C190" s="192" t="s">
        <v>672</v>
      </c>
    </row>
    <row r="191" spans="3:3" ht="15" x14ac:dyDescent="0.2">
      <c r="C191" s="192" t="s">
        <v>673</v>
      </c>
    </row>
    <row r="192" spans="3:3" ht="15" x14ac:dyDescent="0.2">
      <c r="C192" s="192" t="s">
        <v>1156</v>
      </c>
    </row>
    <row r="193" spans="3:3" ht="15" x14ac:dyDescent="0.2">
      <c r="C193" s="192" t="s">
        <v>678</v>
      </c>
    </row>
    <row r="195" spans="3:3" ht="15" x14ac:dyDescent="0.2">
      <c r="C195" s="192" t="s">
        <v>679</v>
      </c>
    </row>
    <row r="196" spans="3:3" ht="15" x14ac:dyDescent="0.2">
      <c r="C196" s="192" t="s">
        <v>680</v>
      </c>
    </row>
    <row r="198" spans="3:3" ht="15" x14ac:dyDescent="0.2">
      <c r="C198" s="192" t="s">
        <v>681</v>
      </c>
    </row>
    <row r="199" spans="3:3" ht="15" x14ac:dyDescent="0.2">
      <c r="C199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708</v>
      </c>
    </row>
    <row r="232" spans="3:3" ht="15" x14ac:dyDescent="0.2">
      <c r="C232" s="192" t="s">
        <v>709</v>
      </c>
    </row>
    <row r="233" spans="3:3" ht="15" x14ac:dyDescent="0.2">
      <c r="C233" s="192" t="s">
        <v>710</v>
      </c>
    </row>
    <row r="234" spans="3:3" ht="15" x14ac:dyDescent="0.2">
      <c r="C234" s="192" t="s">
        <v>711</v>
      </c>
    </row>
    <row r="235" spans="3:3" ht="15" x14ac:dyDescent="0.2">
      <c r="C235" s="192" t="s">
        <v>712</v>
      </c>
    </row>
    <row r="236" spans="3:3" ht="15" x14ac:dyDescent="0.2">
      <c r="C236" s="192" t="s">
        <v>713</v>
      </c>
    </row>
    <row r="237" spans="3:3" ht="15" x14ac:dyDescent="0.2">
      <c r="C237" s="192" t="s">
        <v>714</v>
      </c>
    </row>
    <row r="238" spans="3:3" ht="15" x14ac:dyDescent="0.2">
      <c r="C238" s="192" t="s">
        <v>715</v>
      </c>
    </row>
    <row r="239" spans="3:3" ht="15" x14ac:dyDescent="0.2">
      <c r="C239" s="192" t="s">
        <v>716</v>
      </c>
    </row>
    <row r="240" spans="3:3" ht="15" x14ac:dyDescent="0.2">
      <c r="C240" s="192" t="s">
        <v>717</v>
      </c>
    </row>
    <row r="241" spans="3:3" ht="15" x14ac:dyDescent="0.2">
      <c r="C241" s="192" t="s">
        <v>718</v>
      </c>
    </row>
    <row r="242" spans="3:3" ht="15" x14ac:dyDescent="0.2">
      <c r="C242" s="192" t="s">
        <v>719</v>
      </c>
    </row>
    <row r="243" spans="3:3" ht="15" x14ac:dyDescent="0.2">
      <c r="C243" s="192" t="s">
        <v>720</v>
      </c>
    </row>
    <row r="244" spans="3:3" ht="15" x14ac:dyDescent="0.2">
      <c r="C244" s="192" t="s">
        <v>721</v>
      </c>
    </row>
    <row r="245" spans="3:3" ht="15" x14ac:dyDescent="0.2">
      <c r="C245" s="192" t="s">
        <v>722</v>
      </c>
    </row>
    <row r="246" spans="3:3" ht="15" x14ac:dyDescent="0.2">
      <c r="C246" s="192" t="s">
        <v>595</v>
      </c>
    </row>
    <row r="247" spans="3:3" ht="15" x14ac:dyDescent="0.2">
      <c r="C247" s="192" t="s">
        <v>723</v>
      </c>
    </row>
    <row r="248" spans="3:3" ht="15" x14ac:dyDescent="0.2">
      <c r="C248" s="192" t="s">
        <v>724</v>
      </c>
    </row>
    <row r="249" spans="3:3" ht="15" x14ac:dyDescent="0.2">
      <c r="C249" s="192" t="s">
        <v>725</v>
      </c>
    </row>
    <row r="250" spans="3:3" ht="15" x14ac:dyDescent="0.2">
      <c r="C250" s="192" t="s">
        <v>726</v>
      </c>
    </row>
    <row r="251" spans="3:3" ht="15" x14ac:dyDescent="0.2">
      <c r="C251" s="192" t="s">
        <v>712</v>
      </c>
    </row>
    <row r="252" spans="3:3" ht="15" x14ac:dyDescent="0.2">
      <c r="C252" s="192" t="s">
        <v>713</v>
      </c>
    </row>
    <row r="253" spans="3:3" ht="15" x14ac:dyDescent="0.2">
      <c r="C253" s="192" t="s">
        <v>714</v>
      </c>
    </row>
    <row r="254" spans="3:3" ht="15" x14ac:dyDescent="0.2">
      <c r="C254" s="192" t="s">
        <v>727</v>
      </c>
    </row>
    <row r="255" spans="3:3" ht="15" x14ac:dyDescent="0.2">
      <c r="C255" s="192" t="s">
        <v>728</v>
      </c>
    </row>
    <row r="256" spans="3:3" ht="15" x14ac:dyDescent="0.2">
      <c r="C256" s="192" t="s">
        <v>729</v>
      </c>
    </row>
    <row r="257" spans="3:3" ht="15" x14ac:dyDescent="0.2">
      <c r="C257" s="192" t="s">
        <v>730</v>
      </c>
    </row>
    <row r="258" spans="3:3" ht="15" x14ac:dyDescent="0.2">
      <c r="C258" s="192" t="s">
        <v>731</v>
      </c>
    </row>
    <row r="259" spans="3:3" ht="15" x14ac:dyDescent="0.2">
      <c r="C259" s="192" t="s">
        <v>732</v>
      </c>
    </row>
    <row r="260" spans="3:3" ht="15" x14ac:dyDescent="0.2">
      <c r="C260" s="192" t="s">
        <v>733</v>
      </c>
    </row>
    <row r="261" spans="3:3" ht="15" x14ac:dyDescent="0.2">
      <c r="C261" s="192" t="s">
        <v>595</v>
      </c>
    </row>
    <row r="262" spans="3:3" ht="15" x14ac:dyDescent="0.2">
      <c r="C262" s="192" t="s">
        <v>734</v>
      </c>
    </row>
    <row r="263" spans="3:3" ht="15" x14ac:dyDescent="0.2">
      <c r="C263" s="192" t="s">
        <v>735</v>
      </c>
    </row>
    <row r="264" spans="3:3" ht="15" x14ac:dyDescent="0.2">
      <c r="C264" s="192" t="s">
        <v>736</v>
      </c>
    </row>
    <row r="265" spans="3:3" ht="15" x14ac:dyDescent="0.2">
      <c r="C265" s="192" t="s">
        <v>712</v>
      </c>
    </row>
    <row r="266" spans="3:3" ht="15" x14ac:dyDescent="0.2">
      <c r="C266" s="192" t="s">
        <v>713</v>
      </c>
    </row>
    <row r="267" spans="3:3" ht="15" x14ac:dyDescent="0.2">
      <c r="C267" s="192" t="s">
        <v>714</v>
      </c>
    </row>
    <row r="268" spans="3:3" ht="15" x14ac:dyDescent="0.2">
      <c r="C268" s="192" t="s">
        <v>737</v>
      </c>
    </row>
    <row r="269" spans="3:3" ht="15" x14ac:dyDescent="0.2">
      <c r="C269" s="192" t="s">
        <v>738</v>
      </c>
    </row>
    <row r="270" spans="3:3" ht="15" x14ac:dyDescent="0.2">
      <c r="C270" s="192" t="s">
        <v>595</v>
      </c>
    </row>
    <row r="271" spans="3:3" ht="15" x14ac:dyDescent="0.2">
      <c r="C271" s="192" t="s">
        <v>739</v>
      </c>
    </row>
    <row r="272" spans="3:3" ht="15" x14ac:dyDescent="0.2">
      <c r="C272" s="192" t="s">
        <v>740</v>
      </c>
    </row>
    <row r="273" spans="3:3" ht="15" x14ac:dyDescent="0.2">
      <c r="C273" s="192" t="s">
        <v>712</v>
      </c>
    </row>
    <row r="274" spans="3:3" ht="15" x14ac:dyDescent="0.2">
      <c r="C274" s="192" t="s">
        <v>713</v>
      </c>
    </row>
    <row r="275" spans="3:3" ht="15" x14ac:dyDescent="0.2">
      <c r="C275" s="192" t="s">
        <v>714</v>
      </c>
    </row>
    <row r="276" spans="3:3" ht="15" x14ac:dyDescent="0.2">
      <c r="C276" s="192" t="s">
        <v>728</v>
      </c>
    </row>
    <row r="277" spans="3:3" ht="15" x14ac:dyDescent="0.2">
      <c r="C277" s="192" t="s">
        <v>729</v>
      </c>
    </row>
    <row r="278" spans="3:3" ht="15" x14ac:dyDescent="0.2">
      <c r="C278" s="192" t="s">
        <v>730</v>
      </c>
    </row>
    <row r="279" spans="3:3" ht="15" x14ac:dyDescent="0.2">
      <c r="C279" s="192" t="s">
        <v>731</v>
      </c>
    </row>
    <row r="280" spans="3:3" ht="15" x14ac:dyDescent="0.2">
      <c r="C280" s="192" t="s">
        <v>732</v>
      </c>
    </row>
    <row r="281" spans="3:3" ht="15" x14ac:dyDescent="0.2">
      <c r="C281" s="192" t="s">
        <v>741</v>
      </c>
    </row>
    <row r="282" spans="3:3" ht="15" x14ac:dyDescent="0.2">
      <c r="C282" s="192" t="s">
        <v>742</v>
      </c>
    </row>
    <row r="283" spans="3:3" ht="15" x14ac:dyDescent="0.2">
      <c r="C283" s="192" t="s">
        <v>743</v>
      </c>
    </row>
    <row r="284" spans="3:3" ht="15" x14ac:dyDescent="0.2">
      <c r="C284" s="192" t="s">
        <v>744</v>
      </c>
    </row>
    <row r="285" spans="3:3" ht="15" x14ac:dyDescent="0.2">
      <c r="C285" s="192" t="s">
        <v>745</v>
      </c>
    </row>
    <row r="286" spans="3:3" ht="15" x14ac:dyDescent="0.2">
      <c r="C286" s="192" t="s">
        <v>746</v>
      </c>
    </row>
    <row r="287" spans="3:3" ht="15" x14ac:dyDescent="0.2">
      <c r="C287" s="192" t="s">
        <v>747</v>
      </c>
    </row>
    <row r="288" spans="3:3" ht="15" x14ac:dyDescent="0.2">
      <c r="C288" s="192" t="s">
        <v>748</v>
      </c>
    </row>
    <row r="289" spans="3:3" ht="15" x14ac:dyDescent="0.2">
      <c r="C289" s="192" t="s">
        <v>749</v>
      </c>
    </row>
    <row r="290" spans="3:3" ht="15" x14ac:dyDescent="0.2">
      <c r="C290" s="192" t="s">
        <v>750</v>
      </c>
    </row>
    <row r="291" spans="3:3" ht="15" x14ac:dyDescent="0.2">
      <c r="C291" s="192" t="s">
        <v>751</v>
      </c>
    </row>
    <row r="292" spans="3:3" ht="15" x14ac:dyDescent="0.2">
      <c r="C292" s="192" t="s">
        <v>752</v>
      </c>
    </row>
    <row r="293" spans="3:3" ht="15" x14ac:dyDescent="0.2">
      <c r="C293" s="192" t="s">
        <v>753</v>
      </c>
    </row>
    <row r="294" spans="3:3" ht="15" x14ac:dyDescent="0.2">
      <c r="C294" s="192" t="s">
        <v>754</v>
      </c>
    </row>
    <row r="295" spans="3:3" ht="15" x14ac:dyDescent="0.2">
      <c r="C295" s="192" t="s">
        <v>755</v>
      </c>
    </row>
    <row r="296" spans="3:3" ht="15" x14ac:dyDescent="0.2">
      <c r="C296" s="192" t="s">
        <v>756</v>
      </c>
    </row>
    <row r="297" spans="3:3" ht="15" x14ac:dyDescent="0.2">
      <c r="C297" s="192" t="s">
        <v>757</v>
      </c>
    </row>
    <row r="298" spans="3:3" ht="15" x14ac:dyDescent="0.2">
      <c r="C298" s="192" t="s">
        <v>758</v>
      </c>
    </row>
    <row r="299" spans="3:3" ht="15" x14ac:dyDescent="0.2">
      <c r="C299" s="192" t="s">
        <v>750</v>
      </c>
    </row>
    <row r="300" spans="3:3" ht="15" x14ac:dyDescent="0.2">
      <c r="C300" s="192" t="s">
        <v>759</v>
      </c>
    </row>
    <row r="301" spans="3:3" ht="15" x14ac:dyDescent="0.2">
      <c r="C301" s="192" t="s">
        <v>760</v>
      </c>
    </row>
    <row r="302" spans="3:3" ht="15" x14ac:dyDescent="0.2">
      <c r="C302" s="192" t="s">
        <v>761</v>
      </c>
    </row>
    <row r="303" spans="3:3" ht="15" x14ac:dyDescent="0.2">
      <c r="C303" s="192" t="s">
        <v>762</v>
      </c>
    </row>
    <row r="304" spans="3:3" ht="15" x14ac:dyDescent="0.2">
      <c r="C304" s="192" t="s">
        <v>595</v>
      </c>
    </row>
    <row r="305" spans="3:3" ht="15" x14ac:dyDescent="0.2">
      <c r="C305" s="192" t="s">
        <v>763</v>
      </c>
    </row>
    <row r="306" spans="3:3" ht="15" x14ac:dyDescent="0.2">
      <c r="C306" s="192" t="s">
        <v>764</v>
      </c>
    </row>
    <row r="307" spans="3:3" ht="15" x14ac:dyDescent="0.2">
      <c r="C307" s="192" t="s">
        <v>765</v>
      </c>
    </row>
    <row r="308" spans="3:3" ht="15" x14ac:dyDescent="0.2">
      <c r="C308" s="192" t="s">
        <v>750</v>
      </c>
    </row>
    <row r="309" spans="3:3" ht="15" x14ac:dyDescent="0.2">
      <c r="C309" s="192" t="s">
        <v>766</v>
      </c>
    </row>
    <row r="310" spans="3:3" ht="15" x14ac:dyDescent="0.2">
      <c r="C310" s="192" t="s">
        <v>767</v>
      </c>
    </row>
    <row r="311" spans="3:3" ht="15" x14ac:dyDescent="0.2">
      <c r="C311" s="192" t="s">
        <v>768</v>
      </c>
    </row>
    <row r="312" spans="3:3" ht="15" x14ac:dyDescent="0.2">
      <c r="C312" s="192" t="s">
        <v>769</v>
      </c>
    </row>
    <row r="313" spans="3:3" ht="15" x14ac:dyDescent="0.2">
      <c r="C313" s="192" t="s">
        <v>770</v>
      </c>
    </row>
    <row r="314" spans="3:3" ht="15" x14ac:dyDescent="0.2">
      <c r="C314" s="192" t="s">
        <v>771</v>
      </c>
    </row>
    <row r="315" spans="3:3" ht="15" x14ac:dyDescent="0.2">
      <c r="C315" s="192" t="s">
        <v>772</v>
      </c>
    </row>
    <row r="316" spans="3:3" ht="15" x14ac:dyDescent="0.2">
      <c r="C316" s="192" t="s">
        <v>773</v>
      </c>
    </row>
    <row r="317" spans="3:3" ht="15" x14ac:dyDescent="0.2">
      <c r="C317" s="192" t="s">
        <v>774</v>
      </c>
    </row>
    <row r="319" spans="3:3" ht="15" x14ac:dyDescent="0.2">
      <c r="C319" s="192" t="s">
        <v>775</v>
      </c>
    </row>
    <row r="320" spans="3:3" ht="15" x14ac:dyDescent="0.2">
      <c r="C320" s="192" t="s">
        <v>776</v>
      </c>
    </row>
    <row r="321" spans="3:3" ht="15" x14ac:dyDescent="0.2">
      <c r="C321" s="192" t="s">
        <v>777</v>
      </c>
    </row>
    <row r="322" spans="3:3" ht="15" x14ac:dyDescent="0.2">
      <c r="C322" s="192" t="s">
        <v>778</v>
      </c>
    </row>
    <row r="323" spans="3:3" ht="15" x14ac:dyDescent="0.2">
      <c r="C323" s="192" t="s">
        <v>779</v>
      </c>
    </row>
    <row r="324" spans="3:3" ht="15" x14ac:dyDescent="0.2">
      <c r="C324" s="192" t="s">
        <v>780</v>
      </c>
    </row>
    <row r="325" spans="3:3" ht="15" x14ac:dyDescent="0.2">
      <c r="C325" s="192" t="s">
        <v>781</v>
      </c>
    </row>
    <row r="326" spans="3:3" ht="15" x14ac:dyDescent="0.2">
      <c r="C326" s="192" t="s">
        <v>782</v>
      </c>
    </row>
    <row r="327" spans="3:3" ht="15" x14ac:dyDescent="0.2">
      <c r="C327" s="192" t="s">
        <v>650</v>
      </c>
    </row>
    <row r="328" spans="3:3" ht="15" x14ac:dyDescent="0.2">
      <c r="C328" s="192" t="s">
        <v>651</v>
      </c>
    </row>
    <row r="329" spans="3:3" ht="15" x14ac:dyDescent="0.2">
      <c r="C329" s="192" t="s">
        <v>783</v>
      </c>
    </row>
    <row r="330" spans="3:3" ht="15" x14ac:dyDescent="0.2">
      <c r="C330" s="192" t="s">
        <v>784</v>
      </c>
    </row>
    <row r="331" spans="3:3" ht="15" x14ac:dyDescent="0.2">
      <c r="C331" s="192" t="s">
        <v>785</v>
      </c>
    </row>
    <row r="332" spans="3:3" ht="15" x14ac:dyDescent="0.2">
      <c r="C332" s="192" t="s">
        <v>786</v>
      </c>
    </row>
    <row r="333" spans="3:3" ht="15" x14ac:dyDescent="0.2">
      <c r="C333" s="192" t="s">
        <v>787</v>
      </c>
    </row>
    <row r="334" spans="3:3" ht="15" x14ac:dyDescent="0.2">
      <c r="C334" s="192" t="s">
        <v>788</v>
      </c>
    </row>
    <row r="335" spans="3:3" ht="15" x14ac:dyDescent="0.2">
      <c r="C335" s="192" t="s">
        <v>789</v>
      </c>
    </row>
    <row r="336" spans="3:3" ht="15" x14ac:dyDescent="0.2">
      <c r="C336" s="192" t="s">
        <v>790</v>
      </c>
    </row>
    <row r="337" spans="3:3" ht="15" x14ac:dyDescent="0.2">
      <c r="C337" s="192" t="s">
        <v>791</v>
      </c>
    </row>
    <row r="338" spans="3:3" ht="15" x14ac:dyDescent="0.2">
      <c r="C338" s="192" t="s">
        <v>792</v>
      </c>
    </row>
    <row r="339" spans="3:3" ht="15" x14ac:dyDescent="0.2">
      <c r="C339" s="192" t="s">
        <v>793</v>
      </c>
    </row>
    <row r="340" spans="3:3" ht="15" x14ac:dyDescent="0.2">
      <c r="C340" s="192" t="s">
        <v>794</v>
      </c>
    </row>
    <row r="341" spans="3:3" ht="15" x14ac:dyDescent="0.2">
      <c r="C341" s="192" t="s">
        <v>624</v>
      </c>
    </row>
    <row r="342" spans="3:3" ht="15" x14ac:dyDescent="0.2">
      <c r="C342" s="192" t="s">
        <v>795</v>
      </c>
    </row>
    <row r="343" spans="3:3" ht="15" x14ac:dyDescent="0.2">
      <c r="C343" s="192" t="s">
        <v>796</v>
      </c>
    </row>
    <row r="344" spans="3:3" ht="15" x14ac:dyDescent="0.2">
      <c r="C344" s="192" t="s">
        <v>797</v>
      </c>
    </row>
    <row r="345" spans="3:3" ht="15" x14ac:dyDescent="0.2">
      <c r="C345" s="192" t="s">
        <v>798</v>
      </c>
    </row>
    <row r="346" spans="3:3" ht="15" x14ac:dyDescent="0.2">
      <c r="C346" s="192" t="s">
        <v>799</v>
      </c>
    </row>
    <row r="347" spans="3:3" ht="15" x14ac:dyDescent="0.2">
      <c r="C347" s="192" t="s">
        <v>800</v>
      </c>
    </row>
    <row r="348" spans="3:3" ht="15" x14ac:dyDescent="0.2">
      <c r="C348" s="192" t="s">
        <v>801</v>
      </c>
    </row>
    <row r="349" spans="3:3" ht="15" x14ac:dyDescent="0.2">
      <c r="C349" s="192" t="s">
        <v>802</v>
      </c>
    </row>
    <row r="350" spans="3:3" ht="15" x14ac:dyDescent="0.2">
      <c r="C350" s="192" t="s">
        <v>803</v>
      </c>
    </row>
    <row r="351" spans="3:3" ht="15" x14ac:dyDescent="0.2">
      <c r="C351" s="192" t="s">
        <v>804</v>
      </c>
    </row>
    <row r="352" spans="3:3" ht="15" x14ac:dyDescent="0.2">
      <c r="C352" s="192" t="s">
        <v>805</v>
      </c>
    </row>
    <row r="353" spans="3:3" ht="15" x14ac:dyDescent="0.2">
      <c r="C353" s="192" t="s">
        <v>806</v>
      </c>
    </row>
    <row r="354" spans="3:3" ht="15" x14ac:dyDescent="0.2">
      <c r="C354" s="192" t="s">
        <v>807</v>
      </c>
    </row>
    <row r="355" spans="3:3" ht="15" x14ac:dyDescent="0.2">
      <c r="C355" s="192" t="s">
        <v>801</v>
      </c>
    </row>
    <row r="356" spans="3:3" ht="15" x14ac:dyDescent="0.2">
      <c r="C356" s="192" t="s">
        <v>802</v>
      </c>
    </row>
    <row r="357" spans="3:3" ht="15" x14ac:dyDescent="0.2">
      <c r="C357" s="192" t="s">
        <v>803</v>
      </c>
    </row>
    <row r="358" spans="3:3" ht="15" x14ac:dyDescent="0.2">
      <c r="C358" s="192" t="s">
        <v>804</v>
      </c>
    </row>
    <row r="359" spans="3:3" ht="15" x14ac:dyDescent="0.2">
      <c r="C359" s="192" t="s">
        <v>805</v>
      </c>
    </row>
    <row r="360" spans="3:3" ht="15" x14ac:dyDescent="0.2">
      <c r="C360" s="192" t="s">
        <v>808</v>
      </c>
    </row>
    <row r="361" spans="3:3" ht="15" x14ac:dyDescent="0.2">
      <c r="C361" s="192" t="s">
        <v>809</v>
      </c>
    </row>
    <row r="363" spans="3:3" ht="15" x14ac:dyDescent="0.2">
      <c r="C363" s="192" t="s">
        <v>810</v>
      </c>
    </row>
    <row r="364" spans="3:3" ht="15" x14ac:dyDescent="0.2">
      <c r="C364" s="192" t="s">
        <v>811</v>
      </c>
    </row>
    <row r="365" spans="3:3" ht="15" x14ac:dyDescent="0.2">
      <c r="C365" s="192" t="s">
        <v>812</v>
      </c>
    </row>
    <row r="367" spans="3:3" ht="15" x14ac:dyDescent="0.2">
      <c r="C367" s="192" t="s">
        <v>813</v>
      </c>
    </row>
    <row r="368" spans="3:3" ht="15" x14ac:dyDescent="0.2">
      <c r="C368" s="192" t="s">
        <v>814</v>
      </c>
    </row>
    <row r="369" spans="3:3" ht="15" x14ac:dyDescent="0.2">
      <c r="C369" s="192" t="s">
        <v>815</v>
      </c>
    </row>
    <row r="370" spans="3:3" ht="15" x14ac:dyDescent="0.2">
      <c r="C370" s="192" t="s">
        <v>816</v>
      </c>
    </row>
    <row r="371" spans="3:3" ht="15" x14ac:dyDescent="0.2">
      <c r="C371" s="192" t="s">
        <v>817</v>
      </c>
    </row>
    <row r="372" spans="3:3" ht="15" x14ac:dyDescent="0.2">
      <c r="C372" s="192" t="s">
        <v>818</v>
      </c>
    </row>
    <row r="373" spans="3:3" ht="15" x14ac:dyDescent="0.2">
      <c r="C373" s="192" t="s">
        <v>819</v>
      </c>
    </row>
    <row r="375" spans="3:3" ht="15" x14ac:dyDescent="0.2">
      <c r="C375" s="192" t="s">
        <v>820</v>
      </c>
    </row>
    <row r="376" spans="3:3" ht="15" x14ac:dyDescent="0.2">
      <c r="C376" s="192" t="s">
        <v>821</v>
      </c>
    </row>
    <row r="377" spans="3:3" ht="15" x14ac:dyDescent="0.2">
      <c r="C377" s="192" t="s">
        <v>822</v>
      </c>
    </row>
    <row r="378" spans="3:3" ht="15" x14ac:dyDescent="0.2">
      <c r="C378" s="192" t="s">
        <v>823</v>
      </c>
    </row>
    <row r="379" spans="3:3" ht="15" x14ac:dyDescent="0.2">
      <c r="C379" s="192" t="s">
        <v>824</v>
      </c>
    </row>
    <row r="380" spans="3:3" ht="15" x14ac:dyDescent="0.2">
      <c r="C380" s="192" t="s">
        <v>825</v>
      </c>
    </row>
    <row r="381" spans="3:3" ht="15" x14ac:dyDescent="0.2">
      <c r="C381" s="192" t="s">
        <v>826</v>
      </c>
    </row>
    <row r="382" spans="3:3" ht="15" x14ac:dyDescent="0.2">
      <c r="C382" s="192" t="s">
        <v>822</v>
      </c>
    </row>
    <row r="383" spans="3:3" ht="15" x14ac:dyDescent="0.2">
      <c r="C383" s="192" t="s">
        <v>823</v>
      </c>
    </row>
    <row r="384" spans="3:3" ht="15" x14ac:dyDescent="0.2">
      <c r="C384" s="192" t="s">
        <v>824</v>
      </c>
    </row>
    <row r="385" spans="3:3" ht="15" x14ac:dyDescent="0.2">
      <c r="C385" s="192" t="s">
        <v>827</v>
      </c>
    </row>
    <row r="386" spans="3:3" ht="15" x14ac:dyDescent="0.2">
      <c r="C386" s="192" t="s">
        <v>814</v>
      </c>
    </row>
    <row r="387" spans="3:3" ht="15" x14ac:dyDescent="0.2">
      <c r="C387" s="192" t="s">
        <v>828</v>
      </c>
    </row>
    <row r="388" spans="3:3" ht="15" x14ac:dyDescent="0.2">
      <c r="C388" s="192" t="s">
        <v>829</v>
      </c>
    </row>
    <row r="389" spans="3:3" ht="15" x14ac:dyDescent="0.2">
      <c r="C389" s="192" t="s">
        <v>817</v>
      </c>
    </row>
    <row r="390" spans="3:3" ht="15" x14ac:dyDescent="0.2">
      <c r="C390" s="192" t="s">
        <v>830</v>
      </c>
    </row>
    <row r="391" spans="3:3" ht="15" x14ac:dyDescent="0.2">
      <c r="C391" s="192" t="s">
        <v>1064</v>
      </c>
    </row>
    <row r="392" spans="3:3" ht="15" x14ac:dyDescent="0.2">
      <c r="C392" s="192"/>
    </row>
    <row r="393" spans="3:3" ht="15" x14ac:dyDescent="0.2">
      <c r="C393" s="192" t="s">
        <v>832</v>
      </c>
    </row>
    <row r="394" spans="3:3" ht="15" x14ac:dyDescent="0.2">
      <c r="C394" s="192" t="s">
        <v>833</v>
      </c>
    </row>
    <row r="395" spans="3:3" ht="15" x14ac:dyDescent="0.2">
      <c r="C395" s="192" t="s">
        <v>834</v>
      </c>
    </row>
    <row r="396" spans="3:3" ht="15" x14ac:dyDescent="0.2">
      <c r="C396" s="192" t="s">
        <v>835</v>
      </c>
    </row>
    <row r="397" spans="3:3" ht="15" x14ac:dyDescent="0.2">
      <c r="C397" s="192" t="s">
        <v>836</v>
      </c>
    </row>
    <row r="399" spans="3:3" ht="15" x14ac:dyDescent="0.2">
      <c r="C399" s="192" t="s">
        <v>837</v>
      </c>
    </row>
    <row r="400" spans="3:3" ht="15" x14ac:dyDescent="0.2">
      <c r="C400" s="192" t="s">
        <v>838</v>
      </c>
    </row>
    <row r="401" spans="3:3" ht="15" x14ac:dyDescent="0.2">
      <c r="C401" s="192" t="s">
        <v>640</v>
      </c>
    </row>
    <row r="402" spans="3:3" ht="15" x14ac:dyDescent="0.2">
      <c r="C402" s="192" t="s">
        <v>839</v>
      </c>
    </row>
    <row r="403" spans="3:3" ht="15" x14ac:dyDescent="0.2">
      <c r="C403" s="192" t="s">
        <v>840</v>
      </c>
    </row>
    <row r="404" spans="3:3" ht="15" x14ac:dyDescent="0.2">
      <c r="C404" s="192" t="s">
        <v>841</v>
      </c>
    </row>
    <row r="405" spans="3:3" ht="15" x14ac:dyDescent="0.2">
      <c r="C405" s="192" t="s">
        <v>842</v>
      </c>
    </row>
    <row r="406" spans="3:3" ht="15" x14ac:dyDescent="0.2">
      <c r="C406" s="192" t="s">
        <v>843</v>
      </c>
    </row>
    <row r="407" spans="3:3" ht="15" x14ac:dyDescent="0.2">
      <c r="C407" s="192" t="s">
        <v>844</v>
      </c>
    </row>
    <row r="408" spans="3:3" ht="15" x14ac:dyDescent="0.2">
      <c r="C408" s="192" t="s">
        <v>845</v>
      </c>
    </row>
    <row r="409" spans="3:3" ht="15" x14ac:dyDescent="0.2">
      <c r="C409" s="192" t="s">
        <v>846</v>
      </c>
    </row>
    <row r="410" spans="3:3" ht="15" x14ac:dyDescent="0.2">
      <c r="C410" s="192" t="s">
        <v>847</v>
      </c>
    </row>
    <row r="411" spans="3:3" ht="15" x14ac:dyDescent="0.2">
      <c r="C411" s="192" t="s">
        <v>848</v>
      </c>
    </row>
    <row r="412" spans="3:3" ht="15" x14ac:dyDescent="0.2">
      <c r="C412" s="192" t="s">
        <v>842</v>
      </c>
    </row>
    <row r="413" spans="3:3" ht="15" x14ac:dyDescent="0.2">
      <c r="C413" s="192" t="s">
        <v>843</v>
      </c>
    </row>
    <row r="414" spans="3:3" ht="15" x14ac:dyDescent="0.2">
      <c r="C414" s="192" t="s">
        <v>844</v>
      </c>
    </row>
    <row r="415" spans="3:3" ht="15" x14ac:dyDescent="0.2">
      <c r="C415" s="192" t="s">
        <v>845</v>
      </c>
    </row>
    <row r="416" spans="3:3" ht="15" x14ac:dyDescent="0.2">
      <c r="C416" s="192" t="s">
        <v>846</v>
      </c>
    </row>
    <row r="417" spans="2:3" ht="15" x14ac:dyDescent="0.2">
      <c r="C417" s="192" t="s">
        <v>849</v>
      </c>
    </row>
    <row r="418" spans="2:3" ht="15" x14ac:dyDescent="0.2">
      <c r="C418" s="192" t="s">
        <v>850</v>
      </c>
    </row>
    <row r="419" spans="2:3" ht="15" x14ac:dyDescent="0.2">
      <c r="C419" s="192" t="s">
        <v>851</v>
      </c>
    </row>
    <row r="421" spans="2:3" ht="15" x14ac:dyDescent="0.2">
      <c r="C421" s="192" t="s">
        <v>1176</v>
      </c>
    </row>
    <row r="422" spans="2:3" ht="15" x14ac:dyDescent="0.2">
      <c r="C422" s="192" t="s">
        <v>853</v>
      </c>
    </row>
    <row r="423" spans="2:3" ht="15" x14ac:dyDescent="0.2">
      <c r="C423" s="192" t="s">
        <v>854</v>
      </c>
    </row>
    <row r="425" spans="2:3" ht="15" x14ac:dyDescent="0.2">
      <c r="C425" s="192" t="s">
        <v>601</v>
      </c>
    </row>
    <row r="426" spans="2:3" ht="15" x14ac:dyDescent="0.2">
      <c r="B426" s="196"/>
      <c r="C426" s="192" t="str">
        <f>_xlfn.CONCAT("vcm1_static=model['",$A$19,"']")</f>
        <v>vcm1_static=model['P7000048060_/_'DU700154300_Rev._C']</v>
      </c>
    </row>
    <row r="428" spans="2:3" ht="15" x14ac:dyDescent="0.2">
      <c r="C428" s="192" t="s">
        <v>602</v>
      </c>
    </row>
    <row r="429" spans="2:3" ht="15" x14ac:dyDescent="0.2">
      <c r="C429" s="192" t="s">
        <v>1271</v>
      </c>
    </row>
    <row r="430" spans="2:3" ht="15" x14ac:dyDescent="0.2">
      <c r="C430" s="192" t="s">
        <v>1272</v>
      </c>
    </row>
    <row r="432" spans="2:3" ht="15" x14ac:dyDescent="0.2">
      <c r="C432" s="192" t="s">
        <v>1188</v>
      </c>
    </row>
    <row r="433" spans="3:3" ht="15" x14ac:dyDescent="0.2">
      <c r="C433" s="192" t="s">
        <v>1189</v>
      </c>
    </row>
    <row r="434" spans="3:3" ht="15" x14ac:dyDescent="0.2">
      <c r="C434" s="192" t="s">
        <v>1273</v>
      </c>
    </row>
    <row r="435" spans="3:3" ht="15" x14ac:dyDescent="0.2">
      <c r="C435" s="192" t="s">
        <v>1191</v>
      </c>
    </row>
    <row r="436" spans="3:3" ht="15" x14ac:dyDescent="0.2">
      <c r="C436" s="192" t="s">
        <v>1192</v>
      </c>
    </row>
    <row r="437" spans="3:3" ht="15" x14ac:dyDescent="0.2">
      <c r="C437" s="192" t="s">
        <v>1193</v>
      </c>
    </row>
    <row r="438" spans="3:3" ht="15" x14ac:dyDescent="0.2">
      <c r="C438" s="192" t="s">
        <v>1194</v>
      </c>
    </row>
    <row r="439" spans="3:3" ht="15" x14ac:dyDescent="0.2">
      <c r="C439" s="192" t="s">
        <v>1195</v>
      </c>
    </row>
    <row r="440" spans="3:3" ht="15" x14ac:dyDescent="0.2">
      <c r="C440" s="192" t="s">
        <v>1196</v>
      </c>
    </row>
    <row r="441" spans="3:3" ht="15" x14ac:dyDescent="0.2">
      <c r="C441" s="192" t="s">
        <v>1197</v>
      </c>
    </row>
    <row r="442" spans="3:3" ht="15" x14ac:dyDescent="0.2">
      <c r="C442" s="192" t="s">
        <v>1198</v>
      </c>
    </row>
    <row r="443" spans="3:3" ht="15" x14ac:dyDescent="0.2">
      <c r="C443" s="192" t="s">
        <v>1199</v>
      </c>
    </row>
    <row r="444" spans="3:3" ht="15" x14ac:dyDescent="0.2">
      <c r="C444" s="192" t="s">
        <v>1200</v>
      </c>
    </row>
    <row r="445" spans="3:3" ht="15" x14ac:dyDescent="0.2">
      <c r="C445" s="192" t="s">
        <v>1201</v>
      </c>
    </row>
    <row r="446" spans="3:3" ht="15" x14ac:dyDescent="0.2">
      <c r="C446" s="192" t="s">
        <v>1202</v>
      </c>
    </row>
    <row r="447" spans="3:3" ht="15" x14ac:dyDescent="0.2">
      <c r="C447" s="192" t="s">
        <v>1203</v>
      </c>
    </row>
    <row r="448" spans="3:3" ht="15" x14ac:dyDescent="0.2">
      <c r="C448" s="192" t="s">
        <v>636</v>
      </c>
    </row>
    <row r="449" spans="3:3" ht="15" x14ac:dyDescent="0.2">
      <c r="C449" s="192" t="s">
        <v>1204</v>
      </c>
    </row>
    <row r="450" spans="3:3" ht="15" x14ac:dyDescent="0.2">
      <c r="C450" s="192" t="s">
        <v>1205</v>
      </c>
    </row>
    <row r="451" spans="3:3" ht="15" x14ac:dyDescent="0.2">
      <c r="C451" s="192" t="s">
        <v>1206</v>
      </c>
    </row>
    <row r="452" spans="3:3" ht="15" x14ac:dyDescent="0.2">
      <c r="C452" s="192" t="s">
        <v>1207</v>
      </c>
    </row>
    <row r="453" spans="3:3" ht="15" x14ac:dyDescent="0.2">
      <c r="C453" s="192" t="s">
        <v>1208</v>
      </c>
    </row>
    <row r="454" spans="3:3" ht="15" x14ac:dyDescent="0.2">
      <c r="C454" s="192" t="s">
        <v>1209</v>
      </c>
    </row>
    <row r="455" spans="3:3" ht="15" x14ac:dyDescent="0.2">
      <c r="C455" s="192" t="s">
        <v>1210</v>
      </c>
    </row>
    <row r="456" spans="3:3" ht="15" x14ac:dyDescent="0.2">
      <c r="C456" s="192" t="s">
        <v>1211</v>
      </c>
    </row>
    <row r="457" spans="3:3" ht="15" x14ac:dyDescent="0.2">
      <c r="C457" s="192" t="s">
        <v>1212</v>
      </c>
    </row>
    <row r="458" spans="3:3" ht="15" x14ac:dyDescent="0.2">
      <c r="C458" s="192" t="s">
        <v>646</v>
      </c>
    </row>
    <row r="459" spans="3:3" ht="15" x14ac:dyDescent="0.2">
      <c r="C459" s="192" t="s">
        <v>1213</v>
      </c>
    </row>
    <row r="460" spans="3:3" ht="15" x14ac:dyDescent="0.2">
      <c r="C460" s="192" t="s">
        <v>648</v>
      </c>
    </row>
    <row r="461" spans="3:3" ht="15" x14ac:dyDescent="0.2">
      <c r="C461" s="192" t="s">
        <v>1214</v>
      </c>
    </row>
    <row r="462" spans="3:3" ht="15" x14ac:dyDescent="0.2">
      <c r="C462" s="192" t="s">
        <v>1199</v>
      </c>
    </row>
    <row r="463" spans="3:3" ht="15" x14ac:dyDescent="0.2">
      <c r="C463" s="192" t="s">
        <v>1200</v>
      </c>
    </row>
    <row r="464" spans="3:3" ht="15" x14ac:dyDescent="0.2">
      <c r="C464" s="192" t="s">
        <v>1215</v>
      </c>
    </row>
    <row r="465" spans="3:3" ht="15" x14ac:dyDescent="0.2">
      <c r="C465" s="192" t="s">
        <v>1216</v>
      </c>
    </row>
    <row r="466" spans="3:3" ht="15" x14ac:dyDescent="0.2">
      <c r="C466" s="192" t="s">
        <v>1217</v>
      </c>
    </row>
    <row r="467" spans="3:3" ht="15" x14ac:dyDescent="0.2">
      <c r="C467" s="192" t="s">
        <v>646</v>
      </c>
    </row>
    <row r="468" spans="3:3" ht="15" x14ac:dyDescent="0.2">
      <c r="C468" s="192" t="s">
        <v>1218</v>
      </c>
    </row>
    <row r="469" spans="3:3" ht="15" x14ac:dyDescent="0.2">
      <c r="C469" s="192" t="s">
        <v>1219</v>
      </c>
    </row>
    <row r="470" spans="3:3" ht="15" x14ac:dyDescent="0.2">
      <c r="C470" s="192" t="s">
        <v>1220</v>
      </c>
    </row>
    <row r="471" spans="3:3" ht="15" x14ac:dyDescent="0.2">
      <c r="C471" s="192" t="s">
        <v>1221</v>
      </c>
    </row>
    <row r="473" spans="3:3" ht="15" x14ac:dyDescent="0.2">
      <c r="C473" s="192" t="s">
        <v>872</v>
      </c>
    </row>
    <row r="475" spans="3:3" ht="15" x14ac:dyDescent="0.2">
      <c r="C475" s="192" t="s">
        <v>873</v>
      </c>
    </row>
    <row r="476" spans="3:3" ht="15" x14ac:dyDescent="0.2">
      <c r="C476" s="192" t="s">
        <v>1222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1223</v>
      </c>
    </row>
    <row r="484" spans="3:3" ht="15" x14ac:dyDescent="0.2">
      <c r="C484" s="192" t="s">
        <v>1224</v>
      </c>
    </row>
    <row r="485" spans="3:3" ht="15" x14ac:dyDescent="0.2">
      <c r="C485" s="192" t="s">
        <v>1225</v>
      </c>
    </row>
    <row r="486" spans="3:3" ht="15" x14ac:dyDescent="0.2">
      <c r="C486" s="192" t="s">
        <v>1226</v>
      </c>
    </row>
    <row r="487" spans="3:3" ht="15" x14ac:dyDescent="0.2">
      <c r="C487" s="192" t="s">
        <v>1227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1228</v>
      </c>
    </row>
    <row r="493" spans="3:3" ht="15" x14ac:dyDescent="0.2">
      <c r="C493" s="192" t="s">
        <v>1229</v>
      </c>
    </row>
    <row r="495" spans="3:3" ht="15" x14ac:dyDescent="0.2">
      <c r="C495" s="192" t="s">
        <v>1230</v>
      </c>
    </row>
    <row r="497" spans="3:3" ht="15" x14ac:dyDescent="0.2">
      <c r="C497" s="192" t="s">
        <v>1231</v>
      </c>
    </row>
    <row r="498" spans="3:3" ht="15" x14ac:dyDescent="0.2">
      <c r="C498" s="192" t="s">
        <v>1232</v>
      </c>
    </row>
    <row r="499" spans="3:3" ht="15" x14ac:dyDescent="0.2">
      <c r="C499" s="192" t="s">
        <v>1233</v>
      </c>
    </row>
    <row r="500" spans="3:3" ht="15" x14ac:dyDescent="0.2">
      <c r="C500" s="192" t="s">
        <v>1234</v>
      </c>
    </row>
    <row r="501" spans="3:3" ht="15" x14ac:dyDescent="0.2">
      <c r="C501" s="192" t="s">
        <v>1235</v>
      </c>
    </row>
    <row r="502" spans="3:3" ht="15" x14ac:dyDescent="0.2">
      <c r="C502" s="192" t="s">
        <v>1236</v>
      </c>
    </row>
    <row r="504" spans="3:3" ht="15" x14ac:dyDescent="0.2">
      <c r="C504" s="192" t="s">
        <v>1237</v>
      </c>
    </row>
    <row r="505" spans="3:3" ht="15" x14ac:dyDescent="0.2">
      <c r="C505" s="192" t="s">
        <v>1238</v>
      </c>
    </row>
    <row r="506" spans="3:3" ht="15" x14ac:dyDescent="0.2">
      <c r="C506" s="192" t="s">
        <v>1239</v>
      </c>
    </row>
    <row r="507" spans="3:3" ht="15" x14ac:dyDescent="0.2">
      <c r="C507" s="192" t="s">
        <v>1240</v>
      </c>
    </row>
    <row r="508" spans="3:3" ht="15" x14ac:dyDescent="0.2">
      <c r="C508" s="192" t="s">
        <v>1241</v>
      </c>
    </row>
    <row r="510" spans="3:3" ht="15" x14ac:dyDescent="0.2">
      <c r="C510" s="192" t="s">
        <v>1242</v>
      </c>
    </row>
    <row r="511" spans="3:3" ht="15" x14ac:dyDescent="0.2">
      <c r="C511" s="192" t="s">
        <v>911</v>
      </c>
    </row>
    <row r="512" spans="3:3" ht="15" x14ac:dyDescent="0.2">
      <c r="C512" s="192" t="s">
        <v>912</v>
      </c>
    </row>
    <row r="513" spans="3:3" ht="15" x14ac:dyDescent="0.2">
      <c r="C513" s="192" t="s">
        <v>1243</v>
      </c>
    </row>
    <row r="514" spans="3:3" ht="15" x14ac:dyDescent="0.2">
      <c r="C514" s="192" t="s">
        <v>914</v>
      </c>
    </row>
    <row r="516" spans="3:3" ht="15" x14ac:dyDescent="0.2">
      <c r="C516" s="192" t="s">
        <v>1244</v>
      </c>
    </row>
    <row r="517" spans="3:3" ht="15" x14ac:dyDescent="0.2">
      <c r="C517" s="192" t="s">
        <v>1245</v>
      </c>
    </row>
    <row r="518" spans="3:3" ht="15" x14ac:dyDescent="0.2">
      <c r="C518" s="192" t="s">
        <v>1199</v>
      </c>
    </row>
    <row r="519" spans="3:3" ht="15" x14ac:dyDescent="0.2">
      <c r="C519" s="192" t="s">
        <v>1200</v>
      </c>
    </row>
    <row r="520" spans="3:3" ht="15" x14ac:dyDescent="0.2">
      <c r="C520" s="192" t="s">
        <v>1246</v>
      </c>
    </row>
    <row r="521" spans="3:3" ht="15" x14ac:dyDescent="0.2">
      <c r="C521" s="192" t="s">
        <v>1247</v>
      </c>
    </row>
    <row r="522" spans="3:3" ht="15" x14ac:dyDescent="0.2">
      <c r="C522" s="192" t="s">
        <v>1248</v>
      </c>
    </row>
    <row r="524" spans="3:3" ht="15" x14ac:dyDescent="0.2">
      <c r="C524" s="192" t="s">
        <v>1274</v>
      </c>
    </row>
    <row r="525" spans="3:3" ht="15" x14ac:dyDescent="0.2">
      <c r="C525" s="192" t="s">
        <v>1200</v>
      </c>
    </row>
    <row r="527" spans="3:3" ht="15" x14ac:dyDescent="0.2">
      <c r="C527" s="192" t="s">
        <v>1250</v>
      </c>
    </row>
    <row r="528" spans="3:3" ht="15" x14ac:dyDescent="0.2">
      <c r="C528" s="192" t="s">
        <v>1251</v>
      </c>
    </row>
    <row r="529" spans="3:3" ht="15" x14ac:dyDescent="0.2">
      <c r="C529" s="192" t="s">
        <v>1252</v>
      </c>
    </row>
    <row r="531" spans="3:3" ht="15" x14ac:dyDescent="0.2">
      <c r="C531" s="192" t="s">
        <v>1253</v>
      </c>
    </row>
    <row r="532" spans="3:3" ht="15" x14ac:dyDescent="0.2">
      <c r="C532" s="192" t="s">
        <v>925</v>
      </c>
    </row>
    <row r="533" spans="3:3" ht="15" x14ac:dyDescent="0.2">
      <c r="C533" s="192" t="s">
        <v>926</v>
      </c>
    </row>
    <row r="534" spans="3:3" ht="15" x14ac:dyDescent="0.2">
      <c r="C534" s="192" t="s">
        <v>1254</v>
      </c>
    </row>
    <row r="535" spans="3:3" ht="15" x14ac:dyDescent="0.2">
      <c r="C535" s="192" t="s">
        <v>928</v>
      </c>
    </row>
    <row r="537" spans="3:3" ht="15" x14ac:dyDescent="0.2">
      <c r="C537" s="192" t="s">
        <v>878</v>
      </c>
    </row>
    <row r="538" spans="3:3" ht="15" x14ac:dyDescent="0.2">
      <c r="C538" s="192" t="s">
        <v>1255</v>
      </c>
    </row>
    <row r="539" spans="3:3" ht="15" x14ac:dyDescent="0.2">
      <c r="C539" s="192" t="s">
        <v>880</v>
      </c>
    </row>
    <row r="540" spans="3:3" ht="15" x14ac:dyDescent="0.2">
      <c r="C540" s="192" t="s">
        <v>881</v>
      </c>
    </row>
    <row r="541" spans="3:3" ht="15" x14ac:dyDescent="0.2">
      <c r="C541" s="192" t="s">
        <v>882</v>
      </c>
    </row>
    <row r="542" spans="3:3" ht="15" x14ac:dyDescent="0.2">
      <c r="C542" s="192" t="s">
        <v>883</v>
      </c>
    </row>
    <row r="543" spans="3:3" ht="15" x14ac:dyDescent="0.2">
      <c r="C543" s="192" t="s">
        <v>884</v>
      </c>
    </row>
    <row r="544" spans="3:3" ht="15" x14ac:dyDescent="0.2">
      <c r="C544" s="192" t="s">
        <v>885</v>
      </c>
    </row>
    <row r="545" spans="3:3" ht="15" x14ac:dyDescent="0.2">
      <c r="C545" s="192" t="s">
        <v>886</v>
      </c>
    </row>
    <row r="546" spans="3:3" ht="15" x14ac:dyDescent="0.2">
      <c r="C546" s="192" t="s">
        <v>887</v>
      </c>
    </row>
    <row r="547" spans="3:3" ht="15" x14ac:dyDescent="0.2">
      <c r="C547" s="192" t="s">
        <v>888</v>
      </c>
    </row>
    <row r="548" spans="3:3" ht="15" x14ac:dyDescent="0.2">
      <c r="C548" s="192" t="s">
        <v>889</v>
      </c>
    </row>
    <row r="549" spans="3:3" ht="15" x14ac:dyDescent="0.2">
      <c r="C549" s="192" t="s">
        <v>1256</v>
      </c>
    </row>
    <row r="551" spans="3:3" ht="15" x14ac:dyDescent="0.2">
      <c r="C551" s="192" t="s">
        <v>891</v>
      </c>
    </row>
    <row r="553" spans="3:3" ht="15" x14ac:dyDescent="0.2">
      <c r="C553" s="192" t="s">
        <v>892</v>
      </c>
    </row>
    <row r="554" spans="3:3" ht="15" x14ac:dyDescent="0.2">
      <c r="C554" s="192" t="s">
        <v>1257</v>
      </c>
    </row>
    <row r="555" spans="3:3" ht="15" x14ac:dyDescent="0.2">
      <c r="C555" s="192" t="s">
        <v>1258</v>
      </c>
    </row>
    <row r="556" spans="3:3" ht="15" x14ac:dyDescent="0.2">
      <c r="C556" s="192" t="s">
        <v>1259</v>
      </c>
    </row>
    <row r="557" spans="3:3" ht="15" x14ac:dyDescent="0.2">
      <c r="C557" s="192" t="s">
        <v>876</v>
      </c>
    </row>
    <row r="559" spans="3:3" ht="15" x14ac:dyDescent="0.2">
      <c r="C559" s="192" t="s">
        <v>898</v>
      </c>
    </row>
    <row r="560" spans="3:3" ht="15" x14ac:dyDescent="0.2">
      <c r="C560" s="192" t="s">
        <v>899</v>
      </c>
    </row>
    <row r="562" spans="3:3" ht="15" x14ac:dyDescent="0.2">
      <c r="C562" s="192" t="s">
        <v>900</v>
      </c>
    </row>
    <row r="563" spans="3:3" ht="15" x14ac:dyDescent="0.2">
      <c r="C563" s="192" t="s">
        <v>901</v>
      </c>
    </row>
    <row r="564" spans="3:3" ht="15" x14ac:dyDescent="0.2">
      <c r="C564" s="192" t="s">
        <v>902</v>
      </c>
    </row>
    <row r="565" spans="3:3" ht="15" x14ac:dyDescent="0.2">
      <c r="C565" s="192" t="s">
        <v>903</v>
      </c>
    </row>
    <row r="566" spans="3:3" ht="15" x14ac:dyDescent="0.2">
      <c r="C566" s="192" t="s">
        <v>904</v>
      </c>
    </row>
    <row r="567" spans="3:3" ht="15" x14ac:dyDescent="0.2">
      <c r="C567" s="192" t="s">
        <v>905</v>
      </c>
    </row>
    <row r="569" spans="3:3" ht="15" x14ac:dyDescent="0.2">
      <c r="C569" s="192" t="s">
        <v>900</v>
      </c>
    </row>
    <row r="570" spans="3:3" ht="15" x14ac:dyDescent="0.2">
      <c r="C570" s="192" t="s">
        <v>906</v>
      </c>
    </row>
    <row r="571" spans="3:3" ht="15" x14ac:dyDescent="0.2">
      <c r="C571" s="192" t="s">
        <v>907</v>
      </c>
    </row>
    <row r="572" spans="3:3" ht="15" x14ac:dyDescent="0.2">
      <c r="C572" s="192" t="s">
        <v>908</v>
      </c>
    </row>
    <row r="573" spans="3:3" ht="15" x14ac:dyDescent="0.2">
      <c r="C573" s="192" t="s">
        <v>909</v>
      </c>
    </row>
    <row r="575" spans="3:3" ht="15" x14ac:dyDescent="0.2">
      <c r="C575" s="192" t="s">
        <v>910</v>
      </c>
    </row>
    <row r="576" spans="3:3" ht="15" x14ac:dyDescent="0.2">
      <c r="C576" s="192" t="s">
        <v>911</v>
      </c>
    </row>
    <row r="577" spans="3:3" ht="15" x14ac:dyDescent="0.2">
      <c r="C577" s="192" t="s">
        <v>912</v>
      </c>
    </row>
    <row r="578" spans="3:3" ht="15" x14ac:dyDescent="0.2">
      <c r="C578" s="192" t="s">
        <v>913</v>
      </c>
    </row>
    <row r="579" spans="3:3" ht="15" x14ac:dyDescent="0.2">
      <c r="C579" s="192" t="s">
        <v>914</v>
      </c>
    </row>
    <row r="581" spans="3:3" ht="15" x14ac:dyDescent="0.2">
      <c r="C581" s="192" t="s">
        <v>915</v>
      </c>
    </row>
    <row r="582" spans="3:3" ht="15" x14ac:dyDescent="0.2">
      <c r="C582" s="192" t="s">
        <v>916</v>
      </c>
    </row>
    <row r="583" spans="3:3" ht="15" x14ac:dyDescent="0.2">
      <c r="C583" s="192" t="s">
        <v>650</v>
      </c>
    </row>
    <row r="584" spans="3:3" ht="15" x14ac:dyDescent="0.2">
      <c r="C584" s="192" t="s">
        <v>651</v>
      </c>
    </row>
    <row r="585" spans="3:3" ht="15" x14ac:dyDescent="0.2">
      <c r="C585" s="192" t="s">
        <v>917</v>
      </c>
    </row>
    <row r="586" spans="3:3" ht="15" x14ac:dyDescent="0.2">
      <c r="C586" s="192" t="s">
        <v>918</v>
      </c>
    </row>
    <row r="587" spans="3:3" ht="15" x14ac:dyDescent="0.2">
      <c r="C587" s="192" t="s">
        <v>919</v>
      </c>
    </row>
    <row r="589" spans="3:3" ht="15" x14ac:dyDescent="0.2">
      <c r="C589" s="192" t="s">
        <v>920</v>
      </c>
    </row>
    <row r="590" spans="3:3" ht="15" x14ac:dyDescent="0.2">
      <c r="C590" s="192" t="s">
        <v>651</v>
      </c>
    </row>
    <row r="592" spans="3:3" ht="15" x14ac:dyDescent="0.2">
      <c r="C592" s="192" t="s">
        <v>921</v>
      </c>
    </row>
    <row r="593" spans="3:3" ht="15" x14ac:dyDescent="0.2">
      <c r="C593" s="192" t="s">
        <v>922</v>
      </c>
    </row>
    <row r="594" spans="3:3" ht="15" x14ac:dyDescent="0.2">
      <c r="C594" s="192" t="s">
        <v>923</v>
      </c>
    </row>
    <row r="596" spans="3:3" ht="15" x14ac:dyDescent="0.2">
      <c r="C596" s="192" t="s">
        <v>924</v>
      </c>
    </row>
    <row r="597" spans="3:3" ht="15" x14ac:dyDescent="0.2">
      <c r="C597" s="192" t="s">
        <v>925</v>
      </c>
    </row>
    <row r="598" spans="3:3" ht="15" x14ac:dyDescent="0.2">
      <c r="C598" s="192" t="s">
        <v>926</v>
      </c>
    </row>
    <row r="599" spans="3:3" ht="15" x14ac:dyDescent="0.2">
      <c r="C599" s="192" t="s">
        <v>927</v>
      </c>
    </row>
    <row r="600" spans="3:3" ht="15" x14ac:dyDescent="0.2">
      <c r="C600" s="192" t="s">
        <v>928</v>
      </c>
    </row>
    <row r="602" spans="3:3" ht="15" x14ac:dyDescent="0.2">
      <c r="C602" s="192" t="s">
        <v>929</v>
      </c>
    </row>
    <row r="603" spans="3:3" ht="15" x14ac:dyDescent="0.2">
      <c r="C603" s="192" t="s">
        <v>930</v>
      </c>
    </row>
    <row r="604" spans="3:3" ht="15" x14ac:dyDescent="0.2">
      <c r="C604" s="192" t="s">
        <v>931</v>
      </c>
    </row>
    <row r="605" spans="3:3" ht="15" x14ac:dyDescent="0.2">
      <c r="C605" s="192" t="s">
        <v>932</v>
      </c>
    </row>
    <row r="606" spans="3:3" ht="15" x14ac:dyDescent="0.2">
      <c r="C606" s="192" t="s">
        <v>933</v>
      </c>
    </row>
    <row r="607" spans="3:3" ht="15" x14ac:dyDescent="0.2">
      <c r="C607" s="192" t="s">
        <v>934</v>
      </c>
    </row>
    <row r="608" spans="3:3" ht="15" x14ac:dyDescent="0.2">
      <c r="C608" s="192" t="s">
        <v>935</v>
      </c>
    </row>
    <row r="609" spans="3:3" ht="15" x14ac:dyDescent="0.2">
      <c r="C609" s="192" t="s">
        <v>936</v>
      </c>
    </row>
    <row r="610" spans="3:3" ht="15" x14ac:dyDescent="0.2">
      <c r="C610" s="192" t="s">
        <v>876</v>
      </c>
    </row>
    <row r="612" spans="3:3" ht="15" x14ac:dyDescent="0.2">
      <c r="C612" s="192" t="s">
        <v>937</v>
      </c>
    </row>
    <row r="613" spans="3:3" ht="15" x14ac:dyDescent="0.2">
      <c r="C613" s="192" t="s">
        <v>938</v>
      </c>
    </row>
    <row r="615" spans="3:3" ht="15" x14ac:dyDescent="0.2">
      <c r="C615" s="192" t="s">
        <v>930</v>
      </c>
    </row>
    <row r="616" spans="3:3" ht="15" x14ac:dyDescent="0.2">
      <c r="C616" s="192" t="s">
        <v>1260</v>
      </c>
    </row>
    <row r="617" spans="3:3" ht="15" x14ac:dyDescent="0.2">
      <c r="C617" s="192" t="s">
        <v>1261</v>
      </c>
    </row>
    <row r="618" spans="3:3" ht="15" x14ac:dyDescent="0.2">
      <c r="C618" s="192" t="s">
        <v>933</v>
      </c>
    </row>
    <row r="619" spans="3:3" ht="15" x14ac:dyDescent="0.2">
      <c r="C619" s="192" t="s">
        <v>941</v>
      </c>
    </row>
    <row r="620" spans="3:3" ht="15" x14ac:dyDescent="0.2">
      <c r="C620" s="192" t="s">
        <v>942</v>
      </c>
    </row>
    <row r="621" spans="3:3" ht="15" x14ac:dyDescent="0.2">
      <c r="C621" s="192" t="s">
        <v>943</v>
      </c>
    </row>
    <row r="622" spans="3:3" ht="15" x14ac:dyDescent="0.2">
      <c r="C622" s="192" t="s">
        <v>944</v>
      </c>
    </row>
    <row r="623" spans="3:3" ht="15" x14ac:dyDescent="0.2">
      <c r="C623" s="192" t="s">
        <v>1262</v>
      </c>
    </row>
    <row r="625" spans="3:3" ht="15" x14ac:dyDescent="0.2">
      <c r="C625" s="192" t="s">
        <v>946</v>
      </c>
    </row>
    <row r="626" spans="3:3" ht="15" x14ac:dyDescent="0.2">
      <c r="C626" s="192" t="s">
        <v>947</v>
      </c>
    </row>
    <row r="627" spans="3:3" ht="15" x14ac:dyDescent="0.2">
      <c r="C627" s="192" t="s">
        <v>948</v>
      </c>
    </row>
    <row r="628" spans="3:3" ht="15" x14ac:dyDescent="0.2">
      <c r="C628" s="192" t="s">
        <v>949</v>
      </c>
    </row>
    <row r="629" spans="3:3" ht="15" x14ac:dyDescent="0.2">
      <c r="C629" s="192" t="s">
        <v>950</v>
      </c>
    </row>
    <row r="630" spans="3:3" ht="15" x14ac:dyDescent="0.2">
      <c r="C630" s="192" t="s">
        <v>951</v>
      </c>
    </row>
    <row r="631" spans="3:3" ht="15" x14ac:dyDescent="0.2">
      <c r="C631" s="192" t="s">
        <v>952</v>
      </c>
    </row>
    <row r="632" spans="3:3" ht="15" x14ac:dyDescent="0.2">
      <c r="C632" s="192" t="s">
        <v>953</v>
      </c>
    </row>
    <row r="633" spans="3:3" ht="15" x14ac:dyDescent="0.2">
      <c r="C633" s="192" t="s">
        <v>954</v>
      </c>
    </row>
    <row r="634" spans="3:3" ht="15" x14ac:dyDescent="0.2">
      <c r="C634" s="192" t="s">
        <v>955</v>
      </c>
    </row>
    <row r="635" spans="3:3" ht="15" x14ac:dyDescent="0.2">
      <c r="C635" s="192" t="s">
        <v>956</v>
      </c>
    </row>
    <row r="636" spans="3:3" ht="15" x14ac:dyDescent="0.2">
      <c r="C636" s="192" t="s">
        <v>957</v>
      </c>
    </row>
    <row r="637" spans="3:3" ht="15" x14ac:dyDescent="0.2">
      <c r="C637" s="192" t="s">
        <v>958</v>
      </c>
    </row>
    <row r="638" spans="3:3" ht="15" x14ac:dyDescent="0.2">
      <c r="C638" s="192" t="s">
        <v>959</v>
      </c>
    </row>
    <row r="639" spans="3:3" ht="15" x14ac:dyDescent="0.2">
      <c r="C639" s="192" t="s">
        <v>960</v>
      </c>
    </row>
    <row r="640" spans="3:3" ht="15" x14ac:dyDescent="0.2">
      <c r="C640" s="192" t="s">
        <v>961</v>
      </c>
    </row>
    <row r="641" spans="3:3" ht="15" x14ac:dyDescent="0.2">
      <c r="C641" s="192" t="s">
        <v>962</v>
      </c>
    </row>
    <row r="642" spans="3:3" ht="15" x14ac:dyDescent="0.2">
      <c r="C642" s="192" t="s">
        <v>963</v>
      </c>
    </row>
    <row r="643" spans="3:3" ht="15" x14ac:dyDescent="0.2">
      <c r="C643" s="192" t="s">
        <v>964</v>
      </c>
    </row>
    <row r="644" spans="3:3" ht="15" x14ac:dyDescent="0.2">
      <c r="C644" s="192" t="s">
        <v>965</v>
      </c>
    </row>
    <row r="645" spans="3:3" ht="15" x14ac:dyDescent="0.2">
      <c r="C645" s="192" t="s">
        <v>966</v>
      </c>
    </row>
    <row r="646" spans="3:3" ht="15" x14ac:dyDescent="0.2">
      <c r="C646" s="192" t="s">
        <v>967</v>
      </c>
    </row>
    <row r="647" spans="3:3" ht="15" x14ac:dyDescent="0.2">
      <c r="C647" s="192" t="s">
        <v>804</v>
      </c>
    </row>
    <row r="648" spans="3:3" ht="15" x14ac:dyDescent="0.2">
      <c r="C648" s="192" t="s">
        <v>968</v>
      </c>
    </row>
    <row r="649" spans="3:3" ht="15" x14ac:dyDescent="0.2">
      <c r="C649" s="192" t="s">
        <v>969</v>
      </c>
    </row>
    <row r="650" spans="3:3" ht="15" x14ac:dyDescent="0.2">
      <c r="C650" s="192" t="s">
        <v>970</v>
      </c>
    </row>
    <row r="651" spans="3:3" ht="15" x14ac:dyDescent="0.2">
      <c r="C651" s="192" t="s">
        <v>971</v>
      </c>
    </row>
    <row r="652" spans="3:3" ht="15" x14ac:dyDescent="0.2">
      <c r="C652" s="192" t="s">
        <v>972</v>
      </c>
    </row>
    <row r="653" spans="3:3" ht="15" x14ac:dyDescent="0.2">
      <c r="C653" s="192" t="s">
        <v>973</v>
      </c>
    </row>
    <row r="654" spans="3:3" ht="15" x14ac:dyDescent="0.2">
      <c r="C654" s="192" t="s">
        <v>974</v>
      </c>
    </row>
    <row r="656" spans="3:3" ht="15" x14ac:dyDescent="0.2">
      <c r="C656" s="192" t="s">
        <v>975</v>
      </c>
    </row>
    <row r="657" spans="3:3" ht="15" x14ac:dyDescent="0.2">
      <c r="C657" s="192" t="s">
        <v>976</v>
      </c>
    </row>
    <row r="659" spans="3:3" ht="15" x14ac:dyDescent="0.2">
      <c r="C659" s="192" t="s">
        <v>977</v>
      </c>
    </row>
    <row r="660" spans="3:3" ht="15" x14ac:dyDescent="0.2">
      <c r="C660" s="192" t="s">
        <v>978</v>
      </c>
    </row>
    <row r="662" spans="3:3" ht="15" x14ac:dyDescent="0.2">
      <c r="C662" s="192" t="s">
        <v>979</v>
      </c>
    </row>
    <row r="663" spans="3:3" ht="15" x14ac:dyDescent="0.2">
      <c r="C663" s="192" t="s">
        <v>930</v>
      </c>
    </row>
    <row r="664" spans="3:3" ht="15" x14ac:dyDescent="0.2">
      <c r="C664" s="192" t="s">
        <v>931</v>
      </c>
    </row>
    <row r="665" spans="3:3" ht="15" x14ac:dyDescent="0.2">
      <c r="C665" s="192" t="s">
        <v>980</v>
      </c>
    </row>
    <row r="666" spans="3:3" ht="15" x14ac:dyDescent="0.2">
      <c r="C666" s="192" t="s">
        <v>933</v>
      </c>
    </row>
    <row r="667" spans="3:3" ht="15" x14ac:dyDescent="0.2">
      <c r="C667" s="192" t="s">
        <v>981</v>
      </c>
    </row>
    <row r="668" spans="3:3" ht="15" x14ac:dyDescent="0.2">
      <c r="C668" s="192" t="s">
        <v>935</v>
      </c>
    </row>
    <row r="669" spans="3:3" ht="15" x14ac:dyDescent="0.2">
      <c r="C669" s="192" t="s">
        <v>936</v>
      </c>
    </row>
    <row r="670" spans="3:3" ht="15" x14ac:dyDescent="0.2">
      <c r="C670" s="192" t="s">
        <v>876</v>
      </c>
    </row>
    <row r="672" spans="3:3" ht="15" x14ac:dyDescent="0.2">
      <c r="C672" s="192" t="s">
        <v>982</v>
      </c>
    </row>
    <row r="673" spans="3:3" ht="15" x14ac:dyDescent="0.2">
      <c r="C673" s="192" t="s">
        <v>983</v>
      </c>
    </row>
    <row r="675" spans="3:3" ht="15" x14ac:dyDescent="0.2">
      <c r="C675" s="192" t="s">
        <v>930</v>
      </c>
    </row>
    <row r="676" spans="3:3" ht="15" x14ac:dyDescent="0.2">
      <c r="C676" s="192" t="s">
        <v>984</v>
      </c>
    </row>
    <row r="677" spans="3:3" ht="15" x14ac:dyDescent="0.2">
      <c r="C677" s="192" t="s">
        <v>985</v>
      </c>
    </row>
    <row r="678" spans="3:3" ht="15" x14ac:dyDescent="0.2">
      <c r="C678" s="192" t="s">
        <v>933</v>
      </c>
    </row>
    <row r="679" spans="3:3" ht="15" x14ac:dyDescent="0.2">
      <c r="C679" s="192" t="s">
        <v>1263</v>
      </c>
    </row>
    <row r="680" spans="3:3" ht="15" x14ac:dyDescent="0.2">
      <c r="C680" s="192" t="s">
        <v>942</v>
      </c>
    </row>
    <row r="681" spans="3:3" ht="15" x14ac:dyDescent="0.2">
      <c r="C681" s="192" t="s">
        <v>943</v>
      </c>
    </row>
    <row r="682" spans="3:3" ht="15" x14ac:dyDescent="0.2">
      <c r="C682" s="192" t="s">
        <v>944</v>
      </c>
    </row>
    <row r="683" spans="3:3" ht="15" x14ac:dyDescent="0.2">
      <c r="C683" s="192" t="s">
        <v>876</v>
      </c>
    </row>
    <row r="685" spans="3:3" ht="15" x14ac:dyDescent="0.2">
      <c r="C685" s="192" t="s">
        <v>987</v>
      </c>
    </row>
    <row r="686" spans="3:3" ht="15" x14ac:dyDescent="0.2">
      <c r="C686" s="192" t="s">
        <v>930</v>
      </c>
    </row>
    <row r="687" spans="3:3" ht="15" x14ac:dyDescent="0.2">
      <c r="C687" s="192" t="s">
        <v>931</v>
      </c>
    </row>
    <row r="688" spans="3:3" ht="15" x14ac:dyDescent="0.2">
      <c r="C688" s="192" t="s">
        <v>988</v>
      </c>
    </row>
    <row r="689" spans="3:3" ht="15" x14ac:dyDescent="0.2">
      <c r="C689" s="192" t="s">
        <v>933</v>
      </c>
    </row>
    <row r="690" spans="3:3" ht="15" x14ac:dyDescent="0.2">
      <c r="C690" s="192" t="s">
        <v>989</v>
      </c>
    </row>
    <row r="691" spans="3:3" ht="15" x14ac:dyDescent="0.2">
      <c r="C691" s="192" t="s">
        <v>935</v>
      </c>
    </row>
    <row r="692" spans="3:3" ht="15" x14ac:dyDescent="0.2">
      <c r="C692" s="192" t="s">
        <v>936</v>
      </c>
    </row>
    <row r="693" spans="3:3" ht="15" x14ac:dyDescent="0.2">
      <c r="C693" s="192" t="s">
        <v>876</v>
      </c>
    </row>
    <row r="695" spans="3:3" ht="15" x14ac:dyDescent="0.2">
      <c r="C695" s="192" t="s">
        <v>990</v>
      </c>
    </row>
    <row r="696" spans="3:3" ht="15" x14ac:dyDescent="0.2">
      <c r="C696" s="192" t="s">
        <v>991</v>
      </c>
    </row>
    <row r="698" spans="3:3" ht="15" x14ac:dyDescent="0.2">
      <c r="C698" s="192" t="s">
        <v>930</v>
      </c>
    </row>
    <row r="699" spans="3:3" ht="15" x14ac:dyDescent="0.2">
      <c r="C699" s="192" t="s">
        <v>992</v>
      </c>
    </row>
    <row r="700" spans="3:3" ht="15" x14ac:dyDescent="0.2">
      <c r="C700" s="192" t="s">
        <v>993</v>
      </c>
    </row>
    <row r="701" spans="3:3" ht="15" x14ac:dyDescent="0.2">
      <c r="C701" s="192" t="s">
        <v>933</v>
      </c>
    </row>
    <row r="702" spans="3:3" ht="15" x14ac:dyDescent="0.2">
      <c r="C702" s="192" t="s">
        <v>941</v>
      </c>
    </row>
    <row r="703" spans="3:3" ht="15" x14ac:dyDescent="0.2">
      <c r="C703" s="192" t="s">
        <v>942</v>
      </c>
    </row>
    <row r="704" spans="3:3" ht="15" x14ac:dyDescent="0.2">
      <c r="C704" s="192" t="s">
        <v>943</v>
      </c>
    </row>
    <row r="705" spans="3:3" ht="15" x14ac:dyDescent="0.2">
      <c r="C705" s="192" t="s">
        <v>944</v>
      </c>
    </row>
    <row r="706" spans="3:3" ht="15" x14ac:dyDescent="0.2">
      <c r="C706" s="192" t="s">
        <v>876</v>
      </c>
    </row>
    <row r="708" spans="3:3" ht="15" x14ac:dyDescent="0.2">
      <c r="C708" s="192" t="s">
        <v>994</v>
      </c>
    </row>
    <row r="709" spans="3:3" ht="15" x14ac:dyDescent="0.2">
      <c r="C709" s="192" t="s">
        <v>930</v>
      </c>
    </row>
    <row r="710" spans="3:3" ht="15" x14ac:dyDescent="0.2">
      <c r="C710" s="192" t="s">
        <v>931</v>
      </c>
    </row>
    <row r="711" spans="3:3" ht="15" x14ac:dyDescent="0.2">
      <c r="C711" s="192" t="s">
        <v>995</v>
      </c>
    </row>
    <row r="712" spans="3:3" ht="15" x14ac:dyDescent="0.2">
      <c r="C712" s="192" t="s">
        <v>933</v>
      </c>
    </row>
    <row r="713" spans="3:3" ht="15" x14ac:dyDescent="0.2">
      <c r="C713" s="192" t="s">
        <v>996</v>
      </c>
    </row>
    <row r="714" spans="3:3" ht="15" x14ac:dyDescent="0.2">
      <c r="C714" s="192" t="s">
        <v>935</v>
      </c>
    </row>
    <row r="715" spans="3:3" ht="15" x14ac:dyDescent="0.2">
      <c r="C715" s="192" t="s">
        <v>936</v>
      </c>
    </row>
    <row r="716" spans="3:3" ht="15" x14ac:dyDescent="0.2">
      <c r="C716" s="192" t="s">
        <v>876</v>
      </c>
    </row>
    <row r="718" spans="3:3" ht="15" x14ac:dyDescent="0.2">
      <c r="C718" s="192" t="s">
        <v>997</v>
      </c>
    </row>
    <row r="719" spans="3:3" ht="15" x14ac:dyDescent="0.2">
      <c r="C719" s="192" t="s">
        <v>998</v>
      </c>
    </row>
    <row r="721" spans="3:3" ht="15" x14ac:dyDescent="0.2">
      <c r="C721" s="192" t="s">
        <v>930</v>
      </c>
    </row>
    <row r="722" spans="3:3" ht="15" x14ac:dyDescent="0.2">
      <c r="C722" s="192" t="s">
        <v>999</v>
      </c>
    </row>
    <row r="723" spans="3:3" ht="15" x14ac:dyDescent="0.2">
      <c r="C723" s="192" t="s">
        <v>1000</v>
      </c>
    </row>
    <row r="724" spans="3:3" ht="15" x14ac:dyDescent="0.2">
      <c r="C724" s="192" t="s">
        <v>933</v>
      </c>
    </row>
    <row r="725" spans="3:3" ht="15" x14ac:dyDescent="0.2">
      <c r="C725" s="192" t="s">
        <v>941</v>
      </c>
    </row>
    <row r="726" spans="3:3" ht="15" x14ac:dyDescent="0.2">
      <c r="C726" s="192" t="s">
        <v>942</v>
      </c>
    </row>
    <row r="727" spans="3:3" ht="15" x14ac:dyDescent="0.2">
      <c r="C727" s="192" t="s">
        <v>943</v>
      </c>
    </row>
    <row r="728" spans="3:3" ht="15" x14ac:dyDescent="0.2">
      <c r="C728" s="192" t="s">
        <v>1001</v>
      </c>
    </row>
    <row r="729" spans="3:3" ht="15" x14ac:dyDescent="0.2">
      <c r="C729" s="192" t="s">
        <v>1002</v>
      </c>
    </row>
    <row r="731" spans="3:3" ht="15" x14ac:dyDescent="0.2">
      <c r="C731" s="192" t="s">
        <v>1003</v>
      </c>
    </row>
    <row r="732" spans="3:3" ht="15" x14ac:dyDescent="0.2">
      <c r="C732" s="192" t="s">
        <v>1004</v>
      </c>
    </row>
    <row r="733" spans="3:3" ht="15" x14ac:dyDescent="0.2">
      <c r="C733" s="192" t="s">
        <v>1005</v>
      </c>
    </row>
    <row r="735" spans="3:3" ht="15" x14ac:dyDescent="0.2">
      <c r="C735" s="192" t="s">
        <v>930</v>
      </c>
    </row>
    <row r="736" spans="3:3" ht="15" x14ac:dyDescent="0.2">
      <c r="C736" s="192" t="s">
        <v>1006</v>
      </c>
    </row>
    <row r="737" spans="3:3" ht="15" x14ac:dyDescent="0.2">
      <c r="C737" s="192" t="s">
        <v>1007</v>
      </c>
    </row>
    <row r="738" spans="3:3" ht="15" x14ac:dyDescent="0.2">
      <c r="C738" s="192" t="s">
        <v>933</v>
      </c>
    </row>
    <row r="739" spans="3:3" ht="15" x14ac:dyDescent="0.2">
      <c r="C739" s="192" t="s">
        <v>941</v>
      </c>
    </row>
    <row r="740" spans="3:3" ht="15" x14ac:dyDescent="0.2">
      <c r="C740" s="192" t="s">
        <v>1008</v>
      </c>
    </row>
    <row r="741" spans="3:3" ht="15" x14ac:dyDescent="0.2">
      <c r="C741" s="192" t="s">
        <v>944</v>
      </c>
    </row>
    <row r="742" spans="3:3" ht="15" x14ac:dyDescent="0.2">
      <c r="C742" s="192" t="s">
        <v>876</v>
      </c>
    </row>
    <row r="744" spans="3:3" ht="15" x14ac:dyDescent="0.2">
      <c r="C744" s="192" t="s">
        <v>872</v>
      </c>
    </row>
    <row r="745" spans="3:3" ht="15" x14ac:dyDescent="0.2">
      <c r="C745" s="192" t="s">
        <v>1264</v>
      </c>
    </row>
    <row r="746" spans="3:3" ht="15" x14ac:dyDescent="0.2">
      <c r="C746" s="192" t="s">
        <v>1047</v>
      </c>
    </row>
    <row r="748" spans="3:3" ht="15" x14ac:dyDescent="0.2">
      <c r="C748" s="192" t="s">
        <v>1048</v>
      </c>
    </row>
    <row r="749" spans="3:3" ht="15" x14ac:dyDescent="0.2">
      <c r="C749" s="192" t="s">
        <v>1049</v>
      </c>
    </row>
    <row r="750" spans="3:3" ht="15" x14ac:dyDescent="0.2">
      <c r="C750" s="192" t="s">
        <v>1050</v>
      </c>
    </row>
    <row r="752" spans="3:3" ht="15" x14ac:dyDescent="0.2">
      <c r="C752" s="192" t="s">
        <v>1051</v>
      </c>
    </row>
    <row r="753" spans="3:3" ht="15" x14ac:dyDescent="0.2">
      <c r="C753" s="192" t="s">
        <v>1052</v>
      </c>
    </row>
    <row r="754" spans="3:3" ht="15" x14ac:dyDescent="0.2">
      <c r="C754" s="192" t="s">
        <v>1053</v>
      </c>
    </row>
    <row r="755" spans="3:3" ht="15" x14ac:dyDescent="0.2">
      <c r="C755" s="192" t="s">
        <v>1054</v>
      </c>
    </row>
    <row r="757" spans="3:3" ht="15" x14ac:dyDescent="0.2">
      <c r="C757" s="192" t="s">
        <v>1055</v>
      </c>
    </row>
    <row r="758" spans="3:3" x14ac:dyDescent="0.2">
      <c r="C758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/>
  </sheetViews>
  <sheetFormatPr defaultColWidth="9.140625" defaultRowHeight="12.75" zeroHeight="1" x14ac:dyDescent="0.2"/>
  <cols>
    <col min="1" max="1" width="2.7109375" style="394" customWidth="1"/>
    <col min="2" max="2" width="38.5703125" style="397" bestFit="1" customWidth="1"/>
    <col min="3" max="4" width="11.7109375" style="397" customWidth="1"/>
    <col min="5" max="5" width="7.7109375" style="397" customWidth="1"/>
    <col min="6" max="6" width="2.7109375" style="394" customWidth="1"/>
    <col min="7" max="7" width="2.7109375" style="397" customWidth="1"/>
    <col min="8" max="8" width="28.7109375" style="397" bestFit="1" customWidth="1"/>
    <col min="9" max="10" width="11.7109375" style="397" customWidth="1"/>
    <col min="11" max="11" width="7.7109375" style="397" customWidth="1"/>
    <col min="12" max="12" width="2.7109375" style="394" customWidth="1"/>
    <col min="13" max="13" width="2.7109375" style="397" customWidth="1"/>
    <col min="14" max="14" width="43.7109375" style="397" bestFit="1" customWidth="1"/>
    <col min="15" max="16" width="11.7109375" style="397" customWidth="1"/>
    <col min="17" max="17" width="7.7109375" style="397" customWidth="1"/>
    <col min="18" max="19" width="2.7109375" style="394" customWidth="1"/>
    <col min="20" max="20" width="41.7109375" style="397" bestFit="1" customWidth="1"/>
    <col min="21" max="21" width="13.28515625" style="397" customWidth="1"/>
    <col min="22" max="24" width="20.7109375" style="397" customWidth="1"/>
    <col min="25" max="26" width="2.7109375" style="394" customWidth="1"/>
    <col min="27" max="27" width="10.7109375" style="397" customWidth="1"/>
    <col min="28" max="28" width="33.85546875" style="397" bestFit="1" customWidth="1"/>
    <col min="29" max="30" width="2.7109375" style="394" customWidth="1"/>
    <col min="31" max="33" width="9.140625" style="397"/>
    <col min="34" max="34" width="41.7109375" style="397" bestFit="1" customWidth="1"/>
    <col min="35" max="35" width="8.42578125" style="397" bestFit="1" customWidth="1"/>
    <col min="36" max="38" width="25.7109375" style="397" customWidth="1"/>
    <col min="39" max="16384" width="9.140625" style="397"/>
  </cols>
  <sheetData>
    <row r="1" spans="1:30" x14ac:dyDescent="0.2">
      <c r="B1" s="395"/>
      <c r="C1" s="395"/>
      <c r="D1" s="395"/>
      <c r="E1" s="395"/>
      <c r="F1" s="564"/>
      <c r="G1" s="396"/>
    </row>
    <row r="2" spans="1:30" x14ac:dyDescent="0.2"/>
    <row r="3" spans="1:30" x14ac:dyDescent="0.2"/>
    <row r="4" spans="1:30" x14ac:dyDescent="0.2">
      <c r="B4" s="786" t="s">
        <v>1895</v>
      </c>
      <c r="C4" s="786"/>
      <c r="D4" s="786"/>
      <c r="E4" s="786"/>
      <c r="F4" s="565"/>
      <c r="H4" s="786" t="s">
        <v>1778</v>
      </c>
      <c r="I4" s="786"/>
      <c r="J4" s="786"/>
      <c r="K4" s="786"/>
      <c r="L4" s="565"/>
      <c r="N4" s="786" t="s">
        <v>1710</v>
      </c>
      <c r="O4" s="786"/>
      <c r="P4" s="786"/>
      <c r="Q4" s="786"/>
      <c r="T4" s="781" t="s">
        <v>1891</v>
      </c>
      <c r="U4" s="787"/>
      <c r="V4" s="787"/>
      <c r="W4" s="787"/>
      <c r="X4" s="782"/>
      <c r="AA4" s="781" t="s">
        <v>1324</v>
      </c>
      <c r="AB4" s="782"/>
    </row>
    <row r="5" spans="1:30" s="400" customFormat="1" ht="26.25" thickBot="1" x14ac:dyDescent="0.25">
      <c r="A5" s="398"/>
      <c r="B5" s="399" t="s">
        <v>1706</v>
      </c>
      <c r="C5" s="399" t="s">
        <v>1707</v>
      </c>
      <c r="D5" s="399" t="s">
        <v>1708</v>
      </c>
      <c r="E5" s="399" t="s">
        <v>1454</v>
      </c>
      <c r="F5" s="566"/>
      <c r="H5" s="399" t="s">
        <v>1706</v>
      </c>
      <c r="I5" s="399" t="s">
        <v>1707</v>
      </c>
      <c r="J5" s="399" t="s">
        <v>1708</v>
      </c>
      <c r="K5" s="399" t="s">
        <v>1454</v>
      </c>
      <c r="L5" s="566"/>
      <c r="N5" s="399" t="s">
        <v>1706</v>
      </c>
      <c r="O5" s="399" t="s">
        <v>1707</v>
      </c>
      <c r="P5" s="399" t="s">
        <v>1708</v>
      </c>
      <c r="Q5" s="399" t="s">
        <v>1454</v>
      </c>
      <c r="R5" s="394"/>
      <c r="S5" s="394"/>
      <c r="T5" s="593" t="s">
        <v>1861</v>
      </c>
      <c r="U5" s="593" t="s">
        <v>1870</v>
      </c>
      <c r="V5" s="594" t="s">
        <v>1889</v>
      </c>
      <c r="W5" s="594" t="s">
        <v>1892</v>
      </c>
      <c r="X5" s="594" t="s">
        <v>1890</v>
      </c>
      <c r="Y5" s="394"/>
      <c r="Z5" s="394"/>
      <c r="AA5" s="432" t="s">
        <v>1321</v>
      </c>
      <c r="AB5" s="433" t="s">
        <v>1804</v>
      </c>
      <c r="AC5" s="398"/>
      <c r="AD5" s="398"/>
    </row>
    <row r="6" spans="1:30" ht="12.75" customHeight="1" thickTop="1" x14ac:dyDescent="0.2">
      <c r="A6" s="783" t="s">
        <v>1705</v>
      </c>
      <c r="B6" s="401" t="s">
        <v>1941</v>
      </c>
      <c r="C6" s="402" t="s">
        <v>1703</v>
      </c>
      <c r="D6" s="402">
        <f>MIN(case2_est_sbed_clear_vert, case2_est_sbed_clear_linha)</f>
        <v>0</v>
      </c>
      <c r="E6" s="421" t="s">
        <v>1289</v>
      </c>
      <c r="F6" s="565"/>
      <c r="G6" s="783" t="s">
        <v>1705</v>
      </c>
      <c r="H6" s="727" t="s">
        <v>1702</v>
      </c>
      <c r="I6" s="402" t="s">
        <v>1703</v>
      </c>
      <c r="J6" s="404">
        <f>MIN(J29, J28)</f>
        <v>0</v>
      </c>
      <c r="K6" s="424" t="s">
        <v>1380</v>
      </c>
      <c r="L6" s="565"/>
      <c r="M6" s="783" t="s">
        <v>1705</v>
      </c>
      <c r="N6" s="662"/>
      <c r="O6" s="404"/>
      <c r="P6" s="404"/>
      <c r="Q6" s="424"/>
      <c r="R6" s="565"/>
      <c r="T6" s="595" t="s">
        <v>1813</v>
      </c>
      <c r="U6" s="586" t="s">
        <v>1380</v>
      </c>
      <c r="V6" s="582">
        <f>ROUNDUP(Auxiliar1!E19,2)</f>
        <v>0</v>
      </c>
      <c r="W6" s="404">
        <f>ROUNDUP(Auxiliar1!$D$19,2)</f>
        <v>0</v>
      </c>
      <c r="X6" s="404">
        <f>ROUNDUP(Auxiliar1!F19,2)*(-1)</f>
        <v>0</v>
      </c>
      <c r="AA6" s="404" t="str">
        <f>Auxiliar2!AK2</f>
        <v/>
      </c>
      <c r="AB6" s="404" t="str">
        <f>Auxiliar2!AL2</f>
        <v/>
      </c>
    </row>
    <row r="7" spans="1:30" x14ac:dyDescent="0.2">
      <c r="A7" s="784"/>
      <c r="B7" s="401" t="s">
        <v>1702</v>
      </c>
      <c r="C7" s="402" t="s">
        <v>1703</v>
      </c>
      <c r="D7" s="402">
        <f>MIN(case2_est_mbr_linha, case2_est_mbr_vert)</f>
        <v>0</v>
      </c>
      <c r="E7" s="421" t="s">
        <v>1289</v>
      </c>
      <c r="F7" s="565"/>
      <c r="G7" s="784"/>
      <c r="H7" s="406" t="s">
        <v>1317</v>
      </c>
      <c r="I7" s="402" t="e">
        <f>case2_est_altura_corc + case3i_din_heave_up</f>
        <v>#VALUE!</v>
      </c>
      <c r="J7" s="407" t="e">
        <f>ROUND(I7,2)</f>
        <v>#VALUE!</v>
      </c>
      <c r="K7" s="422" t="s">
        <v>1289</v>
      </c>
      <c r="L7" s="565"/>
      <c r="M7" s="784"/>
      <c r="N7" s="662"/>
      <c r="O7" s="404"/>
      <c r="P7" s="404"/>
      <c r="Q7" s="424"/>
      <c r="R7" s="565"/>
      <c r="T7" s="596" t="s">
        <v>1814</v>
      </c>
      <c r="U7" s="572" t="s">
        <v>1380</v>
      </c>
      <c r="V7" s="582">
        <f>ROUNDUP(Auxiliar1!E20,2)</f>
        <v>0</v>
      </c>
      <c r="W7" s="404">
        <f>ROUNDUP(Auxiliar1!$D$20,2)</f>
        <v>0</v>
      </c>
      <c r="X7" s="404">
        <f>ROUNDUP(Auxiliar1!$F$20,2)*(-1)</f>
        <v>0</v>
      </c>
      <c r="AA7" s="404" t="str">
        <f>Auxiliar2!AK3</f>
        <v/>
      </c>
      <c r="AB7" s="404" t="str">
        <f>Auxiliar2!AL3</f>
        <v/>
      </c>
    </row>
    <row r="8" spans="1:30" ht="13.5" thickBot="1" x14ac:dyDescent="0.25">
      <c r="A8" s="784"/>
      <c r="B8" s="401" t="s">
        <v>491</v>
      </c>
      <c r="C8" s="402" t="str">
        <f>IF(estudo_cvd_type=2, Auxiliar2!K10, IF(estudo_cvd_type=1,  D42, ""))</f>
        <v/>
      </c>
      <c r="D8" s="407" t="str">
        <f>IF(estudo_cvd_type=2, ROUND(C8,2), "IGNORAR")</f>
        <v>IGNORAR</v>
      </c>
      <c r="E8" s="422" t="s">
        <v>1289</v>
      </c>
      <c r="F8" s="565"/>
      <c r="G8" s="784"/>
      <c r="H8" s="408"/>
      <c r="I8" s="402"/>
      <c r="J8" s="404"/>
      <c r="K8" s="422"/>
      <c r="L8" s="565"/>
      <c r="M8" s="784"/>
      <c r="N8" s="662"/>
      <c r="O8" s="404"/>
      <c r="P8" s="404"/>
      <c r="Q8" s="424"/>
      <c r="R8" s="565"/>
      <c r="T8" s="597" t="s">
        <v>1869</v>
      </c>
      <c r="U8" s="585" t="s">
        <v>1380</v>
      </c>
      <c r="V8" s="582">
        <f>ROUNDUP(Auxiliar1!K19,2)</f>
        <v>0</v>
      </c>
      <c r="W8" s="588">
        <f>ROUNDUP(Auxiliar1!J19,2)</f>
        <v>0</v>
      </c>
      <c r="X8" s="588">
        <f>ROUNDUP(Auxiliar1!L19,2)*(-1)</f>
        <v>0</v>
      </c>
      <c r="AA8" s="404" t="str">
        <f>Auxiliar2!AK4</f>
        <v/>
      </c>
      <c r="AB8" s="404" t="str">
        <f>Auxiliar2!AL4</f>
        <v/>
      </c>
    </row>
    <row r="9" spans="1:30" x14ac:dyDescent="0.2">
      <c r="A9" s="784"/>
      <c r="B9" s="409" t="s">
        <v>490</v>
      </c>
      <c r="C9" s="402" t="str">
        <f>IF(estudo_cvd_type=2,  Auxiliar2!K9, IF(estudo_cvd_type=2, D43, ""))</f>
        <v/>
      </c>
      <c r="D9" s="407" t="str">
        <f>IF(estudo_cvd_type=2,ROUNDDOWN(C9,2), "IGNORAR")</f>
        <v>IGNORAR</v>
      </c>
      <c r="E9" s="422" t="s">
        <v>1289</v>
      </c>
      <c r="F9" s="565"/>
      <c r="G9" s="784"/>
      <c r="H9" s="408"/>
      <c r="I9" s="402"/>
      <c r="J9" s="404"/>
      <c r="K9" s="422"/>
      <c r="L9" s="565"/>
      <c r="M9" s="784"/>
      <c r="N9" s="662"/>
      <c r="O9" s="404"/>
      <c r="P9" s="404"/>
      <c r="Q9" s="424"/>
      <c r="R9" s="565"/>
      <c r="T9" s="598" t="s">
        <v>1864</v>
      </c>
      <c r="U9" s="581" t="s">
        <v>1871</v>
      </c>
      <c r="V9" s="589">
        <f>ROUNDUP(Auxiliar1!E39,2)</f>
        <v>0</v>
      </c>
      <c r="W9" s="590">
        <f>ROUNDUP(Auxiliar1!D39,2)</f>
        <v>0</v>
      </c>
      <c r="X9" s="590">
        <f>ROUNDUP(Auxiliar1!F39,2)*(-1)</f>
        <v>0</v>
      </c>
      <c r="AA9" s="404" t="str">
        <f>Auxiliar2!AK5</f>
        <v/>
      </c>
      <c r="AB9" s="404" t="str">
        <f>Auxiliar2!AL5</f>
        <v/>
      </c>
    </row>
    <row r="10" spans="1:30" x14ac:dyDescent="0.2">
      <c r="A10" s="784"/>
      <c r="B10" s="403" t="s">
        <v>507</v>
      </c>
      <c r="C10" s="402" t="e">
        <f ca="1">Auxiliar2!K8</f>
        <v>#N/A</v>
      </c>
      <c r="D10" s="402" t="str">
        <f>IF(estudo_cvd_type=2,ROUND(C10,2), "IGNORAR")</f>
        <v>IGNORAR</v>
      </c>
      <c r="E10" s="422" t="s">
        <v>1289</v>
      </c>
      <c r="F10" s="565"/>
      <c r="G10" s="784"/>
      <c r="H10" s="408"/>
      <c r="I10" s="402"/>
      <c r="J10" s="404"/>
      <c r="K10" s="422"/>
      <c r="L10" s="565"/>
      <c r="M10" s="784"/>
      <c r="N10" s="662"/>
      <c r="O10" s="404"/>
      <c r="P10" s="404"/>
      <c r="Q10" s="424"/>
      <c r="R10" s="565"/>
      <c r="T10" s="424" t="s">
        <v>1862</v>
      </c>
      <c r="U10" s="423" t="s">
        <v>1872</v>
      </c>
      <c r="V10" s="582">
        <f>ROUNDUP(Auxiliar1!E59,2)</f>
        <v>0</v>
      </c>
      <c r="W10" s="404">
        <f>ROUNDUP(Auxiliar1!D59,2)</f>
        <v>0</v>
      </c>
      <c r="X10" s="404">
        <f>ROUNDUP(Auxiliar1!F59,2)*(-1)</f>
        <v>0</v>
      </c>
      <c r="AA10" s="404" t="str">
        <f>Auxiliar2!AK6</f>
        <v/>
      </c>
      <c r="AB10" s="404" t="str">
        <f>Auxiliar2!AL6</f>
        <v/>
      </c>
    </row>
    <row r="11" spans="1:30" x14ac:dyDescent="0.2">
      <c r="A11" s="784"/>
      <c r="B11" s="403" t="s">
        <v>1305</v>
      </c>
      <c r="C11" s="601" t="e">
        <f>Auxiliar2!I5 - Auxiliar2!I4</f>
        <v>#N/A</v>
      </c>
      <c r="D11" s="402" t="str">
        <f>IF(estudo_cvd_type=2,ROUND(C11,2), "IGNORAR")</f>
        <v>IGNORAR</v>
      </c>
      <c r="E11" s="422" t="s">
        <v>1289</v>
      </c>
      <c r="F11" s="565"/>
      <c r="G11" s="784"/>
      <c r="H11" s="408"/>
      <c r="I11" s="402"/>
      <c r="J11" s="404"/>
      <c r="K11" s="422"/>
      <c r="L11" s="565"/>
      <c r="M11" s="784"/>
      <c r="N11" s="662"/>
      <c r="O11" s="404"/>
      <c r="P11" s="404"/>
      <c r="Q11" s="424"/>
      <c r="R11" s="565"/>
      <c r="T11" s="424" t="s">
        <v>1863</v>
      </c>
      <c r="U11" s="423" t="s">
        <v>1873</v>
      </c>
      <c r="V11" s="582">
        <f>ROUNDUP(Auxiliar1!E79,2)</f>
        <v>0</v>
      </c>
      <c r="W11" s="404">
        <f>ROUNDUP(Auxiliar1!D79,2)</f>
        <v>0</v>
      </c>
      <c r="X11" s="404">
        <f>ROUNDUP(Auxiliar1!F79,2)*(-1)</f>
        <v>0</v>
      </c>
      <c r="AA11" s="404" t="str">
        <f>Auxiliar2!AK7</f>
        <v/>
      </c>
      <c r="AB11" s="404" t="str">
        <f>Auxiliar2!AL7</f>
        <v/>
      </c>
    </row>
    <row r="12" spans="1:30" ht="12.75" customHeight="1" thickBot="1" x14ac:dyDescent="0.25">
      <c r="A12" s="784"/>
      <c r="B12" s="403" t="s">
        <v>1729</v>
      </c>
      <c r="C12" s="601" t="e">
        <f>Auxiliar2!J4 - Auxiliar2!J5</f>
        <v>#N/A</v>
      </c>
      <c r="D12" s="402" t="str">
        <f>IF(estudo_cvd_type=2,ROUND(C12,2), "IGNORAR")</f>
        <v>IGNORAR</v>
      </c>
      <c r="E12" s="422" t="s">
        <v>1289</v>
      </c>
      <c r="F12" s="565"/>
      <c r="G12" s="784"/>
      <c r="H12" s="410"/>
      <c r="I12" s="402"/>
      <c r="J12" s="404"/>
      <c r="K12" s="422"/>
      <c r="L12" s="565"/>
      <c r="M12" s="784"/>
      <c r="N12" s="662"/>
      <c r="O12" s="404"/>
      <c r="P12" s="404"/>
      <c r="Q12" s="424"/>
      <c r="R12" s="565"/>
      <c r="T12" s="584" t="s">
        <v>1874</v>
      </c>
      <c r="U12" s="584" t="s">
        <v>1380</v>
      </c>
      <c r="V12" s="587">
        <f>V11-V10+V9</f>
        <v>0</v>
      </c>
      <c r="W12" s="587">
        <f t="shared" ref="W12:X12" si="0">W11-W10+W9</f>
        <v>0</v>
      </c>
      <c r="X12" s="587">
        <f t="shared" si="0"/>
        <v>0</v>
      </c>
      <c r="AA12" s="404" t="str">
        <f>Auxiliar2!AK8</f>
        <v/>
      </c>
      <c r="AB12" s="404" t="str">
        <f>Auxiliar2!AL8</f>
        <v/>
      </c>
    </row>
    <row r="13" spans="1:30" ht="12.75" customHeight="1" x14ac:dyDescent="0.2">
      <c r="A13" s="784"/>
      <c r="B13" s="403" t="s">
        <v>1728</v>
      </c>
      <c r="C13" s="404">
        <f>case2_est_stage_value_ar+case2_est_position_corc2</f>
        <v>0</v>
      </c>
      <c r="D13" s="404" t="str">
        <f>IF(estudo_cvd_type=2,ROUND(C13,2), "IGNORAR")</f>
        <v>IGNORAR</v>
      </c>
      <c r="E13" s="422" t="s">
        <v>1289</v>
      </c>
      <c r="F13" s="565"/>
      <c r="G13" s="784"/>
      <c r="H13" s="408"/>
      <c r="I13" s="402"/>
      <c r="J13" s="404"/>
      <c r="K13" s="456"/>
      <c r="L13" s="565"/>
      <c r="M13" s="784"/>
      <c r="N13" s="662"/>
      <c r="O13" s="404"/>
      <c r="P13" s="404"/>
      <c r="Q13" s="424"/>
      <c r="R13" s="565"/>
      <c r="T13" s="598" t="s">
        <v>1865</v>
      </c>
      <c r="U13" s="581" t="s">
        <v>1871</v>
      </c>
      <c r="V13" s="582">
        <f>ROUNDUP(Auxiliar1!K39,2)</f>
        <v>0</v>
      </c>
      <c r="W13" s="404">
        <f>ROUNDUP(Auxiliar1!J39,2)</f>
        <v>0</v>
      </c>
      <c r="X13" s="404">
        <f>ROUNDUP(Auxiliar1!L39,2)*(-1)</f>
        <v>0</v>
      </c>
      <c r="AA13" s="404" t="str">
        <f>Auxiliar2!AK9</f>
        <v/>
      </c>
      <c r="AB13" s="404" t="str">
        <f>Auxiliar2!AL9</f>
        <v/>
      </c>
    </row>
    <row r="14" spans="1:30" x14ac:dyDescent="0.2">
      <c r="A14" s="784"/>
      <c r="B14" s="403" t="s">
        <v>1279</v>
      </c>
      <c r="C14" s="402" t="e">
        <f>case2_est_comp_susp-case2_est_dist_tdp_flange</f>
        <v>#VALUE!</v>
      </c>
      <c r="D14" s="402" t="str">
        <f>IF(estudo_cvd_type=2,ROUNDDOWN(C14,2), "IGNORAR")</f>
        <v>IGNORAR</v>
      </c>
      <c r="E14" s="422" t="s">
        <v>1289</v>
      </c>
      <c r="F14" s="565"/>
      <c r="G14" s="784"/>
      <c r="H14" s="404"/>
      <c r="I14" s="404"/>
      <c r="J14" s="404"/>
      <c r="K14" s="423"/>
      <c r="L14" s="565"/>
      <c r="M14" s="784"/>
      <c r="N14" s="401"/>
      <c r="O14" s="404"/>
      <c r="P14" s="404"/>
      <c r="Q14" s="424"/>
      <c r="R14" s="565"/>
      <c r="T14" s="424" t="s">
        <v>1866</v>
      </c>
      <c r="U14" s="423" t="s">
        <v>1872</v>
      </c>
      <c r="V14" s="582">
        <f>ROUNDUP(Auxiliar1!K59,2)</f>
        <v>0</v>
      </c>
      <c r="W14" s="404">
        <f>ROUNDUP(Auxiliar1!J59,2)</f>
        <v>0</v>
      </c>
      <c r="X14" s="404">
        <f>ROUNDUP(Auxiliar1!L59,2)*(-1)</f>
        <v>0</v>
      </c>
      <c r="AA14" s="404" t="str">
        <f>Auxiliar2!AK10</f>
        <v/>
      </c>
      <c r="AB14" s="404" t="str">
        <f>Auxiliar2!AL10</f>
        <v/>
      </c>
    </row>
    <row r="15" spans="1:30" x14ac:dyDescent="0.2">
      <c r="A15" s="784"/>
      <c r="B15" s="401"/>
      <c r="C15" s="404"/>
      <c r="D15" s="404"/>
      <c r="E15" s="424"/>
      <c r="F15" s="565"/>
      <c r="G15" s="784"/>
      <c r="H15" s="404"/>
      <c r="I15" s="404"/>
      <c r="J15" s="404"/>
      <c r="K15" s="423"/>
      <c r="L15" s="565"/>
      <c r="M15" s="784"/>
      <c r="N15" s="401"/>
      <c r="O15" s="404"/>
      <c r="P15" s="404"/>
      <c r="Q15" s="424"/>
      <c r="R15" s="565"/>
      <c r="T15" s="424" t="s">
        <v>1867</v>
      </c>
      <c r="U15" s="423" t="s">
        <v>1873</v>
      </c>
      <c r="V15" s="582">
        <f>ROUNDUP(Auxiliar1!K79,2)</f>
        <v>0</v>
      </c>
      <c r="W15" s="404">
        <f>ROUNDUP(Auxiliar1!J60,2)</f>
        <v>0</v>
      </c>
      <c r="X15" s="404">
        <f>ROUNDUP(Auxiliar1!L79,2)*(-1)</f>
        <v>0</v>
      </c>
      <c r="AA15" s="404" t="str">
        <f>Auxiliar2!AK11</f>
        <v/>
      </c>
      <c r="AB15" s="404" t="str">
        <f>Auxiliar2!AL11</f>
        <v/>
      </c>
    </row>
    <row r="16" spans="1:30" ht="13.5" thickBot="1" x14ac:dyDescent="0.25">
      <c r="A16" s="784"/>
      <c r="B16" s="401"/>
      <c r="C16" s="404"/>
      <c r="D16" s="404"/>
      <c r="E16" s="424"/>
      <c r="F16" s="565"/>
      <c r="G16" s="784"/>
      <c r="H16" s="404"/>
      <c r="I16" s="404"/>
      <c r="J16" s="404"/>
      <c r="K16" s="423"/>
      <c r="L16" s="565"/>
      <c r="M16" s="784"/>
      <c r="N16" s="401"/>
      <c r="O16" s="404"/>
      <c r="P16" s="404"/>
      <c r="Q16" s="424"/>
      <c r="R16" s="565"/>
      <c r="T16" s="584" t="s">
        <v>1875</v>
      </c>
      <c r="U16" s="584" t="s">
        <v>1380</v>
      </c>
      <c r="V16" s="587">
        <f>V15-V14+V13</f>
        <v>0</v>
      </c>
      <c r="W16" s="587">
        <f t="shared" ref="W16:X16" si="1">W15-W14+W13</f>
        <v>0</v>
      </c>
      <c r="X16" s="587">
        <f t="shared" si="1"/>
        <v>0</v>
      </c>
      <c r="AA16" s="404" t="str">
        <f>Auxiliar2!AK12</f>
        <v/>
      </c>
      <c r="AB16" s="404" t="str">
        <f>Auxiliar2!AL12</f>
        <v/>
      </c>
    </row>
    <row r="17" spans="1:28" x14ac:dyDescent="0.2">
      <c r="A17" s="784"/>
      <c r="B17" s="401"/>
      <c r="C17" s="404"/>
      <c r="D17" s="404"/>
      <c r="E17" s="424"/>
      <c r="F17" s="565"/>
      <c r="G17" s="784"/>
      <c r="H17" s="404"/>
      <c r="I17" s="404"/>
      <c r="J17" s="404"/>
      <c r="K17" s="423"/>
      <c r="L17" s="565"/>
      <c r="M17" s="784"/>
      <c r="N17" s="401"/>
      <c r="O17" s="404"/>
      <c r="P17" s="404"/>
      <c r="Q17" s="424"/>
      <c r="R17" s="565"/>
      <c r="T17" s="598" t="s">
        <v>1868</v>
      </c>
      <c r="U17" s="581" t="s">
        <v>1873</v>
      </c>
      <c r="V17" s="589">
        <f>ROUNDUP(Auxiliar1!E99,2)</f>
        <v>0</v>
      </c>
      <c r="W17" s="590">
        <f>ROUNDUP(Auxiliar1!D99,2)</f>
        <v>0</v>
      </c>
      <c r="X17" s="590">
        <f>ROUNDUP(Auxiliar1!F99,2)*(-1)</f>
        <v>0</v>
      </c>
      <c r="AA17" s="404" t="str">
        <f>Auxiliar2!AK13</f>
        <v/>
      </c>
      <c r="AB17" s="404" t="str">
        <f>Auxiliar2!AL13</f>
        <v/>
      </c>
    </row>
    <row r="18" spans="1:28" ht="13.5" thickBot="1" x14ac:dyDescent="0.25">
      <c r="A18" s="784"/>
      <c r="B18" s="401"/>
      <c r="C18" s="404"/>
      <c r="D18" s="404"/>
      <c r="E18" s="424"/>
      <c r="F18" s="565"/>
      <c r="G18" s="784"/>
      <c r="H18" s="404"/>
      <c r="I18" s="404"/>
      <c r="J18" s="404"/>
      <c r="K18" s="423"/>
      <c r="L18" s="565"/>
      <c r="M18" s="784"/>
      <c r="N18" s="401"/>
      <c r="O18" s="404"/>
      <c r="P18" s="404"/>
      <c r="Q18" s="424"/>
      <c r="R18" s="565"/>
      <c r="T18" s="584" t="s">
        <v>1876</v>
      </c>
      <c r="U18" s="584" t="s">
        <v>1380</v>
      </c>
      <c r="V18" s="587">
        <f>V17-V14+V13</f>
        <v>0</v>
      </c>
      <c r="W18" s="587">
        <f t="shared" ref="W18:X18" si="2">W17-W14+W13</f>
        <v>0</v>
      </c>
      <c r="X18" s="587">
        <f t="shared" si="2"/>
        <v>0</v>
      </c>
      <c r="AA18" s="404" t="str">
        <f>Auxiliar2!AK14</f>
        <v/>
      </c>
      <c r="AB18" s="404" t="str">
        <f>Auxiliar2!AL14</f>
        <v/>
      </c>
    </row>
    <row r="19" spans="1:28" x14ac:dyDescent="0.2">
      <c r="A19" s="784"/>
      <c r="B19" s="401"/>
      <c r="C19" s="404"/>
      <c r="D19" s="404"/>
      <c r="E19" s="424"/>
      <c r="F19" s="565"/>
      <c r="G19" s="784"/>
      <c r="H19" s="404"/>
      <c r="I19" s="404"/>
      <c r="J19" s="404"/>
      <c r="K19" s="423"/>
      <c r="L19" s="565"/>
      <c r="M19" s="784"/>
      <c r="N19" s="401"/>
      <c r="O19" s="404"/>
      <c r="P19" s="404"/>
      <c r="Q19" s="424"/>
      <c r="R19" s="565"/>
      <c r="T19" s="580" t="s">
        <v>1893</v>
      </c>
      <c r="U19" s="586" t="s">
        <v>1380</v>
      </c>
      <c r="V19" s="599">
        <f>ROUNDUP(Auxiliar1!K99,2)</f>
        <v>0</v>
      </c>
      <c r="W19" s="583">
        <f>ROUNDUP(Auxiliar1!J99,2)</f>
        <v>0</v>
      </c>
      <c r="X19" s="583">
        <f>ROUNDUP(Auxiliar1!L99,2)*(-1)</f>
        <v>0</v>
      </c>
      <c r="AA19" s="404" t="str">
        <f>Auxiliar2!AK15</f>
        <v/>
      </c>
      <c r="AB19" s="404" t="str">
        <f>Auxiliar2!AL15</f>
        <v/>
      </c>
    </row>
    <row r="20" spans="1:28" x14ac:dyDescent="0.2">
      <c r="A20" s="784"/>
      <c r="B20" s="401"/>
      <c r="C20" s="404"/>
      <c r="D20" s="404"/>
      <c r="E20" s="424"/>
      <c r="F20" s="565"/>
      <c r="G20" s="784"/>
      <c r="H20" s="404"/>
      <c r="I20" s="404"/>
      <c r="J20" s="404"/>
      <c r="K20" s="423"/>
      <c r="L20" s="565"/>
      <c r="M20" s="784"/>
      <c r="N20" s="401"/>
      <c r="O20" s="404"/>
      <c r="P20" s="404"/>
      <c r="Q20" s="424"/>
      <c r="R20" s="565"/>
      <c r="T20" s="580" t="s">
        <v>1894</v>
      </c>
      <c r="U20" s="586" t="s">
        <v>1380</v>
      </c>
      <c r="V20" s="599">
        <f>ROUNDUP(Auxiliar1!K100,2)</f>
        <v>0</v>
      </c>
      <c r="W20" s="583">
        <f>ROUNDUP(Auxiliar1!J100,2)</f>
        <v>0</v>
      </c>
      <c r="X20" s="583">
        <f>ROUNDUP(Auxiliar1!L100,2)*(-1)</f>
        <v>0</v>
      </c>
      <c r="AA20" s="404" t="str">
        <f>Auxiliar2!AK16</f>
        <v/>
      </c>
      <c r="AB20" s="404" t="str">
        <f>Auxiliar2!AL16</f>
        <v/>
      </c>
    </row>
    <row r="21" spans="1:28" x14ac:dyDescent="0.2">
      <c r="A21" s="784"/>
      <c r="B21" s="401"/>
      <c r="C21" s="404"/>
      <c r="D21" s="404"/>
      <c r="E21" s="424"/>
      <c r="F21" s="565"/>
      <c r="G21" s="784"/>
      <c r="H21" s="404"/>
      <c r="I21" s="404"/>
      <c r="J21" s="404"/>
      <c r="K21" s="423"/>
      <c r="L21" s="565"/>
      <c r="M21" s="784"/>
      <c r="N21" s="401"/>
      <c r="O21" s="404"/>
      <c r="P21" s="404"/>
      <c r="Q21" s="424"/>
      <c r="R21" s="565"/>
      <c r="AA21" s="404" t="str">
        <f>Auxiliar2!AK17</f>
        <v/>
      </c>
      <c r="AB21" s="404" t="str">
        <f>Auxiliar2!AL17</f>
        <v/>
      </c>
    </row>
    <row r="22" spans="1:28" x14ac:dyDescent="0.2">
      <c r="A22" s="784"/>
      <c r="B22" s="401"/>
      <c r="C22" s="404"/>
      <c r="D22" s="404"/>
      <c r="E22" s="424"/>
      <c r="F22" s="565"/>
      <c r="G22" s="784"/>
      <c r="H22" s="404"/>
      <c r="I22" s="404"/>
      <c r="J22" s="404"/>
      <c r="K22" s="423"/>
      <c r="L22" s="565"/>
      <c r="M22" s="784"/>
      <c r="N22" s="401"/>
      <c r="O22" s="404"/>
      <c r="P22" s="404"/>
      <c r="Q22" s="424"/>
      <c r="R22" s="565"/>
      <c r="T22" s="781" t="s">
        <v>1766</v>
      </c>
      <c r="U22" s="787"/>
      <c r="V22" s="787"/>
      <c r="W22" s="787"/>
      <c r="X22" s="782"/>
      <c r="AA22" s="404" t="str">
        <f>Auxiliar2!AK18</f>
        <v/>
      </c>
      <c r="AB22" s="404" t="str">
        <f>Auxiliar2!AL18</f>
        <v/>
      </c>
    </row>
    <row r="23" spans="1:28" x14ac:dyDescent="0.2">
      <c r="A23" s="784"/>
      <c r="B23" s="401"/>
      <c r="C23" s="404"/>
      <c r="D23" s="404"/>
      <c r="E23" s="424"/>
      <c r="F23" s="565"/>
      <c r="G23" s="784"/>
      <c r="H23" s="404"/>
      <c r="I23" s="404"/>
      <c r="J23" s="404"/>
      <c r="K23" s="423"/>
      <c r="L23" s="565"/>
      <c r="M23" s="784"/>
      <c r="N23" s="401"/>
      <c r="O23" s="404"/>
      <c r="P23" s="404"/>
      <c r="Q23" s="424"/>
      <c r="R23" s="565"/>
      <c r="T23" s="399" t="s">
        <v>1706</v>
      </c>
      <c r="U23" s="399" t="s">
        <v>1898</v>
      </c>
      <c r="V23" s="399" t="s">
        <v>1901</v>
      </c>
      <c r="W23" s="399" t="s">
        <v>1708</v>
      </c>
      <c r="X23" s="399" t="s">
        <v>1454</v>
      </c>
      <c r="AA23" s="404" t="str">
        <f>Auxiliar2!AK19</f>
        <v/>
      </c>
      <c r="AB23" s="404" t="str">
        <f>Auxiliar2!AL19</f>
        <v/>
      </c>
    </row>
    <row r="24" spans="1:28" x14ac:dyDescent="0.2">
      <c r="A24" s="784"/>
      <c r="B24" s="401"/>
      <c r="C24" s="404"/>
      <c r="D24" s="404"/>
      <c r="E24" s="424"/>
      <c r="F24" s="565"/>
      <c r="G24" s="784"/>
      <c r="H24" s="404"/>
      <c r="I24" s="404"/>
      <c r="J24" s="404"/>
      <c r="K24" s="423"/>
      <c r="L24" s="565"/>
      <c r="M24" s="784"/>
      <c r="N24" s="401"/>
      <c r="O24" s="404"/>
      <c r="P24" s="404"/>
      <c r="Q24" s="424"/>
      <c r="R24" s="565"/>
      <c r="T24" s="422" t="s">
        <v>1326</v>
      </c>
      <c r="U24" s="420" t="s">
        <v>1900</v>
      </c>
      <c r="V24" s="404" t="s">
        <v>1703</v>
      </c>
      <c r="W24" s="404">
        <f>IF(Values!C11="","",Values!C11)</f>
        <v>6</v>
      </c>
      <c r="X24" s="424" t="s">
        <v>1380</v>
      </c>
      <c r="AA24" s="404" t="str">
        <f>Auxiliar2!AK20</f>
        <v/>
      </c>
      <c r="AB24" s="404" t="str">
        <f>Auxiliar2!AL20</f>
        <v/>
      </c>
    </row>
    <row r="25" spans="1:28" x14ac:dyDescent="0.2">
      <c r="A25" s="785"/>
      <c r="B25" s="401"/>
      <c r="C25" s="404"/>
      <c r="D25" s="404"/>
      <c r="E25" s="424"/>
      <c r="F25" s="565"/>
      <c r="G25" s="785"/>
      <c r="H25" s="404"/>
      <c r="I25" s="404"/>
      <c r="J25" s="404"/>
      <c r="K25" s="423"/>
      <c r="L25" s="565"/>
      <c r="M25" s="785"/>
      <c r="N25" s="401"/>
      <c r="O25" s="404"/>
      <c r="P25" s="404"/>
      <c r="Q25" s="424"/>
      <c r="R25" s="565"/>
      <c r="T25" s="422" t="s">
        <v>1327</v>
      </c>
      <c r="U25" s="420" t="s">
        <v>1900</v>
      </c>
      <c r="V25" s="404" t="s">
        <v>1703</v>
      </c>
      <c r="W25" s="404">
        <f>IF(case2_est_lda="","",case2_est_lda)</f>
        <v>0</v>
      </c>
      <c r="X25" s="424" t="s">
        <v>1380</v>
      </c>
      <c r="AA25" s="404" t="str">
        <f>Auxiliar2!AK21</f>
        <v/>
      </c>
      <c r="AB25" s="404" t="str">
        <f>Auxiliar2!AL21</f>
        <v/>
      </c>
    </row>
    <row r="26" spans="1:28" ht="12.75" customHeight="1" x14ac:dyDescent="0.2">
      <c r="A26" s="788" t="s">
        <v>1704</v>
      </c>
      <c r="B26" s="656" t="s">
        <v>1624</v>
      </c>
      <c r="C26" s="412"/>
      <c r="D26" s="404">
        <f>C26</f>
        <v>0</v>
      </c>
      <c r="E26" s="424" t="s">
        <v>1380</v>
      </c>
      <c r="F26" s="565"/>
      <c r="G26" s="788" t="s">
        <v>1704</v>
      </c>
      <c r="H26" s="660" t="s">
        <v>1942</v>
      </c>
      <c r="I26" s="414"/>
      <c r="J26" s="407">
        <f>-I26</f>
        <v>0</v>
      </c>
      <c r="K26" s="422" t="s">
        <v>1289</v>
      </c>
      <c r="L26" s="565"/>
      <c r="M26" s="788" t="s">
        <v>1704</v>
      </c>
      <c r="N26" s="657" t="s">
        <v>1938</v>
      </c>
      <c r="O26" s="414"/>
      <c r="P26" s="407">
        <f>ROUND(O26,2)</f>
        <v>0</v>
      </c>
      <c r="Q26" s="422" t="s">
        <v>1289</v>
      </c>
      <c r="R26" s="565"/>
      <c r="T26" s="420" t="s">
        <v>1288</v>
      </c>
      <c r="U26" s="420" t="s">
        <v>1900</v>
      </c>
      <c r="V26" s="608">
        <f>'MCV e Guindaste'!B8/1000</f>
        <v>3.81</v>
      </c>
      <c r="W26" s="402">
        <f>ROUND(V26,2)</f>
        <v>3.81</v>
      </c>
      <c r="X26" s="421" t="s">
        <v>1289</v>
      </c>
      <c r="AA26" s="404" t="str">
        <f>Auxiliar2!AK22</f>
        <v/>
      </c>
      <c r="AB26" s="404" t="str">
        <f>Auxiliar2!AL22</f>
        <v/>
      </c>
    </row>
    <row r="27" spans="1:28" x14ac:dyDescent="0.2">
      <c r="A27" s="788"/>
      <c r="B27" s="656" t="s">
        <v>1926</v>
      </c>
      <c r="C27" s="415"/>
      <c r="D27" s="407">
        <f>ROUND(C27,2)</f>
        <v>0</v>
      </c>
      <c r="E27" s="422" t="s">
        <v>1298</v>
      </c>
      <c r="F27" s="565"/>
      <c r="G27" s="788"/>
      <c r="H27" s="660" t="s">
        <v>1943</v>
      </c>
      <c r="I27" s="414"/>
      <c r="J27" s="402">
        <f>ROUNDUP(I27,2)</f>
        <v>0</v>
      </c>
      <c r="K27" s="422" t="s">
        <v>1380</v>
      </c>
      <c r="L27" s="565"/>
      <c r="M27" s="788"/>
      <c r="N27" s="657" t="s">
        <v>1942</v>
      </c>
      <c r="O27" s="414"/>
      <c r="P27" s="407">
        <f>ROUND(O27,2)</f>
        <v>0</v>
      </c>
      <c r="Q27" s="422" t="s">
        <v>1289</v>
      </c>
      <c r="R27" s="565"/>
      <c r="T27" s="420" t="s">
        <v>1896</v>
      </c>
      <c r="U27" s="420" t="s">
        <v>1900</v>
      </c>
      <c r="V27" s="609">
        <f>Values!$C$27</f>
        <v>2.86</v>
      </c>
      <c r="W27" s="402">
        <f>ROUNDUP(V27,2)</f>
        <v>2.86</v>
      </c>
      <c r="X27" s="421" t="s">
        <v>1289</v>
      </c>
      <c r="AA27" s="404" t="str">
        <f>Auxiliar2!AK23</f>
        <v/>
      </c>
      <c r="AB27" s="404" t="str">
        <f>Auxiliar2!AL23</f>
        <v/>
      </c>
    </row>
    <row r="28" spans="1:28" x14ac:dyDescent="0.2">
      <c r="A28" s="788"/>
      <c r="B28" s="656" t="s">
        <v>1927</v>
      </c>
      <c r="C28" s="414"/>
      <c r="D28" s="407">
        <f>ROUND(C28, 2)</f>
        <v>0</v>
      </c>
      <c r="E28" s="422" t="s">
        <v>1289</v>
      </c>
      <c r="F28" s="565"/>
      <c r="G28" s="788"/>
      <c r="H28" s="660" t="s">
        <v>1932</v>
      </c>
      <c r="I28" s="414"/>
      <c r="J28" s="407">
        <f>ROUNDDOWN(I28,2)</f>
        <v>0</v>
      </c>
      <c r="K28" s="422" t="s">
        <v>1289</v>
      </c>
      <c r="L28" s="565"/>
      <c r="M28" s="788"/>
      <c r="N28" s="657" t="s">
        <v>1932</v>
      </c>
      <c r="O28" s="414"/>
      <c r="P28" s="407">
        <f>ROUNDDOWN(O28,2)</f>
        <v>0</v>
      </c>
      <c r="Q28" s="422" t="s">
        <v>1289</v>
      </c>
      <c r="R28" s="565"/>
      <c r="T28" s="420" t="s">
        <v>1897</v>
      </c>
      <c r="U28" s="420" t="s">
        <v>1900</v>
      </c>
      <c r="V28" s="609">
        <f>Values!$C$13</f>
        <v>2.5049999999999999</v>
      </c>
      <c r="W28" s="402">
        <f>ROUNDUP(V28,2)</f>
        <v>2.5099999999999998</v>
      </c>
      <c r="X28" s="421" t="s">
        <v>1289</v>
      </c>
      <c r="AA28" s="404" t="str">
        <f>Auxiliar2!AK24</f>
        <v/>
      </c>
      <c r="AB28" s="404" t="str">
        <f>Auxiliar2!AL24</f>
        <v/>
      </c>
    </row>
    <row r="29" spans="1:28" x14ac:dyDescent="0.2">
      <c r="A29" s="788"/>
      <c r="B29" s="656" t="s">
        <v>1928</v>
      </c>
      <c r="C29" s="414"/>
      <c r="D29" s="407">
        <f>ROUND(C29, 2)</f>
        <v>0</v>
      </c>
      <c r="E29" s="422" t="s">
        <v>1289</v>
      </c>
      <c r="F29" s="565"/>
      <c r="G29" s="788"/>
      <c r="H29" s="661" t="s">
        <v>1933</v>
      </c>
      <c r="I29" s="414"/>
      <c r="J29" s="407">
        <f>ROUNDDOWN(I29,2)</f>
        <v>0</v>
      </c>
      <c r="K29" s="422" t="s">
        <v>1289</v>
      </c>
      <c r="L29" s="565"/>
      <c r="M29" s="788"/>
      <c r="N29" s="657" t="s">
        <v>1933</v>
      </c>
      <c r="O29" s="414"/>
      <c r="P29" s="407">
        <f>ROUNDDOWN(O29,2)</f>
        <v>0</v>
      </c>
      <c r="Q29" s="422" t="s">
        <v>1289</v>
      </c>
      <c r="R29" s="565"/>
      <c r="T29" s="420" t="s">
        <v>1291</v>
      </c>
      <c r="U29" s="420" t="s">
        <v>1900</v>
      </c>
      <c r="V29" s="609">
        <f>Values!C28</f>
        <v>57</v>
      </c>
      <c r="W29" s="404">
        <f>ROUNDDOWN(V29,2)</f>
        <v>57</v>
      </c>
      <c r="X29" s="424" t="s">
        <v>1292</v>
      </c>
      <c r="AA29" s="404" t="str">
        <f>Auxiliar2!AK25</f>
        <v/>
      </c>
      <c r="AB29" s="404" t="str">
        <f>Auxiliar2!AL25</f>
        <v/>
      </c>
    </row>
    <row r="30" spans="1:28" x14ac:dyDescent="0.2">
      <c r="A30" s="788"/>
      <c r="B30" s="657" t="s">
        <v>1931</v>
      </c>
      <c r="C30" s="414"/>
      <c r="D30" s="402">
        <f>ROUNDUP(C30,2)</f>
        <v>0</v>
      </c>
      <c r="E30" s="422" t="s">
        <v>1292</v>
      </c>
      <c r="F30" s="565"/>
      <c r="G30" s="788"/>
      <c r="H30" s="660" t="s">
        <v>1934</v>
      </c>
      <c r="I30" s="414"/>
      <c r="J30" s="402">
        <f>ROUNDUP(I30,2)</f>
        <v>0</v>
      </c>
      <c r="K30" s="422" t="s">
        <v>1292</v>
      </c>
      <c r="L30" s="565"/>
      <c r="M30" s="788"/>
      <c r="N30" s="657" t="s">
        <v>1944</v>
      </c>
      <c r="O30" s="414"/>
      <c r="P30" s="407">
        <f>ROUNDUP(O30/9.81,2)</f>
        <v>0</v>
      </c>
      <c r="Q30" s="422" t="s">
        <v>1318</v>
      </c>
      <c r="R30" s="565"/>
      <c r="T30" s="420" t="s">
        <v>1294</v>
      </c>
      <c r="U30" s="420" t="s">
        <v>1900</v>
      </c>
      <c r="V30" s="609">
        <f>Values!C29</f>
        <v>43</v>
      </c>
      <c r="W30" s="404">
        <f>ROUNDDOWN(V30,2)</f>
        <v>43</v>
      </c>
      <c r="X30" s="421" t="s">
        <v>1295</v>
      </c>
      <c r="AA30" s="404" t="str">
        <f>Auxiliar2!AK26</f>
        <v/>
      </c>
      <c r="AB30" s="404" t="str">
        <f>Auxiliar2!AL26</f>
        <v/>
      </c>
    </row>
    <row r="31" spans="1:28" x14ac:dyDescent="0.2">
      <c r="A31" s="788"/>
      <c r="B31" s="657" t="s">
        <v>1930</v>
      </c>
      <c r="C31" s="414"/>
      <c r="D31" s="407">
        <f>ROUNDUP(C31,2)</f>
        <v>0</v>
      </c>
      <c r="E31" s="422" t="s">
        <v>1295</v>
      </c>
      <c r="F31" s="565"/>
      <c r="G31" s="788"/>
      <c r="H31" s="660" t="s">
        <v>1935</v>
      </c>
      <c r="I31" s="414"/>
      <c r="J31" s="402">
        <f>ROUNDUP(I31,2)</f>
        <v>0</v>
      </c>
      <c r="K31" s="422" t="s">
        <v>1295</v>
      </c>
      <c r="L31" s="565"/>
      <c r="M31" s="788"/>
      <c r="N31" s="657" t="s">
        <v>1945</v>
      </c>
      <c r="O31" s="414"/>
      <c r="P31" s="402">
        <f>ROUNDUP(O31/9.81,2)</f>
        <v>0</v>
      </c>
      <c r="Q31" s="422" t="s">
        <v>1318</v>
      </c>
      <c r="R31" s="565"/>
      <c r="T31" s="425" t="s">
        <v>1767</v>
      </c>
      <c r="U31" s="420" t="s">
        <v>1900</v>
      </c>
      <c r="V31" s="404" t="s">
        <v>1703</v>
      </c>
      <c r="W31" s="404" t="str">
        <f>TRIM(IF(Values!A7="",Values!A5,_xlfn.CONCAT(Values!A5," Rev. ",Values!A7)))</f>
        <v>WSI 152.2547-RD-4042-X Rev. 2</v>
      </c>
      <c r="X31" s="424" t="s">
        <v>1380</v>
      </c>
      <c r="AA31" s="404" t="str">
        <f>Auxiliar2!AK27</f>
        <v/>
      </c>
      <c r="AB31" s="404" t="str">
        <f>Auxiliar2!AL27</f>
        <v/>
      </c>
    </row>
    <row r="32" spans="1:28" x14ac:dyDescent="0.2">
      <c r="A32" s="788"/>
      <c r="B32" s="657" t="s">
        <v>1929</v>
      </c>
      <c r="C32" s="414"/>
      <c r="D32" s="407">
        <f>ROUNDUP(C32,2)*(-1)</f>
        <v>0</v>
      </c>
      <c r="E32" s="422" t="s">
        <v>1295</v>
      </c>
      <c r="F32" s="565"/>
      <c r="G32" s="788"/>
      <c r="H32" s="660" t="s">
        <v>1944</v>
      </c>
      <c r="I32" s="414"/>
      <c r="J32" s="402">
        <f>ROUND(I32/9.81,2)</f>
        <v>0</v>
      </c>
      <c r="K32" s="422" t="s">
        <v>1318</v>
      </c>
      <c r="L32" s="565"/>
      <c r="M32" s="788"/>
      <c r="N32" s="657" t="s">
        <v>1934</v>
      </c>
      <c r="O32" s="414"/>
      <c r="P32" s="402">
        <f>ROUNDUP(O32,2)</f>
        <v>0</v>
      </c>
      <c r="Q32" s="422" t="s">
        <v>1292</v>
      </c>
      <c r="R32" s="565"/>
      <c r="T32" s="425" t="s">
        <v>1902</v>
      </c>
      <c r="U32" s="420" t="s">
        <v>1900</v>
      </c>
      <c r="V32" s="404">
        <f>IF((Values!C4/1000)=0, "", Values!C4/1000)</f>
        <v>0.10657999999999999</v>
      </c>
      <c r="W32" s="404">
        <f>ROUNDUP(V32, 2)</f>
        <v>0.11</v>
      </c>
      <c r="X32" s="424" t="s">
        <v>1908</v>
      </c>
      <c r="AA32" s="404" t="str">
        <f>Auxiliar2!AK28</f>
        <v/>
      </c>
      <c r="AB32" s="404" t="str">
        <f>Auxiliar2!AL28</f>
        <v/>
      </c>
    </row>
    <row r="33" spans="1:28" x14ac:dyDescent="0.2">
      <c r="A33" s="788"/>
      <c r="B33" s="657" t="s">
        <v>1932</v>
      </c>
      <c r="C33" s="414"/>
      <c r="D33" s="402">
        <f>ROUNDUP(C33,2)</f>
        <v>0</v>
      </c>
      <c r="E33" s="422" t="s">
        <v>1289</v>
      </c>
      <c r="F33" s="565"/>
      <c r="G33" s="788"/>
      <c r="H33" s="660" t="s">
        <v>1945</v>
      </c>
      <c r="I33" s="414"/>
      <c r="J33" s="402">
        <f>ROUND(I33/9.81,2)</f>
        <v>0</v>
      </c>
      <c r="K33" s="422" t="s">
        <v>1318</v>
      </c>
      <c r="L33" s="565"/>
      <c r="M33" s="788"/>
      <c r="N33" s="658" t="s">
        <v>1935</v>
      </c>
      <c r="O33" s="414"/>
      <c r="P33" s="402">
        <f>ROUNDUP(O33,2)</f>
        <v>0</v>
      </c>
      <c r="Q33" s="422" t="s">
        <v>1295</v>
      </c>
      <c r="R33" s="565"/>
      <c r="T33" s="425" t="s">
        <v>1768</v>
      </c>
      <c r="U33" s="420" t="s">
        <v>1900</v>
      </c>
      <c r="V33" s="404" t="s">
        <v>1703</v>
      </c>
      <c r="W33" s="404" t="str">
        <f>TRIM(IF(Values!A22="",Values!A20,_xlfn.CONCAT(Values!A20," Rev. ",Values!A22)))</f>
        <v>CB-BR1522543-00-01 Rev. 1</v>
      </c>
      <c r="X33" s="424" t="s">
        <v>1380</v>
      </c>
      <c r="AA33" s="404" t="str">
        <f>Auxiliar2!AK29</f>
        <v/>
      </c>
      <c r="AB33" s="404" t="str">
        <f>Auxiliar2!AL29</f>
        <v/>
      </c>
    </row>
    <row r="34" spans="1:28" x14ac:dyDescent="0.2">
      <c r="A34" s="788"/>
      <c r="B34" s="658" t="s">
        <v>1933</v>
      </c>
      <c r="C34" s="414"/>
      <c r="D34" s="402">
        <f>ROUNDUP(C34,2)</f>
        <v>0</v>
      </c>
      <c r="E34" s="422" t="s">
        <v>1289</v>
      </c>
      <c r="F34" s="565"/>
      <c r="G34" s="788"/>
      <c r="H34" s="413"/>
      <c r="I34" s="414"/>
      <c r="J34" s="407"/>
      <c r="K34" s="422"/>
      <c r="L34" s="565"/>
      <c r="M34" s="788"/>
      <c r="N34" s="413"/>
      <c r="O34" s="414"/>
      <c r="P34" s="402"/>
      <c r="Q34" s="422"/>
      <c r="R34" s="565"/>
      <c r="T34" s="425" t="s">
        <v>1903</v>
      </c>
      <c r="U34" s="420" t="s">
        <v>1900</v>
      </c>
      <c r="V34" s="404">
        <f>IF(Values!C21=0, "", Values!C21)</f>
        <v>0.27980997624703086</v>
      </c>
      <c r="W34" s="404">
        <f>ROUNDUP(V34, 2)</f>
        <v>0.28000000000000003</v>
      </c>
      <c r="X34" s="424" t="s">
        <v>1907</v>
      </c>
      <c r="AA34" s="404" t="str">
        <f>Auxiliar2!AK30</f>
        <v/>
      </c>
      <c r="AB34" s="404" t="str">
        <f>Auxiliar2!AL30</f>
        <v/>
      </c>
    </row>
    <row r="35" spans="1:28" x14ac:dyDescent="0.2">
      <c r="A35" s="788"/>
      <c r="B35" s="657" t="s">
        <v>1934</v>
      </c>
      <c r="C35" s="414"/>
      <c r="D35" s="402">
        <f>ROUNDUP(C35,1)</f>
        <v>0</v>
      </c>
      <c r="E35" s="422" t="s">
        <v>1292</v>
      </c>
      <c r="F35" s="565"/>
      <c r="G35" s="788"/>
      <c r="H35" s="413"/>
      <c r="I35" s="414"/>
      <c r="J35" s="407"/>
      <c r="K35" s="422"/>
      <c r="L35" s="565"/>
      <c r="M35" s="788"/>
      <c r="N35" s="413"/>
      <c r="O35" s="414"/>
      <c r="P35" s="402"/>
      <c r="Q35" s="422"/>
      <c r="R35" s="565"/>
      <c r="T35" s="425" t="s">
        <v>1769</v>
      </c>
      <c r="U35" s="420" t="s">
        <v>1900</v>
      </c>
      <c r="V35" s="404" t="s">
        <v>1703</v>
      </c>
      <c r="W35" s="404" t="str">
        <f>TRIM(IF(Values!A42="",Values!A40,_xlfn.CONCAT(Values!A40," Rev. ",Values!A42)))</f>
        <v>CB-EF1522543-00-04 Rev. 2</v>
      </c>
      <c r="X35" s="424" t="s">
        <v>1380</v>
      </c>
      <c r="AA35" s="404" t="str">
        <f>Auxiliar2!AK31</f>
        <v/>
      </c>
      <c r="AB35" s="404" t="str">
        <f>Auxiliar2!AL31</f>
        <v/>
      </c>
    </row>
    <row r="36" spans="1:28" x14ac:dyDescent="0.2">
      <c r="A36" s="788"/>
      <c r="B36" s="659" t="s">
        <v>1935</v>
      </c>
      <c r="C36" s="414"/>
      <c r="D36" s="402">
        <f>ROUNDUP(C36,1)</f>
        <v>0</v>
      </c>
      <c r="E36" s="422" t="s">
        <v>1295</v>
      </c>
      <c r="F36" s="565"/>
      <c r="G36" s="788"/>
      <c r="H36" s="413"/>
      <c r="I36" s="414"/>
      <c r="J36" s="407"/>
      <c r="K36" s="422"/>
      <c r="L36" s="565"/>
      <c r="M36" s="788"/>
      <c r="N36" s="417"/>
      <c r="O36" s="414"/>
      <c r="P36" s="407"/>
      <c r="Q36" s="422"/>
      <c r="R36" s="565"/>
      <c r="T36" s="425" t="s">
        <v>1904</v>
      </c>
      <c r="U36" s="420" t="s">
        <v>1900</v>
      </c>
      <c r="V36" s="404">
        <f>IF(Values!C41=0, "", Values!C41)</f>
        <v>1.4517029592406478</v>
      </c>
      <c r="W36" s="404">
        <f>ROUNDUP(V36, 2)</f>
        <v>1.46</v>
      </c>
      <c r="X36" s="424" t="s">
        <v>1907</v>
      </c>
      <c r="AA36" s="404" t="str">
        <f>Auxiliar2!AK32</f>
        <v/>
      </c>
      <c r="AB36" s="404" t="str">
        <f>Auxiliar2!AL32</f>
        <v/>
      </c>
    </row>
    <row r="37" spans="1:28" x14ac:dyDescent="0.2">
      <c r="A37" s="788"/>
      <c r="B37" s="659" t="s">
        <v>1936</v>
      </c>
      <c r="C37" s="414"/>
      <c r="D37" s="407">
        <f>ROUND(C37, 0)</f>
        <v>0</v>
      </c>
      <c r="E37" s="422" t="s">
        <v>1289</v>
      </c>
      <c r="F37" s="565"/>
      <c r="G37" s="788"/>
      <c r="H37" s="412"/>
      <c r="I37" s="412"/>
      <c r="J37" s="404"/>
      <c r="K37" s="423"/>
      <c r="L37" s="565"/>
      <c r="M37" s="788"/>
      <c r="N37" s="412"/>
      <c r="O37" s="412"/>
      <c r="P37" s="404"/>
      <c r="Q37" s="423"/>
      <c r="R37" s="565"/>
      <c r="T37" s="425" t="s">
        <v>1770</v>
      </c>
      <c r="U37" s="420" t="s">
        <v>1900</v>
      </c>
      <c r="V37" s="404" t="s">
        <v>1703</v>
      </c>
      <c r="W37" s="404" t="str">
        <f>TRIM(IF(Values!A53="","xinputx",IF(Values!A55="",Values!A53,_xlfn.CONCAT(Values!A53," Rev. ",Values!A55))))</f>
        <v>xinputx</v>
      </c>
      <c r="X37" s="424" t="s">
        <v>1380</v>
      </c>
      <c r="AA37" s="404" t="str">
        <f>Auxiliar2!AK33</f>
        <v/>
      </c>
      <c r="AB37" s="404" t="str">
        <f>Auxiliar2!AL33</f>
        <v/>
      </c>
    </row>
    <row r="38" spans="1:28" x14ac:dyDescent="0.2">
      <c r="A38" s="788"/>
      <c r="B38" s="659" t="s">
        <v>1937</v>
      </c>
      <c r="C38" s="414"/>
      <c r="D38" s="407">
        <f>ROUND(C38,0)</f>
        <v>0</v>
      </c>
      <c r="E38" s="422" t="s">
        <v>1289</v>
      </c>
      <c r="F38" s="565"/>
      <c r="G38" s="788"/>
      <c r="H38" s="412"/>
      <c r="I38" s="412"/>
      <c r="J38" s="404"/>
      <c r="K38" s="423"/>
      <c r="L38" s="565"/>
      <c r="M38" s="788"/>
      <c r="N38" s="412"/>
      <c r="O38" s="412"/>
      <c r="P38" s="404"/>
      <c r="Q38" s="423"/>
      <c r="R38" s="565"/>
      <c r="T38" s="425" t="s">
        <v>1905</v>
      </c>
      <c r="U38" s="420" t="s">
        <v>1900</v>
      </c>
      <c r="V38" s="404" t="e">
        <f>IF(Values!C54=0, "", Values!C54)</f>
        <v>#DIV/0!</v>
      </c>
      <c r="W38" s="404" t="e">
        <f>ROUNDUP(V38, 2)</f>
        <v>#DIV/0!</v>
      </c>
      <c r="X38" s="424" t="s">
        <v>1907</v>
      </c>
      <c r="AA38" s="404" t="str">
        <f>Auxiliar2!AK34</f>
        <v/>
      </c>
      <c r="AB38" s="404" t="str">
        <f>Auxiliar2!AL34</f>
        <v/>
      </c>
    </row>
    <row r="39" spans="1:28" x14ac:dyDescent="0.2">
      <c r="A39" s="788"/>
      <c r="B39" s="657" t="s">
        <v>1938</v>
      </c>
      <c r="C39" s="414"/>
      <c r="D39" s="407">
        <f>ROUND(C39,2)</f>
        <v>0</v>
      </c>
      <c r="E39" s="422" t="s">
        <v>1289</v>
      </c>
      <c r="F39" s="565"/>
      <c r="G39" s="788"/>
      <c r="H39" s="412"/>
      <c r="I39" s="412"/>
      <c r="J39" s="404"/>
      <c r="K39" s="423"/>
      <c r="L39" s="565"/>
      <c r="M39" s="788"/>
      <c r="N39" s="412"/>
      <c r="O39" s="412"/>
      <c r="P39" s="404"/>
      <c r="Q39" s="423"/>
      <c r="R39" s="565"/>
      <c r="T39" s="425" t="s">
        <v>1771</v>
      </c>
      <c r="U39" s="420" t="s">
        <v>1900</v>
      </c>
      <c r="V39" s="404" t="s">
        <v>1703</v>
      </c>
      <c r="W39" s="404" t="str">
        <f>TRIM(IF(AND('MCV e Guindaste'!B4=0,'MCV e Guindaste'!B5=0),"xinputx",IF('MCV e Guindaste'!B4="",'MCV e Guindaste'!B5,IF('MCV e Guindaste'!B5="",'MCV e Guindaste'!B4,_xlfn.CONCAT('MCV e Guindaste'!B5," / ",'MCV e Guindaste'!B4)))))</f>
        <v>TechnipFMC / D</v>
      </c>
      <c r="X39" s="424" t="s">
        <v>1380</v>
      </c>
      <c r="AA39" s="404" t="str">
        <f>Auxiliar2!AK35</f>
        <v/>
      </c>
      <c r="AB39" s="404" t="str">
        <f>Auxiliar2!AL35</f>
        <v/>
      </c>
    </row>
    <row r="40" spans="1:28" x14ac:dyDescent="0.2">
      <c r="A40" s="788"/>
      <c r="B40" s="657" t="s">
        <v>1939</v>
      </c>
      <c r="C40" s="414"/>
      <c r="D40" s="407">
        <f>ROUND(C40,2)</f>
        <v>0</v>
      </c>
      <c r="E40" s="422" t="s">
        <v>1289</v>
      </c>
      <c r="F40" s="565"/>
      <c r="G40" s="788"/>
      <c r="H40" s="412"/>
      <c r="I40" s="412"/>
      <c r="J40" s="404"/>
      <c r="K40" s="423"/>
      <c r="L40" s="565"/>
      <c r="M40" s="788"/>
      <c r="N40" s="412"/>
      <c r="O40" s="412"/>
      <c r="P40" s="404"/>
      <c r="Q40" s="423"/>
      <c r="R40" s="565"/>
      <c r="T40" s="425" t="s">
        <v>1906</v>
      </c>
      <c r="U40" s="420" t="s">
        <v>1900</v>
      </c>
      <c r="V40" s="404">
        <f>'MCV e Guindaste'!C18/1000</f>
        <v>5.0430000000000001</v>
      </c>
      <c r="W40" s="404">
        <f>ROUNDUP(V40, 2)</f>
        <v>5.05</v>
      </c>
      <c r="X40" s="424" t="s">
        <v>1907</v>
      </c>
      <c r="AA40" s="404" t="str">
        <f>Auxiliar2!AK36</f>
        <v/>
      </c>
      <c r="AB40" s="404" t="str">
        <f>Auxiliar2!AL36</f>
        <v/>
      </c>
    </row>
    <row r="41" spans="1:28" x14ac:dyDescent="0.2">
      <c r="A41" s="788"/>
      <c r="B41" s="657" t="s">
        <v>1940</v>
      </c>
      <c r="C41" s="414"/>
      <c r="D41" s="407">
        <f>ROUND(C41,2)</f>
        <v>0</v>
      </c>
      <c r="E41" s="422" t="s">
        <v>1289</v>
      </c>
      <c r="F41" s="565"/>
      <c r="G41" s="788"/>
      <c r="H41" s="412"/>
      <c r="I41" s="412"/>
      <c r="J41" s="404"/>
      <c r="K41" s="423"/>
      <c r="L41" s="565"/>
      <c r="M41" s="788"/>
      <c r="N41" s="412"/>
      <c r="O41" s="412"/>
      <c r="P41" s="404"/>
      <c r="Q41" s="423"/>
      <c r="R41" s="565"/>
      <c r="T41" s="420" t="s">
        <v>1626</v>
      </c>
      <c r="U41" s="420" t="s">
        <v>430</v>
      </c>
      <c r="V41" s="404" t="s">
        <v>1703</v>
      </c>
      <c r="W41" s="405">
        <f>postproc_orcaflex_version</f>
        <v>0</v>
      </c>
      <c r="X41" s="424" t="s">
        <v>1380</v>
      </c>
      <c r="AA41" s="404" t="str">
        <f>Auxiliar2!AK37</f>
        <v/>
      </c>
      <c r="AB41" s="404" t="str">
        <f>Auxiliar2!AL37</f>
        <v/>
      </c>
    </row>
    <row r="42" spans="1:28" x14ac:dyDescent="0.2">
      <c r="A42" s="788"/>
      <c r="B42" s="657" t="s">
        <v>491</v>
      </c>
      <c r="C42" s="412"/>
      <c r="D42" s="407">
        <f t="shared" ref="D42:D43" si="3">ROUND(C42,2)</f>
        <v>0</v>
      </c>
      <c r="E42" s="424" t="s">
        <v>1289</v>
      </c>
      <c r="F42" s="565"/>
      <c r="G42" s="788"/>
      <c r="H42" s="412"/>
      <c r="I42" s="412"/>
      <c r="J42" s="404"/>
      <c r="K42" s="423"/>
      <c r="L42" s="565"/>
      <c r="M42" s="788"/>
      <c r="N42" s="412"/>
      <c r="O42" s="412"/>
      <c r="P42" s="404"/>
      <c r="Q42" s="423"/>
      <c r="R42" s="565"/>
      <c r="T42" s="425" t="s">
        <v>1946</v>
      </c>
      <c r="U42" s="420" t="s">
        <v>430</v>
      </c>
      <c r="V42" s="404" t="s">
        <v>1703</v>
      </c>
      <c r="W42" s="404">
        <f>MIN(case2_est_mbr_linha, case3i_din_mbr_linha)</f>
        <v>0</v>
      </c>
      <c r="X42" s="422" t="s">
        <v>1289</v>
      </c>
      <c r="AA42" s="404" t="str">
        <f>Auxiliar2!AK38</f>
        <v/>
      </c>
      <c r="AB42" s="404" t="str">
        <f>Auxiliar2!AL38</f>
        <v/>
      </c>
    </row>
    <row r="43" spans="1:28" x14ac:dyDescent="0.2">
      <c r="A43" s="788"/>
      <c r="B43" s="657" t="s">
        <v>490</v>
      </c>
      <c r="C43" s="412"/>
      <c r="D43" s="407">
        <f t="shared" si="3"/>
        <v>0</v>
      </c>
      <c r="E43" s="424" t="s">
        <v>1289</v>
      </c>
      <c r="F43" s="565"/>
      <c r="G43" s="788"/>
      <c r="H43" s="412"/>
      <c r="I43" s="412"/>
      <c r="J43" s="404"/>
      <c r="K43" s="423"/>
      <c r="L43" s="565"/>
      <c r="M43" s="788"/>
      <c r="N43" s="412"/>
      <c r="O43" s="412"/>
      <c r="P43" s="404"/>
      <c r="Q43" s="423"/>
      <c r="R43" s="565"/>
      <c r="T43" s="425" t="s">
        <v>1947</v>
      </c>
      <c r="U43" s="420" t="s">
        <v>430</v>
      </c>
      <c r="V43" s="404" t="s">
        <v>1703</v>
      </c>
      <c r="W43" s="404">
        <f>MIN(case2_est_mbr_vert, case3i_din_mbr_vert)</f>
        <v>0</v>
      </c>
      <c r="X43" s="422" t="s">
        <v>1289</v>
      </c>
      <c r="AA43" s="404" t="str">
        <f>Auxiliar2!AK39</f>
        <v/>
      </c>
      <c r="AB43" s="404" t="str">
        <f>Auxiliar2!AL39</f>
        <v/>
      </c>
    </row>
    <row r="44" spans="1:28" x14ac:dyDescent="0.2">
      <c r="A44" s="788"/>
      <c r="B44" s="411"/>
      <c r="C44" s="412"/>
      <c r="D44" s="404"/>
      <c r="E44" s="424"/>
      <c r="F44" s="565"/>
      <c r="G44" s="788"/>
      <c r="H44" s="412"/>
      <c r="I44" s="412"/>
      <c r="J44" s="404"/>
      <c r="K44" s="423"/>
      <c r="L44" s="565"/>
      <c r="M44" s="788"/>
      <c r="N44" s="412"/>
      <c r="O44" s="412"/>
      <c r="P44" s="404"/>
      <c r="Q44" s="423"/>
      <c r="R44" s="565"/>
      <c r="T44" s="425" t="s">
        <v>1783</v>
      </c>
      <c r="U44" s="420" t="s">
        <v>430</v>
      </c>
      <c r="V44" s="404" t="s">
        <v>1703</v>
      </c>
      <c r="W44" s="404">
        <f>SUM(Data!AA6:AA55)</f>
        <v>0</v>
      </c>
      <c r="X44" s="422" t="s">
        <v>1322</v>
      </c>
      <c r="AA44" s="404" t="str">
        <f>Auxiliar2!AK40</f>
        <v/>
      </c>
      <c r="AB44" s="404" t="str">
        <f>Auxiliar2!AL40</f>
        <v/>
      </c>
    </row>
    <row r="45" spans="1:28" x14ac:dyDescent="0.2">
      <c r="A45" s="788"/>
      <c r="B45" s="411"/>
      <c r="C45" s="412"/>
      <c r="D45" s="404"/>
      <c r="E45" s="424"/>
      <c r="F45" s="565"/>
      <c r="G45" s="788"/>
      <c r="H45" s="412"/>
      <c r="I45" s="412"/>
      <c r="J45" s="404"/>
      <c r="K45" s="423"/>
      <c r="L45" s="565"/>
      <c r="M45" s="788"/>
      <c r="N45" s="412"/>
      <c r="O45" s="412"/>
      <c r="P45" s="404"/>
      <c r="Q45" s="423"/>
      <c r="R45" s="565"/>
      <c r="T45" s="422" t="s">
        <v>1328</v>
      </c>
      <c r="U45" s="420" t="s">
        <v>430</v>
      </c>
      <c r="V45" s="404" t="s">
        <v>1703</v>
      </c>
      <c r="W45" s="404">
        <f>COUNT(Data!AB6:AB55)</f>
        <v>0</v>
      </c>
      <c r="X45" s="422" t="s">
        <v>1380</v>
      </c>
      <c r="AA45" s="404" t="str">
        <f>Auxiliar2!AK41</f>
        <v/>
      </c>
      <c r="AB45" s="404" t="str">
        <f>Auxiliar2!AL41</f>
        <v/>
      </c>
    </row>
    <row r="46" spans="1:28" x14ac:dyDescent="0.2">
      <c r="A46" s="788"/>
      <c r="B46" s="411"/>
      <c r="C46" s="412"/>
      <c r="D46" s="404"/>
      <c r="E46" s="424"/>
      <c r="F46" s="565"/>
      <c r="G46" s="788"/>
      <c r="H46" s="412"/>
      <c r="I46" s="412"/>
      <c r="J46" s="404"/>
      <c r="K46" s="423"/>
      <c r="L46" s="565"/>
      <c r="M46" s="788"/>
      <c r="N46" s="412"/>
      <c r="O46" s="412"/>
      <c r="P46" s="404"/>
      <c r="Q46" s="423"/>
      <c r="R46" s="565"/>
      <c r="T46" s="422" t="s">
        <v>1329</v>
      </c>
      <c r="U46" s="420" t="s">
        <v>430</v>
      </c>
      <c r="V46" s="404" t="s">
        <v>1703</v>
      </c>
      <c r="W46" s="404" cm="1">
        <f t="array" ref="W46">IF(ISNUMBER(INDEX(Data!AB6:AB55,MATCH(TRUE,ISNUMBER(Data!AB6:AB55),0))),INDEX(Data!AB6:AB55,MATCH(TRUE,ISNUMBER(Data!AB6:AB55),0)),0)</f>
        <v>0</v>
      </c>
      <c r="X46" s="422" t="s">
        <v>1289</v>
      </c>
      <c r="AA46" s="404" t="str">
        <f>Auxiliar2!AK42</f>
        <v/>
      </c>
      <c r="AB46" s="404" t="str">
        <f>Auxiliar2!AL42</f>
        <v/>
      </c>
    </row>
    <row r="47" spans="1:28" x14ac:dyDescent="0.2">
      <c r="A47" s="788"/>
      <c r="B47" s="411"/>
      <c r="C47" s="412"/>
      <c r="D47" s="404"/>
      <c r="E47" s="424"/>
      <c r="F47" s="565"/>
      <c r="G47" s="788"/>
      <c r="H47" s="412"/>
      <c r="I47" s="412"/>
      <c r="J47" s="404"/>
      <c r="K47" s="423"/>
      <c r="L47" s="565"/>
      <c r="M47" s="788"/>
      <c r="N47" s="412"/>
      <c r="O47" s="412"/>
      <c r="P47" s="404"/>
      <c r="Q47" s="423"/>
      <c r="R47" s="565"/>
      <c r="T47" s="425" t="s">
        <v>1899</v>
      </c>
      <c r="U47" s="420" t="s">
        <v>430</v>
      </c>
      <c r="V47" s="404" t="s">
        <v>1703</v>
      </c>
      <c r="W47" s="404" t="str">
        <f>Auxiliar2!$Z$2</f>
        <v>Boia</v>
      </c>
      <c r="X47" s="422" t="s">
        <v>1380</v>
      </c>
      <c r="AA47" s="404" t="str">
        <f>Auxiliar2!AK43</f>
        <v/>
      </c>
      <c r="AB47" s="404" t="str">
        <f>Auxiliar2!AL43</f>
        <v/>
      </c>
    </row>
    <row r="48" spans="1:28" x14ac:dyDescent="0.2">
      <c r="A48" s="788"/>
      <c r="B48" s="411"/>
      <c r="C48" s="412"/>
      <c r="D48" s="404"/>
      <c r="E48" s="424"/>
      <c r="F48" s="565"/>
      <c r="G48" s="788"/>
      <c r="H48" s="412"/>
      <c r="I48" s="412"/>
      <c r="J48" s="404"/>
      <c r="K48" s="423"/>
      <c r="L48" s="565"/>
      <c r="M48" s="788"/>
      <c r="N48" s="412"/>
      <c r="O48" s="412"/>
      <c r="P48" s="404"/>
      <c r="Q48" s="423"/>
      <c r="R48" s="565"/>
      <c r="AA48" s="404" t="str">
        <f>Auxiliar2!AK44</f>
        <v/>
      </c>
      <c r="AB48" s="404" t="str">
        <f>Auxiliar2!AL44</f>
        <v/>
      </c>
    </row>
    <row r="49" spans="1:28" x14ac:dyDescent="0.2">
      <c r="A49" s="788"/>
      <c r="B49" s="411"/>
      <c r="C49" s="412"/>
      <c r="D49" s="404"/>
      <c r="E49" s="424"/>
      <c r="F49" s="565"/>
      <c r="G49" s="788"/>
      <c r="H49" s="412"/>
      <c r="I49" s="412"/>
      <c r="J49" s="404"/>
      <c r="K49" s="423"/>
      <c r="L49" s="565"/>
      <c r="M49" s="788"/>
      <c r="N49" s="412"/>
      <c r="O49" s="412"/>
      <c r="P49" s="404"/>
      <c r="Q49" s="423"/>
      <c r="R49" s="565"/>
      <c r="T49" s="569" t="s">
        <v>1780</v>
      </c>
      <c r="V49" s="426" t="s">
        <v>1779</v>
      </c>
      <c r="X49" s="603" t="s">
        <v>1802</v>
      </c>
      <c r="AA49" s="404" t="str">
        <f>Auxiliar2!AK45</f>
        <v/>
      </c>
      <c r="AB49" s="404" t="str">
        <f>Auxiliar2!AL45</f>
        <v/>
      </c>
    </row>
    <row r="50" spans="1:28" x14ac:dyDescent="0.2">
      <c r="A50" s="788"/>
      <c r="B50" s="411"/>
      <c r="C50" s="412"/>
      <c r="D50" s="404"/>
      <c r="E50" s="424"/>
      <c r="F50" s="565"/>
      <c r="G50" s="788"/>
      <c r="H50" s="412"/>
      <c r="I50" s="412"/>
      <c r="J50" s="404"/>
      <c r="K50" s="423"/>
      <c r="L50" s="565"/>
      <c r="M50" s="788"/>
      <c r="N50" s="412"/>
      <c r="O50" s="412"/>
      <c r="P50" s="404"/>
      <c r="Q50" s="423"/>
      <c r="R50" s="565"/>
      <c r="T50" s="425" t="s">
        <v>1813</v>
      </c>
      <c r="V50" s="393" t="s">
        <v>1330</v>
      </c>
      <c r="X50" s="607"/>
      <c r="AA50" s="404" t="str">
        <f>Auxiliar2!AK46</f>
        <v/>
      </c>
      <c r="AB50" s="404" t="str">
        <f>Auxiliar2!AL46</f>
        <v/>
      </c>
    </row>
    <row r="51" spans="1:28" x14ac:dyDescent="0.2">
      <c r="A51" s="788"/>
      <c r="B51" s="411"/>
      <c r="C51" s="412"/>
      <c r="D51" s="404"/>
      <c r="E51" s="424"/>
      <c r="F51" s="565"/>
      <c r="G51" s="788"/>
      <c r="H51" s="412"/>
      <c r="I51" s="412"/>
      <c r="J51" s="404"/>
      <c r="K51" s="423"/>
      <c r="L51" s="565"/>
      <c r="M51" s="788"/>
      <c r="N51" s="412"/>
      <c r="O51" s="412"/>
      <c r="P51" s="404"/>
      <c r="Q51" s="423"/>
      <c r="R51" s="565"/>
      <c r="T51" s="425" t="s">
        <v>1814</v>
      </c>
      <c r="V51" s="393" t="s">
        <v>1331</v>
      </c>
      <c r="AA51" s="404" t="str">
        <f>Auxiliar2!AK47</f>
        <v/>
      </c>
      <c r="AB51" s="404" t="str">
        <f>Auxiliar2!AL47</f>
        <v/>
      </c>
    </row>
    <row r="52" spans="1:28" x14ac:dyDescent="0.2">
      <c r="A52" s="788"/>
      <c r="B52" s="411"/>
      <c r="C52" s="412"/>
      <c r="D52" s="404"/>
      <c r="E52" s="424"/>
      <c r="F52" s="565"/>
      <c r="G52" s="788"/>
      <c r="H52" s="412"/>
      <c r="I52" s="412"/>
      <c r="J52" s="404"/>
      <c r="K52" s="423"/>
      <c r="L52" s="565"/>
      <c r="M52" s="788"/>
      <c r="N52" s="412"/>
      <c r="O52" s="412"/>
      <c r="P52" s="404"/>
      <c r="Q52" s="423"/>
      <c r="R52" s="565"/>
      <c r="T52" s="425" t="s">
        <v>1781</v>
      </c>
      <c r="V52" s="393" t="s">
        <v>1332</v>
      </c>
      <c r="AA52" s="404" t="str">
        <f>Auxiliar2!AK48</f>
        <v/>
      </c>
      <c r="AB52" s="404" t="str">
        <f>Auxiliar2!AL48</f>
        <v/>
      </c>
    </row>
    <row r="53" spans="1:28" x14ac:dyDescent="0.2">
      <c r="A53" s="788"/>
      <c r="B53" s="411"/>
      <c r="C53" s="412"/>
      <c r="D53" s="404"/>
      <c r="E53" s="424"/>
      <c r="F53" s="565"/>
      <c r="G53" s="788"/>
      <c r="H53" s="412"/>
      <c r="I53" s="412"/>
      <c r="J53" s="404"/>
      <c r="K53" s="423"/>
      <c r="L53" s="565"/>
      <c r="M53" s="788"/>
      <c r="N53" s="412"/>
      <c r="O53" s="412"/>
      <c r="P53" s="404"/>
      <c r="Q53" s="423"/>
      <c r="R53" s="565"/>
      <c r="T53" s="425" t="s">
        <v>1817</v>
      </c>
      <c r="V53" s="393" t="s">
        <v>1333</v>
      </c>
      <c r="AA53" s="404" t="str">
        <f>Auxiliar2!AK49</f>
        <v/>
      </c>
      <c r="AB53" s="404" t="str">
        <f>Auxiliar2!AL49</f>
        <v/>
      </c>
    </row>
    <row r="54" spans="1:28" x14ac:dyDescent="0.2">
      <c r="A54" s="788"/>
      <c r="B54" s="411"/>
      <c r="C54" s="412"/>
      <c r="D54" s="404"/>
      <c r="E54" s="424"/>
      <c r="F54" s="565"/>
      <c r="G54" s="788"/>
      <c r="H54" s="412"/>
      <c r="I54" s="412"/>
      <c r="J54" s="404"/>
      <c r="K54" s="423"/>
      <c r="L54" s="565"/>
      <c r="M54" s="788"/>
      <c r="N54" s="412"/>
      <c r="O54" s="412"/>
      <c r="P54" s="404"/>
      <c r="Q54" s="423"/>
      <c r="R54" s="565"/>
      <c r="T54" s="425" t="s">
        <v>1815</v>
      </c>
      <c r="V54" s="393" t="s">
        <v>1334</v>
      </c>
      <c r="AA54" s="404" t="str">
        <f>Auxiliar2!AK50</f>
        <v/>
      </c>
      <c r="AB54" s="404" t="str">
        <f>Auxiliar2!AL50</f>
        <v/>
      </c>
    </row>
    <row r="55" spans="1:28" x14ac:dyDescent="0.2">
      <c r="A55" s="788"/>
      <c r="B55" s="411"/>
      <c r="C55" s="412"/>
      <c r="D55" s="404"/>
      <c r="E55" s="424"/>
      <c r="F55" s="565"/>
      <c r="G55" s="788"/>
      <c r="H55" s="412"/>
      <c r="I55" s="412"/>
      <c r="J55" s="404"/>
      <c r="K55" s="423"/>
      <c r="L55" s="565"/>
      <c r="M55" s="788"/>
      <c r="N55" s="412"/>
      <c r="O55" s="412"/>
      <c r="P55" s="404"/>
      <c r="Q55" s="423"/>
      <c r="R55" s="565"/>
      <c r="T55" s="425" t="s">
        <v>1816</v>
      </c>
      <c r="V55" s="393" t="s">
        <v>1335</v>
      </c>
      <c r="AA55" s="404" t="str">
        <f>Auxiliar2!AK51</f>
        <v/>
      </c>
      <c r="AB55" s="404" t="str">
        <f>Auxiliar2!AL51</f>
        <v/>
      </c>
    </row>
    <row r="56" spans="1:28" x14ac:dyDescent="0.2">
      <c r="T56" s="425" t="s">
        <v>1362</v>
      </c>
      <c r="V56" s="393" t="s">
        <v>1336</v>
      </c>
    </row>
    <row r="57" spans="1:28" x14ac:dyDescent="0.2">
      <c r="T57" s="425" t="s">
        <v>1363</v>
      </c>
    </row>
    <row r="58" spans="1:28" x14ac:dyDescent="0.2">
      <c r="B58" s="786" t="s">
        <v>1320</v>
      </c>
      <c r="C58" s="786"/>
      <c r="D58" s="786"/>
      <c r="E58" s="786"/>
      <c r="H58" s="786" t="s">
        <v>1323</v>
      </c>
      <c r="I58" s="786"/>
      <c r="J58" s="786"/>
      <c r="K58" s="786"/>
      <c r="N58" s="786" t="s">
        <v>1709</v>
      </c>
      <c r="O58" s="786"/>
      <c r="P58" s="786"/>
      <c r="Q58" s="786"/>
    </row>
    <row r="59" spans="1:28" ht="25.5" x14ac:dyDescent="0.2">
      <c r="B59" s="399" t="s">
        <v>1706</v>
      </c>
      <c r="C59" s="399" t="s">
        <v>1707</v>
      </c>
      <c r="D59" s="399" t="s">
        <v>1708</v>
      </c>
      <c r="E59" s="399" t="s">
        <v>1454</v>
      </c>
      <c r="H59" s="399" t="s">
        <v>1706</v>
      </c>
      <c r="I59" s="399" t="s">
        <v>1707</v>
      </c>
      <c r="J59" s="399" t="s">
        <v>1708</v>
      </c>
      <c r="K59" s="399" t="s">
        <v>1454</v>
      </c>
      <c r="N59" s="399" t="s">
        <v>1706</v>
      </c>
      <c r="O59" s="399" t="s">
        <v>1707</v>
      </c>
      <c r="P59" s="399" t="s">
        <v>1708</v>
      </c>
      <c r="Q59" s="399" t="s">
        <v>1454</v>
      </c>
    </row>
    <row r="60" spans="1:28" ht="12.75" customHeight="1" x14ac:dyDescent="0.2">
      <c r="A60" s="783" t="s">
        <v>1705</v>
      </c>
      <c r="B60" s="403" t="s">
        <v>1730</v>
      </c>
      <c r="C60" s="402">
        <f>Auxiliar3!X4</f>
        <v>0</v>
      </c>
      <c r="D60" s="407">
        <f>ROUND(C60,2)</f>
        <v>0</v>
      </c>
      <c r="E60" s="422" t="s">
        <v>1289</v>
      </c>
      <c r="F60" s="567"/>
      <c r="G60" s="783" t="s">
        <v>1705</v>
      </c>
      <c r="H60" s="403" t="s">
        <v>1949</v>
      </c>
      <c r="I60" s="402">
        <f>Auxiliar4!X4</f>
        <v>0</v>
      </c>
      <c r="J60" s="407">
        <f>ROUND(I60,2)</f>
        <v>0</v>
      </c>
      <c r="K60" s="422" t="s">
        <v>1289</v>
      </c>
      <c r="L60" s="567"/>
      <c r="M60" s="783" t="s">
        <v>1705</v>
      </c>
      <c r="N60" s="401" t="s">
        <v>1959</v>
      </c>
      <c r="O60" s="404">
        <f>hmax_arclength_line_endb - hmax_arclength_line_touchdown</f>
        <v>0</v>
      </c>
      <c r="P60" s="404">
        <f t="shared" ref="P60:P65" si="4">ROUND(O60, 2)</f>
        <v>0</v>
      </c>
      <c r="Q60" s="424" t="s">
        <v>1289</v>
      </c>
      <c r="R60" s="567"/>
    </row>
    <row r="61" spans="1:28" x14ac:dyDescent="0.2">
      <c r="A61" s="784"/>
      <c r="B61" s="403" t="s">
        <v>1321</v>
      </c>
      <c r="C61" s="402">
        <f>Auxiliar3!X6</f>
        <v>0</v>
      </c>
      <c r="D61" s="407">
        <f>ROUND(C61,2)</f>
        <v>0</v>
      </c>
      <c r="E61" s="422" t="s">
        <v>1322</v>
      </c>
      <c r="F61" s="567"/>
      <c r="G61" s="784"/>
      <c r="H61" s="403" t="s">
        <v>1321</v>
      </c>
      <c r="I61" s="402">
        <f>Auxiliar4!X6</f>
        <v>0</v>
      </c>
      <c r="J61" s="407">
        <f>ROUND(I61,2)</f>
        <v>0</v>
      </c>
      <c r="K61" s="422" t="s">
        <v>1322</v>
      </c>
      <c r="L61" s="567"/>
      <c r="M61" s="784"/>
      <c r="N61" s="401" t="s">
        <v>1950</v>
      </c>
      <c r="O61" s="404">
        <f>hmax_z_line_endb + case2_est_lda</f>
        <v>0</v>
      </c>
      <c r="P61" s="404">
        <f t="shared" si="4"/>
        <v>0</v>
      </c>
      <c r="Q61" s="424" t="s">
        <v>1289</v>
      </c>
      <c r="R61" s="567"/>
    </row>
    <row r="62" spans="1:28" x14ac:dyDescent="0.2">
      <c r="A62" s="784"/>
      <c r="B62" s="401"/>
      <c r="C62" s="404"/>
      <c r="D62" s="404"/>
      <c r="E62" s="424"/>
      <c r="F62" s="567"/>
      <c r="G62" s="784"/>
      <c r="H62" s="401"/>
      <c r="I62" s="404"/>
      <c r="J62" s="404"/>
      <c r="K62" s="424"/>
      <c r="L62" s="567"/>
      <c r="M62" s="784"/>
      <c r="N62" s="401" t="s">
        <v>1951</v>
      </c>
      <c r="O62" s="404">
        <f>hmax_x_line_touchdown - hmax_x_line_endb</f>
        <v>0</v>
      </c>
      <c r="P62" s="404">
        <f t="shared" si="4"/>
        <v>0</v>
      </c>
      <c r="Q62" s="424" t="s">
        <v>1289</v>
      </c>
      <c r="R62" s="567"/>
    </row>
    <row r="63" spans="1:28" x14ac:dyDescent="0.2">
      <c r="A63" s="784"/>
      <c r="B63" s="401"/>
      <c r="C63" s="404"/>
      <c r="D63" s="404"/>
      <c r="E63" s="424"/>
      <c r="F63" s="567"/>
      <c r="G63" s="784"/>
      <c r="H63" s="401"/>
      <c r="I63" s="404"/>
      <c r="J63" s="404"/>
      <c r="K63" s="424"/>
      <c r="L63" s="567"/>
      <c r="M63" s="784"/>
      <c r="N63" s="401" t="s">
        <v>1952</v>
      </c>
      <c r="O63" s="404">
        <f>case2_est_dist_flange - case2_est_position_corc1</f>
        <v>0</v>
      </c>
      <c r="P63" s="404">
        <f t="shared" si="4"/>
        <v>0</v>
      </c>
      <c r="Q63" s="424"/>
      <c r="R63" s="567"/>
    </row>
    <row r="64" spans="1:28" x14ac:dyDescent="0.2">
      <c r="A64" s="784"/>
      <c r="B64" s="401"/>
      <c r="C64" s="404"/>
      <c r="D64" s="404"/>
      <c r="E64" s="424"/>
      <c r="F64" s="567"/>
      <c r="G64" s="784"/>
      <c r="H64" s="401"/>
      <c r="I64" s="404"/>
      <c r="J64" s="404"/>
      <c r="K64" s="424"/>
      <c r="L64" s="567"/>
      <c r="M64" s="784"/>
      <c r="N64" s="401" t="s">
        <v>1953</v>
      </c>
      <c r="O64" s="404">
        <f>case2_est_dist_flange - case2_est_position_corc2</f>
        <v>0</v>
      </c>
      <c r="P64" s="404">
        <f t="shared" si="4"/>
        <v>0</v>
      </c>
      <c r="Q64" s="424"/>
      <c r="R64" s="567"/>
    </row>
    <row r="65" spans="1:18" x14ac:dyDescent="0.2">
      <c r="A65" s="784"/>
      <c r="B65" s="401"/>
      <c r="C65" s="404"/>
      <c r="D65" s="404"/>
      <c r="E65" s="424"/>
      <c r="F65" s="567"/>
      <c r="G65" s="784"/>
      <c r="H65" s="401"/>
      <c r="I65" s="404"/>
      <c r="J65" s="404"/>
      <c r="K65" s="424"/>
      <c r="L65" s="567"/>
      <c r="M65" s="784"/>
      <c r="N65" s="401" t="s">
        <v>1279</v>
      </c>
      <c r="O65" s="404">
        <f>hmax_comp_susp - hmax_dist_tdp_flange</f>
        <v>0</v>
      </c>
      <c r="P65" s="404">
        <f t="shared" si="4"/>
        <v>0</v>
      </c>
      <c r="Q65" s="424" t="s">
        <v>1289</v>
      </c>
      <c r="R65" s="567"/>
    </row>
    <row r="66" spans="1:18" x14ac:dyDescent="0.2">
      <c r="A66" s="784"/>
      <c r="B66" s="401"/>
      <c r="C66" s="404"/>
      <c r="D66" s="404"/>
      <c r="E66" s="424"/>
      <c r="F66" s="567"/>
      <c r="G66" s="784"/>
      <c r="H66" s="401"/>
      <c r="I66" s="404"/>
      <c r="J66" s="404"/>
      <c r="K66" s="424"/>
      <c r="L66" s="567"/>
      <c r="M66" s="784"/>
      <c r="N66" s="401"/>
      <c r="O66" s="404"/>
      <c r="P66" s="404"/>
      <c r="Q66" s="424"/>
      <c r="R66" s="567"/>
    </row>
    <row r="67" spans="1:18" x14ac:dyDescent="0.2">
      <c r="A67" s="784"/>
      <c r="B67" s="401"/>
      <c r="C67" s="404"/>
      <c r="D67" s="404"/>
      <c r="E67" s="424"/>
      <c r="F67" s="567"/>
      <c r="G67" s="784"/>
      <c r="H67" s="401"/>
      <c r="I67" s="404"/>
      <c r="J67" s="404"/>
      <c r="K67" s="424"/>
      <c r="L67" s="567"/>
      <c r="M67" s="784"/>
      <c r="N67" s="401"/>
      <c r="O67" s="404"/>
      <c r="P67" s="404"/>
      <c r="Q67" s="424"/>
      <c r="R67" s="567"/>
    </row>
    <row r="68" spans="1:18" x14ac:dyDescent="0.2">
      <c r="A68" s="784"/>
      <c r="B68" s="401"/>
      <c r="C68" s="404"/>
      <c r="D68" s="404"/>
      <c r="E68" s="424"/>
      <c r="F68" s="567"/>
      <c r="G68" s="784"/>
      <c r="H68" s="401"/>
      <c r="I68" s="404"/>
      <c r="J68" s="404"/>
      <c r="K68" s="424"/>
      <c r="L68" s="567"/>
      <c r="M68" s="784"/>
      <c r="N68" s="401"/>
      <c r="O68" s="404"/>
      <c r="P68" s="404"/>
      <c r="Q68" s="424"/>
      <c r="R68" s="567"/>
    </row>
    <row r="69" spans="1:18" x14ac:dyDescent="0.2">
      <c r="A69" s="784"/>
      <c r="B69" s="401"/>
      <c r="C69" s="404"/>
      <c r="D69" s="404"/>
      <c r="E69" s="424"/>
      <c r="F69" s="567"/>
      <c r="G69" s="784"/>
      <c r="H69" s="401"/>
      <c r="I69" s="404"/>
      <c r="J69" s="404"/>
      <c r="K69" s="424"/>
      <c r="L69" s="567"/>
      <c r="M69" s="784"/>
      <c r="N69" s="401"/>
      <c r="O69" s="404"/>
      <c r="P69" s="404"/>
      <c r="Q69" s="424"/>
      <c r="R69" s="567"/>
    </row>
    <row r="70" spans="1:18" x14ac:dyDescent="0.2">
      <c r="A70" s="784"/>
      <c r="B70" s="401"/>
      <c r="C70" s="404"/>
      <c r="D70" s="404"/>
      <c r="E70" s="424"/>
      <c r="F70" s="567"/>
      <c r="G70" s="784"/>
      <c r="H70" s="401"/>
      <c r="I70" s="404"/>
      <c r="J70" s="404"/>
      <c r="K70" s="424"/>
      <c r="L70" s="567"/>
      <c r="M70" s="784"/>
      <c r="N70" s="401"/>
      <c r="O70" s="404"/>
      <c r="P70" s="404"/>
      <c r="Q70" s="424"/>
      <c r="R70" s="567"/>
    </row>
    <row r="71" spans="1:18" x14ac:dyDescent="0.2">
      <c r="A71" s="784"/>
      <c r="B71" s="401"/>
      <c r="C71" s="404"/>
      <c r="D71" s="404"/>
      <c r="E71" s="424"/>
      <c r="F71" s="567"/>
      <c r="G71" s="784"/>
      <c r="H71" s="401"/>
      <c r="I71" s="404"/>
      <c r="J71" s="404"/>
      <c r="K71" s="424"/>
      <c r="L71" s="567"/>
      <c r="M71" s="784"/>
      <c r="N71" s="401"/>
      <c r="O71" s="404"/>
      <c r="P71" s="404"/>
      <c r="Q71" s="424"/>
      <c r="R71" s="567"/>
    </row>
    <row r="72" spans="1:18" x14ac:dyDescent="0.2">
      <c r="A72" s="784"/>
      <c r="B72" s="401"/>
      <c r="C72" s="404"/>
      <c r="D72" s="404"/>
      <c r="E72" s="424"/>
      <c r="F72" s="567"/>
      <c r="G72" s="784"/>
      <c r="H72" s="401"/>
      <c r="I72" s="404"/>
      <c r="J72" s="404"/>
      <c r="K72" s="424"/>
      <c r="L72" s="567"/>
      <c r="M72" s="784"/>
      <c r="N72" s="401"/>
      <c r="O72" s="404"/>
      <c r="P72" s="404"/>
      <c r="Q72" s="424"/>
      <c r="R72" s="567"/>
    </row>
    <row r="73" spans="1:18" x14ac:dyDescent="0.2">
      <c r="A73" s="784"/>
      <c r="B73" s="401"/>
      <c r="C73" s="404"/>
      <c r="D73" s="404"/>
      <c r="E73" s="424"/>
      <c r="F73" s="567"/>
      <c r="G73" s="784"/>
      <c r="H73" s="401"/>
      <c r="I73" s="404"/>
      <c r="J73" s="404"/>
      <c r="K73" s="424"/>
      <c r="L73" s="567"/>
      <c r="M73" s="784"/>
      <c r="N73" s="401"/>
      <c r="O73" s="404"/>
      <c r="P73" s="404"/>
      <c r="Q73" s="424"/>
      <c r="R73" s="567"/>
    </row>
    <row r="74" spans="1:18" x14ac:dyDescent="0.2">
      <c r="A74" s="785"/>
      <c r="B74" s="401"/>
      <c r="C74" s="404"/>
      <c r="D74" s="404"/>
      <c r="E74" s="424"/>
      <c r="F74" s="567"/>
      <c r="G74" s="785"/>
      <c r="H74" s="401"/>
      <c r="I74" s="404"/>
      <c r="J74" s="404"/>
      <c r="K74" s="424"/>
      <c r="L74" s="567"/>
      <c r="M74" s="785"/>
      <c r="N74" s="401"/>
      <c r="O74" s="404"/>
      <c r="P74" s="404"/>
      <c r="Q74" s="424"/>
      <c r="R74" s="567"/>
    </row>
    <row r="75" spans="1:18" ht="12.75" customHeight="1" x14ac:dyDescent="0.2">
      <c r="A75" s="789" t="s">
        <v>1704</v>
      </c>
      <c r="B75" s="657" t="s">
        <v>1934</v>
      </c>
      <c r="C75" s="414"/>
      <c r="D75" s="402">
        <f>ROUNDUP(C75,2)</f>
        <v>0</v>
      </c>
      <c r="E75" s="422" t="s">
        <v>1292</v>
      </c>
      <c r="F75" s="567"/>
      <c r="G75" s="789" t="s">
        <v>1704</v>
      </c>
      <c r="H75" s="657" t="s">
        <v>1934</v>
      </c>
      <c r="I75" s="414"/>
      <c r="J75" s="402">
        <f>ROUNDUP(I75,2)</f>
        <v>0</v>
      </c>
      <c r="K75" s="422" t="s">
        <v>1292</v>
      </c>
      <c r="L75" s="567"/>
      <c r="M75" s="789" t="s">
        <v>1704</v>
      </c>
      <c r="N75" s="657" t="s">
        <v>1932</v>
      </c>
      <c r="O75" s="414"/>
      <c r="P75" s="407">
        <f>ROUNDDOWN(O75,2)</f>
        <v>0</v>
      </c>
      <c r="Q75" s="422" t="s">
        <v>1289</v>
      </c>
      <c r="R75" s="567"/>
    </row>
    <row r="76" spans="1:18" x14ac:dyDescent="0.2">
      <c r="A76" s="789"/>
      <c r="B76" s="658" t="s">
        <v>1935</v>
      </c>
      <c r="C76" s="414"/>
      <c r="D76" s="402">
        <f>ROUNDUP(C76,2)</f>
        <v>0</v>
      </c>
      <c r="E76" s="422" t="s">
        <v>1295</v>
      </c>
      <c r="F76" s="567"/>
      <c r="G76" s="789"/>
      <c r="H76" s="658" t="s">
        <v>1935</v>
      </c>
      <c r="I76" s="414"/>
      <c r="J76" s="402">
        <f>ROUNDUP(I76,2)</f>
        <v>0</v>
      </c>
      <c r="K76" s="422" t="s">
        <v>1295</v>
      </c>
      <c r="L76" s="567"/>
      <c r="M76" s="789"/>
      <c r="N76" s="657" t="s">
        <v>1933</v>
      </c>
      <c r="O76" s="414"/>
      <c r="P76" s="407">
        <f>ROUNDDOWN(O76,2)</f>
        <v>0</v>
      </c>
      <c r="Q76" s="422" t="s">
        <v>1289</v>
      </c>
      <c r="R76" s="567"/>
    </row>
    <row r="77" spans="1:18" x14ac:dyDescent="0.2">
      <c r="A77" s="789"/>
      <c r="B77" s="657" t="s">
        <v>1933</v>
      </c>
      <c r="C77" s="414"/>
      <c r="D77" s="407">
        <f>ROUNDDOWN(C77,2)</f>
        <v>0</v>
      </c>
      <c r="E77" s="422" t="s">
        <v>1289</v>
      </c>
      <c r="F77" s="567"/>
      <c r="G77" s="789"/>
      <c r="H77" s="657" t="s">
        <v>1933</v>
      </c>
      <c r="I77" s="414"/>
      <c r="J77" s="407">
        <f>ROUNDDOWN(I77,2)</f>
        <v>0</v>
      </c>
      <c r="K77" s="422" t="s">
        <v>1289</v>
      </c>
      <c r="L77" s="567"/>
      <c r="M77" s="789"/>
      <c r="N77" s="657" t="s">
        <v>1926</v>
      </c>
      <c r="O77" s="414"/>
      <c r="P77" s="407">
        <f>ROUNDUP(O77,2)</f>
        <v>0</v>
      </c>
      <c r="Q77" s="422" t="s">
        <v>1319</v>
      </c>
      <c r="R77" s="567"/>
    </row>
    <row r="78" spans="1:18" x14ac:dyDescent="0.2">
      <c r="A78" s="789"/>
      <c r="B78" s="657" t="s">
        <v>1932</v>
      </c>
      <c r="C78" s="414"/>
      <c r="D78" s="407">
        <f>ROUNDDOWN(C78,2)</f>
        <v>0</v>
      </c>
      <c r="E78" s="422" t="s">
        <v>1289</v>
      </c>
      <c r="F78" s="567"/>
      <c r="G78" s="789"/>
      <c r="H78" s="657" t="s">
        <v>1932</v>
      </c>
      <c r="I78" s="414"/>
      <c r="J78" s="407">
        <f>ROUNDDOWN(I78,2)</f>
        <v>0</v>
      </c>
      <c r="K78" s="422" t="s">
        <v>1289</v>
      </c>
      <c r="L78" s="567"/>
      <c r="M78" s="789"/>
      <c r="N78" s="657" t="s">
        <v>1955</v>
      </c>
      <c r="O78" s="414"/>
      <c r="P78" s="402">
        <f>ROUND(O78,2)</f>
        <v>0</v>
      </c>
      <c r="Q78" s="422" t="s">
        <v>1289</v>
      </c>
      <c r="R78" s="567"/>
    </row>
    <row r="79" spans="1:18" x14ac:dyDescent="0.2">
      <c r="A79" s="789"/>
      <c r="B79" s="657" t="s">
        <v>1948</v>
      </c>
      <c r="C79" s="414"/>
      <c r="D79" s="407">
        <f>ROUNDUP(C79,2)*(-1)</f>
        <v>0</v>
      </c>
      <c r="E79" s="422" t="s">
        <v>1292</v>
      </c>
      <c r="F79" s="567"/>
      <c r="G79" s="789"/>
      <c r="H79" s="657" t="s">
        <v>1948</v>
      </c>
      <c r="I79" s="414"/>
      <c r="J79" s="407">
        <f>ROUNDUP(I79,2)*(-1)</f>
        <v>0</v>
      </c>
      <c r="K79" s="422" t="s">
        <v>1292</v>
      </c>
      <c r="L79" s="567"/>
      <c r="M79" s="789"/>
      <c r="N79" s="657" t="s">
        <v>1956</v>
      </c>
      <c r="O79" s="414"/>
      <c r="P79" s="407">
        <f>ROUND(O79,4)</f>
        <v>0</v>
      </c>
      <c r="Q79" s="422" t="s">
        <v>1289</v>
      </c>
      <c r="R79" s="567"/>
    </row>
    <row r="80" spans="1:18" ht="12.75" customHeight="1" x14ac:dyDescent="0.2">
      <c r="A80" s="789"/>
      <c r="B80" s="416"/>
      <c r="C80" s="414"/>
      <c r="D80" s="402"/>
      <c r="E80" s="422"/>
      <c r="F80" s="567"/>
      <c r="G80" s="789"/>
      <c r="H80" s="416"/>
      <c r="I80" s="414"/>
      <c r="J80" s="402"/>
      <c r="K80" s="422"/>
      <c r="L80" s="567"/>
      <c r="M80" s="789"/>
      <c r="N80" s="657" t="s">
        <v>1957</v>
      </c>
      <c r="O80" s="414"/>
      <c r="P80" s="407">
        <f t="shared" ref="P80:P83" si="5">ROUND(O80,4)</f>
        <v>0</v>
      </c>
      <c r="Q80" s="422" t="s">
        <v>1289</v>
      </c>
      <c r="R80" s="567"/>
    </row>
    <row r="81" spans="1:21" x14ac:dyDescent="0.2">
      <c r="A81" s="789"/>
      <c r="B81" s="416"/>
      <c r="C81" s="414"/>
      <c r="D81" s="402"/>
      <c r="E81" s="422"/>
      <c r="F81" s="567"/>
      <c r="G81" s="789"/>
      <c r="H81" s="416"/>
      <c r="I81" s="414"/>
      <c r="J81" s="402"/>
      <c r="K81" s="422"/>
      <c r="L81" s="567"/>
      <c r="M81" s="789"/>
      <c r="N81" s="657" t="s">
        <v>1958</v>
      </c>
      <c r="O81" s="414"/>
      <c r="P81" s="407">
        <f t="shared" si="5"/>
        <v>0</v>
      </c>
      <c r="Q81" s="422" t="s">
        <v>1289</v>
      </c>
      <c r="R81" s="567"/>
    </row>
    <row r="82" spans="1:21" x14ac:dyDescent="0.2">
      <c r="A82" s="789"/>
      <c r="B82" s="418"/>
      <c r="C82" s="414"/>
      <c r="D82" s="402"/>
      <c r="E82" s="422"/>
      <c r="F82" s="567"/>
      <c r="G82" s="789"/>
      <c r="H82" s="418"/>
      <c r="I82" s="414"/>
      <c r="J82" s="402"/>
      <c r="K82" s="422"/>
      <c r="L82" s="567"/>
      <c r="M82" s="789"/>
      <c r="N82" s="657" t="s">
        <v>1928</v>
      </c>
      <c r="O82" s="414"/>
      <c r="P82" s="407">
        <f t="shared" si="5"/>
        <v>0</v>
      </c>
      <c r="Q82" s="422" t="s">
        <v>1289</v>
      </c>
      <c r="R82" s="567"/>
    </row>
    <row r="83" spans="1:21" x14ac:dyDescent="0.2">
      <c r="A83" s="789"/>
      <c r="B83" s="416"/>
      <c r="C83" s="414"/>
      <c r="D83" s="402"/>
      <c r="E83" s="422"/>
      <c r="F83" s="567"/>
      <c r="G83" s="789"/>
      <c r="H83" s="416"/>
      <c r="I83" s="414"/>
      <c r="J83" s="402"/>
      <c r="K83" s="422"/>
      <c r="L83" s="567"/>
      <c r="M83" s="789"/>
      <c r="N83" s="657" t="s">
        <v>1961</v>
      </c>
      <c r="O83" s="414"/>
      <c r="P83" s="407">
        <f t="shared" si="5"/>
        <v>0</v>
      </c>
      <c r="Q83" s="422" t="s">
        <v>1289</v>
      </c>
      <c r="R83" s="567"/>
    </row>
    <row r="84" spans="1:21" x14ac:dyDescent="0.2">
      <c r="A84" s="789"/>
      <c r="B84" s="418"/>
      <c r="C84" s="414"/>
      <c r="D84" s="402"/>
      <c r="E84" s="422"/>
      <c r="F84" s="567"/>
      <c r="G84" s="789"/>
      <c r="H84" s="418"/>
      <c r="I84" s="414"/>
      <c r="J84" s="402"/>
      <c r="K84" s="422"/>
      <c r="L84" s="567"/>
      <c r="M84" s="789"/>
      <c r="N84" s="416"/>
      <c r="O84" s="414"/>
      <c r="P84" s="402"/>
      <c r="Q84" s="422"/>
      <c r="R84" s="567"/>
    </row>
    <row r="85" spans="1:21" x14ac:dyDescent="0.2">
      <c r="A85" s="789"/>
      <c r="B85" s="411"/>
      <c r="C85" s="414"/>
      <c r="D85" s="407"/>
      <c r="E85" s="422"/>
      <c r="F85" s="567"/>
      <c r="G85" s="789"/>
      <c r="H85" s="411"/>
      <c r="I85" s="414"/>
      <c r="J85" s="407"/>
      <c r="K85" s="422"/>
      <c r="L85" s="567"/>
      <c r="M85" s="789"/>
      <c r="N85" s="416"/>
      <c r="O85" s="414"/>
      <c r="P85" s="402"/>
      <c r="Q85" s="422"/>
      <c r="R85" s="567"/>
    </row>
    <row r="86" spans="1:21" x14ac:dyDescent="0.2">
      <c r="A86" s="789"/>
      <c r="B86" s="416"/>
      <c r="C86" s="414"/>
      <c r="D86" s="402"/>
      <c r="E86" s="422"/>
      <c r="F86" s="567"/>
      <c r="G86" s="789"/>
      <c r="H86" s="416"/>
      <c r="I86" s="414"/>
      <c r="J86" s="402"/>
      <c r="K86" s="422"/>
      <c r="L86" s="567"/>
      <c r="M86" s="789"/>
      <c r="N86" s="416"/>
      <c r="O86" s="414"/>
      <c r="P86" s="402"/>
      <c r="Q86" s="422"/>
      <c r="R86" s="567"/>
    </row>
    <row r="87" spans="1:21" x14ac:dyDescent="0.2">
      <c r="A87" s="789"/>
      <c r="B87" s="416"/>
      <c r="C87" s="414"/>
      <c r="D87" s="402"/>
      <c r="E87" s="422"/>
      <c r="F87" s="567"/>
      <c r="G87" s="789"/>
      <c r="H87" s="416"/>
      <c r="I87" s="414"/>
      <c r="J87" s="402"/>
      <c r="K87" s="422"/>
      <c r="L87" s="567"/>
      <c r="M87" s="789"/>
      <c r="N87" s="416"/>
      <c r="O87" s="414"/>
      <c r="P87" s="402"/>
      <c r="Q87" s="422"/>
      <c r="R87" s="567"/>
    </row>
    <row r="88" spans="1:21" x14ac:dyDescent="0.2">
      <c r="A88" s="789"/>
      <c r="B88" s="416"/>
      <c r="C88" s="414"/>
      <c r="D88" s="402"/>
      <c r="E88" s="422"/>
      <c r="F88" s="567"/>
      <c r="G88" s="789"/>
      <c r="H88" s="416"/>
      <c r="I88" s="414"/>
      <c r="J88" s="402"/>
      <c r="K88" s="422"/>
      <c r="L88" s="567"/>
      <c r="M88" s="789"/>
      <c r="N88" s="416"/>
      <c r="O88" s="414"/>
      <c r="P88" s="402"/>
      <c r="Q88" s="422"/>
      <c r="R88" s="567"/>
    </row>
    <row r="89" spans="1:21" x14ac:dyDescent="0.2">
      <c r="A89" s="789"/>
      <c r="B89" s="416"/>
      <c r="C89" s="414"/>
      <c r="D89" s="402"/>
      <c r="E89" s="422"/>
      <c r="F89" s="567"/>
      <c r="G89" s="789"/>
      <c r="H89" s="416"/>
      <c r="I89" s="414"/>
      <c r="J89" s="402"/>
      <c r="K89" s="422"/>
      <c r="L89" s="567"/>
      <c r="M89" s="789"/>
      <c r="N89" s="416"/>
      <c r="O89" s="414"/>
      <c r="P89" s="402"/>
      <c r="Q89" s="422"/>
      <c r="R89" s="567"/>
    </row>
    <row r="90" spans="1:21" x14ac:dyDescent="0.2">
      <c r="A90" s="789"/>
      <c r="B90" s="427"/>
      <c r="C90" s="414"/>
      <c r="D90" s="407"/>
      <c r="E90" s="422"/>
      <c r="F90" s="567"/>
      <c r="G90" s="789"/>
      <c r="H90" s="427"/>
      <c r="I90" s="414"/>
      <c r="J90" s="407"/>
      <c r="K90" s="422"/>
      <c r="L90" s="567"/>
      <c r="M90" s="789"/>
      <c r="N90" s="427"/>
      <c r="O90" s="414"/>
      <c r="P90" s="407"/>
      <c r="Q90" s="422"/>
      <c r="R90" s="567"/>
      <c r="T90" s="419"/>
      <c r="U90" s="419"/>
    </row>
    <row r="91" spans="1:21" x14ac:dyDescent="0.2">
      <c r="A91" s="789"/>
      <c r="B91" s="411"/>
      <c r="C91" s="412"/>
      <c r="D91" s="404"/>
      <c r="E91" s="424"/>
      <c r="F91" s="567"/>
      <c r="G91" s="789"/>
      <c r="H91" s="411"/>
      <c r="I91" s="412"/>
      <c r="J91" s="404"/>
      <c r="K91" s="424"/>
      <c r="L91" s="567"/>
      <c r="M91" s="789"/>
      <c r="N91" s="411"/>
      <c r="O91" s="412"/>
      <c r="P91" s="404"/>
      <c r="Q91" s="424"/>
      <c r="R91" s="567"/>
    </row>
    <row r="92" spans="1:21" x14ac:dyDescent="0.2">
      <c r="A92" s="789"/>
      <c r="B92" s="411"/>
      <c r="C92" s="412"/>
      <c r="D92" s="404"/>
      <c r="E92" s="424"/>
      <c r="F92" s="567"/>
      <c r="G92" s="789"/>
      <c r="H92" s="411"/>
      <c r="I92" s="412"/>
      <c r="J92" s="404"/>
      <c r="K92" s="424"/>
      <c r="L92" s="567"/>
      <c r="M92" s="789"/>
      <c r="N92" s="411"/>
      <c r="O92" s="412"/>
      <c r="P92" s="404"/>
      <c r="Q92" s="424"/>
      <c r="R92" s="567"/>
    </row>
    <row r="93" spans="1:21" x14ac:dyDescent="0.2">
      <c r="A93" s="789"/>
      <c r="B93" s="411"/>
      <c r="C93" s="412"/>
      <c r="D93" s="404"/>
      <c r="E93" s="424"/>
      <c r="F93" s="567"/>
      <c r="G93" s="789"/>
      <c r="H93" s="411"/>
      <c r="I93" s="412"/>
      <c r="J93" s="404"/>
      <c r="K93" s="424"/>
      <c r="L93" s="567"/>
      <c r="M93" s="789"/>
      <c r="N93" s="411"/>
      <c r="O93" s="412"/>
      <c r="P93" s="404"/>
      <c r="Q93" s="424"/>
      <c r="R93" s="567"/>
    </row>
    <row r="94" spans="1:21" x14ac:dyDescent="0.2">
      <c r="A94" s="789"/>
      <c r="B94" s="411"/>
      <c r="C94" s="412"/>
      <c r="D94" s="404"/>
      <c r="E94" s="424"/>
      <c r="F94" s="567"/>
      <c r="G94" s="789"/>
      <c r="H94" s="411"/>
      <c r="I94" s="412"/>
      <c r="J94" s="404"/>
      <c r="K94" s="424"/>
      <c r="L94" s="567"/>
      <c r="M94" s="789"/>
      <c r="N94" s="411"/>
      <c r="O94" s="412"/>
      <c r="P94" s="404"/>
      <c r="Q94" s="424"/>
      <c r="R94" s="567"/>
    </row>
    <row r="95" spans="1:21" x14ac:dyDescent="0.2">
      <c r="A95" s="789"/>
      <c r="B95" s="411"/>
      <c r="C95" s="412"/>
      <c r="D95" s="404"/>
      <c r="E95" s="424"/>
      <c r="F95" s="567"/>
      <c r="G95" s="789"/>
      <c r="H95" s="411"/>
      <c r="I95" s="412"/>
      <c r="J95" s="404"/>
      <c r="K95" s="424"/>
      <c r="L95" s="567"/>
      <c r="M95" s="789"/>
      <c r="N95" s="411"/>
      <c r="O95" s="412"/>
      <c r="P95" s="404"/>
      <c r="Q95" s="424"/>
      <c r="R95" s="567"/>
    </row>
    <row r="96" spans="1:21" x14ac:dyDescent="0.2">
      <c r="A96" s="789"/>
      <c r="B96" s="411"/>
      <c r="C96" s="412"/>
      <c r="D96" s="404"/>
      <c r="E96" s="424"/>
      <c r="F96" s="567"/>
      <c r="G96" s="789"/>
      <c r="H96" s="411"/>
      <c r="I96" s="412"/>
      <c r="J96" s="404"/>
      <c r="K96" s="424"/>
      <c r="L96" s="567"/>
      <c r="M96" s="789"/>
      <c r="N96" s="411"/>
      <c r="O96" s="412"/>
      <c r="P96" s="404"/>
      <c r="Q96" s="424"/>
      <c r="R96" s="567"/>
    </row>
    <row r="97" spans="1:23" x14ac:dyDescent="0.2">
      <c r="A97" s="789"/>
      <c r="B97" s="411"/>
      <c r="C97" s="412"/>
      <c r="D97" s="404"/>
      <c r="E97" s="424"/>
      <c r="F97" s="567"/>
      <c r="G97" s="789"/>
      <c r="H97" s="411"/>
      <c r="I97" s="412"/>
      <c r="J97" s="404"/>
      <c r="K97" s="424"/>
      <c r="L97" s="567"/>
      <c r="M97" s="789"/>
      <c r="N97" s="411"/>
      <c r="O97" s="412"/>
      <c r="P97" s="404"/>
      <c r="Q97" s="424"/>
      <c r="R97" s="567"/>
    </row>
    <row r="98" spans="1:23" x14ac:dyDescent="0.2">
      <c r="A98" s="789"/>
      <c r="B98" s="411"/>
      <c r="C98" s="412"/>
      <c r="D98" s="404"/>
      <c r="E98" s="424"/>
      <c r="F98" s="567"/>
      <c r="G98" s="789"/>
      <c r="H98" s="411"/>
      <c r="I98" s="412"/>
      <c r="J98" s="404"/>
      <c r="K98" s="424"/>
      <c r="L98" s="567"/>
      <c r="M98" s="789"/>
      <c r="N98" s="411"/>
      <c r="O98" s="412"/>
      <c r="P98" s="404"/>
      <c r="Q98" s="424"/>
      <c r="R98" s="567"/>
    </row>
    <row r="99" spans="1:23" x14ac:dyDescent="0.2">
      <c r="A99" s="789"/>
      <c r="B99" s="411"/>
      <c r="C99" s="412"/>
      <c r="D99" s="404"/>
      <c r="E99" s="424"/>
      <c r="F99" s="567"/>
      <c r="G99" s="789"/>
      <c r="H99" s="411"/>
      <c r="I99" s="412"/>
      <c r="J99" s="404"/>
      <c r="K99" s="424"/>
      <c r="L99" s="567"/>
      <c r="M99" s="789"/>
      <c r="N99" s="411"/>
      <c r="O99" s="412"/>
      <c r="P99" s="404"/>
      <c r="Q99" s="424"/>
      <c r="R99" s="567"/>
    </row>
    <row r="100" spans="1:23" x14ac:dyDescent="0.2">
      <c r="A100" s="789"/>
      <c r="B100" s="411"/>
      <c r="C100" s="412"/>
      <c r="D100" s="404"/>
      <c r="E100" s="424"/>
      <c r="F100" s="567"/>
      <c r="G100" s="789"/>
      <c r="H100" s="411"/>
      <c r="I100" s="412"/>
      <c r="J100" s="404"/>
      <c r="K100" s="424"/>
      <c r="L100" s="567"/>
      <c r="M100" s="789"/>
      <c r="N100" s="411"/>
      <c r="O100" s="412"/>
      <c r="P100" s="404"/>
      <c r="Q100" s="424"/>
      <c r="R100" s="567"/>
    </row>
    <row r="101" spans="1:23" x14ac:dyDescent="0.2">
      <c r="A101" s="789"/>
      <c r="B101" s="411"/>
      <c r="C101" s="412"/>
      <c r="D101" s="404"/>
      <c r="E101" s="424"/>
      <c r="F101" s="567"/>
      <c r="G101" s="789"/>
      <c r="H101" s="411"/>
      <c r="I101" s="412"/>
      <c r="J101" s="404"/>
      <c r="K101" s="424"/>
      <c r="L101" s="567"/>
      <c r="M101" s="789"/>
      <c r="N101" s="411"/>
      <c r="O101" s="412"/>
      <c r="P101" s="404"/>
      <c r="Q101" s="424"/>
      <c r="R101" s="567"/>
      <c r="V101" s="419"/>
      <c r="W101" s="419"/>
    </row>
    <row r="102" spans="1:23" x14ac:dyDescent="0.2">
      <c r="A102" s="789"/>
      <c r="B102" s="411"/>
      <c r="C102" s="412"/>
      <c r="D102" s="404"/>
      <c r="E102" s="424"/>
      <c r="F102" s="567"/>
      <c r="G102" s="789"/>
      <c r="H102" s="411"/>
      <c r="I102" s="412"/>
      <c r="J102" s="404"/>
      <c r="K102" s="424"/>
      <c r="L102" s="567"/>
      <c r="M102" s="789"/>
      <c r="N102" s="411"/>
      <c r="O102" s="412"/>
      <c r="P102" s="404"/>
      <c r="Q102" s="424"/>
      <c r="R102" s="567"/>
    </row>
    <row r="103" spans="1:23" x14ac:dyDescent="0.2">
      <c r="A103" s="789"/>
      <c r="B103" s="411"/>
      <c r="C103" s="412"/>
      <c r="D103" s="404"/>
      <c r="E103" s="424"/>
      <c r="F103" s="567"/>
      <c r="G103" s="789"/>
      <c r="H103" s="411"/>
      <c r="I103" s="412"/>
      <c r="J103" s="404"/>
      <c r="K103" s="424"/>
      <c r="L103" s="567"/>
      <c r="M103" s="789"/>
      <c r="N103" s="411"/>
      <c r="O103" s="412"/>
      <c r="P103" s="404"/>
      <c r="Q103" s="424"/>
      <c r="R103" s="567"/>
    </row>
    <row r="104" spans="1:23" x14ac:dyDescent="0.2">
      <c r="A104" s="789"/>
      <c r="B104" s="411"/>
      <c r="C104" s="412"/>
      <c r="D104" s="404"/>
      <c r="E104" s="424"/>
      <c r="F104" s="567"/>
      <c r="G104" s="789"/>
      <c r="H104" s="411"/>
      <c r="I104" s="412"/>
      <c r="J104" s="404"/>
      <c r="K104" s="424"/>
      <c r="L104" s="567"/>
      <c r="M104" s="789"/>
      <c r="N104" s="411"/>
      <c r="O104" s="412"/>
      <c r="P104" s="404"/>
      <c r="Q104" s="424"/>
      <c r="R104" s="567"/>
    </row>
    <row r="105" spans="1:23" x14ac:dyDescent="0.2">
      <c r="A105" s="789"/>
      <c r="B105" s="411"/>
      <c r="C105" s="412"/>
      <c r="D105" s="404"/>
      <c r="E105" s="424"/>
      <c r="F105" s="567"/>
      <c r="G105" s="789"/>
      <c r="H105" s="411"/>
      <c r="I105" s="412"/>
      <c r="J105" s="404"/>
      <c r="K105" s="424"/>
      <c r="L105" s="567"/>
      <c r="M105" s="789"/>
      <c r="N105" s="411"/>
      <c r="O105" s="412"/>
      <c r="P105" s="404"/>
      <c r="Q105" s="424"/>
      <c r="R105" s="567"/>
    </row>
    <row r="106" spans="1:23" x14ac:dyDescent="0.2">
      <c r="A106" s="789"/>
      <c r="B106" s="411"/>
      <c r="C106" s="412"/>
      <c r="D106" s="404"/>
      <c r="E106" s="424"/>
      <c r="F106" s="567"/>
      <c r="G106" s="789"/>
      <c r="H106" s="411"/>
      <c r="I106" s="412"/>
      <c r="J106" s="404"/>
      <c r="K106" s="424"/>
      <c r="L106" s="567"/>
      <c r="M106" s="789"/>
      <c r="N106" s="411"/>
      <c r="O106" s="412"/>
      <c r="P106" s="404"/>
      <c r="Q106" s="424"/>
      <c r="R106" s="567"/>
    </row>
    <row r="107" spans="1:23" x14ac:dyDescent="0.2">
      <c r="A107" s="789"/>
      <c r="B107" s="411"/>
      <c r="C107" s="412"/>
      <c r="D107" s="404"/>
      <c r="E107" s="424"/>
      <c r="F107" s="567"/>
      <c r="G107" s="789"/>
      <c r="H107" s="411"/>
      <c r="I107" s="412"/>
      <c r="J107" s="404"/>
      <c r="K107" s="424"/>
      <c r="L107" s="567"/>
      <c r="M107" s="789"/>
      <c r="N107" s="411"/>
      <c r="O107" s="412"/>
      <c r="P107" s="404"/>
      <c r="Q107" s="424"/>
      <c r="R107" s="567"/>
    </row>
    <row r="108" spans="1:23" x14ac:dyDescent="0.2">
      <c r="A108" s="789"/>
      <c r="B108" s="411"/>
      <c r="C108" s="412"/>
      <c r="D108" s="404"/>
      <c r="E108" s="424"/>
      <c r="F108" s="567"/>
      <c r="G108" s="789"/>
      <c r="H108" s="411"/>
      <c r="I108" s="412"/>
      <c r="J108" s="404"/>
      <c r="K108" s="424"/>
      <c r="L108" s="567"/>
      <c r="M108" s="789"/>
      <c r="N108" s="411"/>
      <c r="O108" s="412"/>
      <c r="P108" s="404"/>
      <c r="Q108" s="424"/>
      <c r="R108" s="567"/>
    </row>
    <row r="109" spans="1:23" x14ac:dyDescent="0.2">
      <c r="A109" s="790"/>
      <c r="B109" s="411"/>
      <c r="C109" s="412"/>
      <c r="D109" s="404"/>
      <c r="E109" s="424"/>
      <c r="F109" s="567"/>
      <c r="G109" s="790"/>
      <c r="H109" s="411"/>
      <c r="I109" s="412"/>
      <c r="J109" s="404"/>
      <c r="K109" s="424"/>
      <c r="L109" s="567"/>
      <c r="M109" s="790"/>
      <c r="N109" s="411"/>
      <c r="O109" s="412"/>
      <c r="P109" s="404"/>
      <c r="Q109" s="424"/>
      <c r="R109" s="567"/>
    </row>
    <row r="110" spans="1:23" x14ac:dyDescent="0.2">
      <c r="B110" s="419"/>
      <c r="C110" s="419"/>
      <c r="D110" s="419"/>
      <c r="E110" s="419"/>
      <c r="F110" s="567"/>
      <c r="G110" s="419"/>
      <c r="H110" s="419"/>
      <c r="I110" s="419"/>
      <c r="J110" s="419"/>
      <c r="K110" s="419"/>
      <c r="L110" s="567"/>
      <c r="M110" s="419"/>
      <c r="N110" s="419"/>
      <c r="O110" s="419"/>
      <c r="P110" s="419"/>
      <c r="Q110" s="419"/>
      <c r="R110" s="567"/>
      <c r="S110" s="567"/>
    </row>
    <row r="111" spans="1:23" x14ac:dyDescent="0.2"/>
  </sheetData>
  <mergeCells count="21">
    <mergeCell ref="A75:A109"/>
    <mergeCell ref="G75:G109"/>
    <mergeCell ref="M75:M109"/>
    <mergeCell ref="B58:E58"/>
    <mergeCell ref="H58:K58"/>
    <mergeCell ref="N58:Q58"/>
    <mergeCell ref="A60:A74"/>
    <mergeCell ref="G60:G74"/>
    <mergeCell ref="M60:M74"/>
    <mergeCell ref="A26:A55"/>
    <mergeCell ref="G26:G55"/>
    <mergeCell ref="M26:M55"/>
    <mergeCell ref="AA4:AB4"/>
    <mergeCell ref="A6:A25"/>
    <mergeCell ref="G6:G25"/>
    <mergeCell ref="M6:M25"/>
    <mergeCell ref="B4:E4"/>
    <mergeCell ref="H4:K4"/>
    <mergeCell ref="N4:Q4"/>
    <mergeCell ref="T4:X4"/>
    <mergeCell ref="T22:X22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H80 O11:O14 H30 H6 B34:B36 E60:E61 B14 K30 K33 B6:B12 B79:C79 B75:C76 E75:E79 H79:I79 H75:I76 X43:X47 Q6:Q14" xr:uid="{EE9B04CD-6C02-4AEE-8EF8-C76EBFFCDD0C}"/>
    <dataValidation allowBlank="1" showErrorMessage="1" prompt="O conteúdo desta célula não deve ser alterado." sqref="H6 X29 W47 B39 B6:B14 T42:T47 T24:T25 T29:T30 V29:W30" xr:uid="{AE5A7B2A-B70B-454F-A39A-DBCCDD5A4D04}"/>
    <dataValidation allowBlank="1" sqref="Q34:Q36 N9:N14 E89:E90 E81:E84 K89:K90 Q89:Q90 K81:K84 X26:X28 E34:E36 H7:K7 K32 H6 H77:J78 B60:D61 B77:D78 U24:U40 P63:P64 P75:P83 B14:E14 W6:X11 C39:D39 C13:E13 H26:K27 H29:K31 H28:J33 K34:K36 H60:J61 D79:D80 D75:D76 J79:J80 J75:J76 P9:P14 W13:X15 W17:X17 P65:Q65 P60:Q62 W19:X20 J8:K13 H8:H13 B31:E32 N6:P8 T26:T28 V26:V28 B6:E12 E38:E39 B37:D38 D42:D43 B40:E41 B27:E28 J6 E30 D29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9 P75:P83 D6:D7 C8:D8" unlockedFormula="1"/>
  </ignoredErrors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0"/>
  <sheetViews>
    <sheetView tabSelected="1" workbookViewId="0">
      <selection activeCell="C6" sqref="C6"/>
    </sheetView>
  </sheetViews>
  <sheetFormatPr defaultColWidth="12.7109375" defaultRowHeight="17.100000000000001" customHeight="1" x14ac:dyDescent="0.2"/>
  <cols>
    <col min="1" max="1" width="2.7109375" style="65" customWidth="1"/>
    <col min="2" max="2" width="30.7109375" style="65" customWidth="1"/>
    <col min="3" max="3" width="40.7109375" style="65" customWidth="1"/>
    <col min="4" max="4" width="5.7109375" style="65" customWidth="1"/>
    <col min="5" max="5" width="30.7109375" style="65" customWidth="1"/>
    <col min="6" max="6" width="5.7109375" style="65" customWidth="1"/>
    <col min="7" max="7" width="45" style="65" bestFit="1" customWidth="1"/>
    <col min="8" max="8" width="15.7109375" style="65" customWidth="1"/>
    <col min="9" max="11" width="12.7109375" style="65" customWidth="1"/>
    <col min="12" max="13" width="5.7109375" style="65" customWidth="1"/>
    <col min="14" max="25" width="12.7109375" style="65" customWidth="1"/>
    <col min="26" max="16384" width="12.7109375" style="65"/>
  </cols>
  <sheetData>
    <row r="1" spans="1:15" ht="17.100000000000001" customHeight="1" thickBot="1" x14ac:dyDescent="0.25">
      <c r="N1" s="58"/>
    </row>
    <row r="2" spans="1:15" ht="17.100000000000001" customHeight="1" thickBot="1" x14ac:dyDescent="0.25">
      <c r="B2" s="756" t="s">
        <v>1828</v>
      </c>
      <c r="C2" s="758"/>
      <c r="D2" s="707"/>
      <c r="E2" s="697" t="str">
        <f>IF(estudo_cvd_type=2, "CVD de 2ª", IF(estudo_cvd_type=1, "CVD de 1ª", "Selecione o tipo de CVD"))</f>
        <v>Selecione o tipo de CVD</v>
      </c>
      <c r="F2" s="63"/>
      <c r="G2" s="794" t="s">
        <v>1910</v>
      </c>
      <c r="H2" s="794"/>
      <c r="I2" s="794"/>
      <c r="M2" s="58"/>
      <c r="N2" s="58"/>
    </row>
    <row r="3" spans="1:15" ht="17.100000000000001" customHeight="1" thickTop="1" x14ac:dyDescent="0.2">
      <c r="B3" s="465" t="s">
        <v>1297</v>
      </c>
      <c r="C3" s="692" t="s">
        <v>1332</v>
      </c>
      <c r="D3" s="705"/>
      <c r="F3" s="63"/>
      <c r="G3" s="478" t="s">
        <v>1666</v>
      </c>
      <c r="H3" s="478" t="s">
        <v>1342</v>
      </c>
      <c r="I3" s="478" t="s">
        <v>1454</v>
      </c>
      <c r="J3" s="58"/>
      <c r="K3" s="58"/>
      <c r="L3" s="58"/>
      <c r="N3" s="58"/>
    </row>
    <row r="4" spans="1:15" ht="17.100000000000001" customHeight="1" x14ac:dyDescent="0.2">
      <c r="B4" s="466" t="s">
        <v>1299</v>
      </c>
      <c r="C4" s="449" t="s">
        <v>2208</v>
      </c>
      <c r="D4" s="705"/>
      <c r="G4" s="475" t="s">
        <v>1793</v>
      </c>
      <c r="H4" s="476">
        <f>data_empuxo_total</f>
        <v>0</v>
      </c>
      <c r="I4" s="476" t="s">
        <v>1924</v>
      </c>
      <c r="J4" s="58"/>
      <c r="K4" s="58"/>
      <c r="L4" s="58"/>
      <c r="N4" s="58"/>
    </row>
    <row r="5" spans="1:15" ht="17.100000000000001" customHeight="1" x14ac:dyDescent="0.2">
      <c r="B5" s="466" t="str">
        <f>C4</f>
        <v>Manifold</v>
      </c>
      <c r="C5" s="693" t="s">
        <v>2209</v>
      </c>
      <c r="D5" s="708"/>
      <c r="G5" s="473" t="s">
        <v>1919</v>
      </c>
      <c r="H5" s="431">
        <f>data_qtd_conjuntos_boias</f>
        <v>0</v>
      </c>
      <c r="I5" s="431" t="s">
        <v>1380</v>
      </c>
      <c r="J5" s="58"/>
      <c r="K5" s="58"/>
      <c r="L5" s="58"/>
      <c r="N5" s="58"/>
      <c r="O5" s="58"/>
    </row>
    <row r="6" spans="1:15" ht="17.100000000000001" customHeight="1" x14ac:dyDescent="0.2">
      <c r="B6" s="466" t="s">
        <v>1300</v>
      </c>
      <c r="C6" s="449" t="s">
        <v>2220</v>
      </c>
      <c r="D6" s="705"/>
      <c r="G6" s="473" t="s">
        <v>1329</v>
      </c>
      <c r="H6" s="474">
        <f>data_dist_primeira_boia</f>
        <v>0</v>
      </c>
      <c r="I6" s="474" t="s">
        <v>1289</v>
      </c>
      <c r="J6" s="58"/>
      <c r="K6" s="58"/>
      <c r="L6" s="58"/>
      <c r="N6" s="58"/>
      <c r="O6" s="58"/>
    </row>
    <row r="7" spans="1:15" ht="17.100000000000001" customHeight="1" x14ac:dyDescent="0.2">
      <c r="B7" s="466" t="s">
        <v>216</v>
      </c>
      <c r="C7" s="470" t="s">
        <v>2210</v>
      </c>
      <c r="D7" s="704"/>
      <c r="G7" s="473" t="s">
        <v>1794</v>
      </c>
      <c r="H7" s="179" t="str">
        <f>IF(case3i_din_heave_up=0,"",ABS(case3i_din_heave_up))</f>
        <v/>
      </c>
      <c r="I7" s="179" t="s">
        <v>1289</v>
      </c>
      <c r="J7" s="58"/>
      <c r="K7" s="58"/>
      <c r="L7" s="58"/>
      <c r="N7" s="58"/>
    </row>
    <row r="8" spans="1:15" ht="17.100000000000001" customHeight="1" x14ac:dyDescent="0.2">
      <c r="B8" s="466" t="s">
        <v>1301</v>
      </c>
      <c r="C8" s="470">
        <v>2517</v>
      </c>
      <c r="D8" s="704"/>
      <c r="G8" s="473" t="s">
        <v>1795</v>
      </c>
      <c r="H8" s="179">
        <f>case3i_din_bm_vert</f>
        <v>0</v>
      </c>
      <c r="I8" s="179" t="s">
        <v>1292</v>
      </c>
      <c r="J8" s="58"/>
      <c r="K8" s="58"/>
      <c r="L8" s="58"/>
      <c r="N8" s="58"/>
    </row>
    <row r="9" spans="1:15" ht="17.100000000000001" customHeight="1" x14ac:dyDescent="0.2">
      <c r="B9" s="467" t="s">
        <v>1302</v>
      </c>
      <c r="C9" s="470">
        <v>0</v>
      </c>
      <c r="D9" s="704"/>
      <c r="G9" s="473" t="s">
        <v>1796</v>
      </c>
      <c r="H9" s="431" t="str">
        <f>IF(estudo_cvd_type=1, "IGNORAR", _xlfn.CONCAT(case2_est_position_corc1," : ",case2_est_position_corc2))</f>
        <v>0 : 0</v>
      </c>
      <c r="I9" s="431" t="s">
        <v>1289</v>
      </c>
      <c r="J9" s="58"/>
      <c r="K9" s="58"/>
      <c r="L9" s="58"/>
      <c r="N9" s="58"/>
    </row>
    <row r="10" spans="1:15" ht="17.100000000000001" customHeight="1" x14ac:dyDescent="0.2">
      <c r="B10" s="467" t="s">
        <v>1303</v>
      </c>
      <c r="C10" s="694" t="s">
        <v>2211</v>
      </c>
      <c r="D10" s="702"/>
      <c r="G10" s="473" t="s">
        <v>1797</v>
      </c>
      <c r="H10" s="431" t="str">
        <f>IF(estudo_cvd_type=1, "IGNORAR", _xlfn.CONCAT(case2_est_comp_lingada1," : ",case2_est_comp_lingada2))</f>
        <v>0 : 0</v>
      </c>
      <c r="I10" s="431" t="s">
        <v>1289</v>
      </c>
      <c r="J10" s="58"/>
      <c r="K10" s="67"/>
      <c r="L10" s="67"/>
      <c r="N10" s="58"/>
    </row>
    <row r="11" spans="1:15" ht="17.100000000000001" customHeight="1" x14ac:dyDescent="0.2">
      <c r="A11" s="35"/>
      <c r="B11" s="468" t="s">
        <v>1304</v>
      </c>
      <c r="C11" s="695" t="s">
        <v>2217</v>
      </c>
      <c r="D11" s="702"/>
      <c r="G11" s="473" t="s">
        <v>1279</v>
      </c>
      <c r="H11" s="431" t="str">
        <f>IF(estudo_cvd_type=1, "IGNORAR", case2_est_overlength)</f>
        <v>IGNORAR</v>
      </c>
      <c r="I11" s="431" t="s">
        <v>1289</v>
      </c>
      <c r="N11" s="58"/>
    </row>
    <row r="12" spans="1:15" ht="17.100000000000001" customHeight="1" x14ac:dyDescent="0.2">
      <c r="A12" s="35"/>
      <c r="B12" s="468" t="s">
        <v>1306</v>
      </c>
      <c r="C12" s="469" t="s">
        <v>1789</v>
      </c>
      <c r="D12" s="702"/>
      <c r="N12" s="58"/>
    </row>
    <row r="13" spans="1:15" ht="17.100000000000001" customHeight="1" thickBot="1" x14ac:dyDescent="0.25">
      <c r="A13" s="35"/>
      <c r="B13" s="468" t="s">
        <v>1307</v>
      </c>
      <c r="C13" s="696" t="s">
        <v>2212</v>
      </c>
      <c r="D13" s="704"/>
      <c r="G13" s="756" t="s">
        <v>1911</v>
      </c>
      <c r="H13" s="757"/>
      <c r="I13" s="757"/>
      <c r="J13" s="758"/>
      <c r="N13" s="58"/>
    </row>
    <row r="14" spans="1:15" ht="17.100000000000001" customHeight="1" thickTop="1" x14ac:dyDescent="0.2">
      <c r="A14" s="35"/>
      <c r="B14" s="467" t="s">
        <v>1308</v>
      </c>
      <c r="C14" s="470" t="s">
        <v>2218</v>
      </c>
      <c r="D14" s="704"/>
      <c r="G14" s="795" t="s">
        <v>1665</v>
      </c>
      <c r="H14" s="481" t="s">
        <v>1790</v>
      </c>
      <c r="I14" s="481" t="s">
        <v>1791</v>
      </c>
      <c r="J14" s="481" t="s">
        <v>1792</v>
      </c>
      <c r="M14" s="58"/>
      <c r="N14" s="58"/>
    </row>
    <row r="15" spans="1:15" ht="17.100000000000001" customHeight="1" x14ac:dyDescent="0.2">
      <c r="B15" s="467" t="s">
        <v>1309</v>
      </c>
      <c r="C15" s="470" t="s">
        <v>2219</v>
      </c>
      <c r="D15" s="704"/>
      <c r="G15" s="796"/>
      <c r="H15" s="479" t="s">
        <v>1284</v>
      </c>
      <c r="I15" s="479" t="s">
        <v>1284</v>
      </c>
      <c r="J15" s="479" t="s">
        <v>1283</v>
      </c>
      <c r="M15" s="58"/>
      <c r="N15" s="58"/>
      <c r="O15" s="58"/>
    </row>
    <row r="16" spans="1:15" ht="17.100000000000001" customHeight="1" thickBot="1" x14ac:dyDescent="0.25">
      <c r="B16" s="467" t="s">
        <v>1310</v>
      </c>
      <c r="C16" s="470"/>
      <c r="D16" s="704"/>
      <c r="E16" s="472" t="s">
        <v>1627</v>
      </c>
      <c r="G16" s="480" t="s">
        <v>1813</v>
      </c>
      <c r="H16" s="179">
        <f>case3i_din_ez_axial_max</f>
        <v>0</v>
      </c>
      <c r="I16" s="179">
        <f>case3i_din_ex_shear_force_max</f>
        <v>0</v>
      </c>
      <c r="J16" s="179">
        <f>case3i_din_ey_moment_max</f>
        <v>0</v>
      </c>
      <c r="M16" s="58"/>
      <c r="N16" s="58"/>
      <c r="O16" s="58"/>
    </row>
    <row r="17" spans="2:15" ht="17.100000000000001" customHeight="1" thickTop="1" x14ac:dyDescent="0.2">
      <c r="B17" s="466" t="s">
        <v>1311</v>
      </c>
      <c r="C17" s="422">
        <f>postproc_orcaflex_version</f>
        <v>0</v>
      </c>
      <c r="D17" s="703"/>
      <c r="E17" s="791" t="str">
        <f>IF(ISERROR(FIND("11.3d", postproc_orcaflex_version)),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G17" s="480" t="s">
        <v>1814</v>
      </c>
      <c r="H17" s="428">
        <f>case3i_din_ez_axial_min</f>
        <v>0</v>
      </c>
      <c r="I17" s="428">
        <f>case3i_din_ex_shear_force_min</f>
        <v>0</v>
      </c>
      <c r="J17" s="179">
        <f>case3i_din_ey_moment_min</f>
        <v>0</v>
      </c>
      <c r="K17" s="319"/>
      <c r="L17" s="319"/>
      <c r="M17" s="58"/>
      <c r="N17" s="58"/>
      <c r="O17" s="58"/>
    </row>
    <row r="18" spans="2:15" ht="17.100000000000001" customHeight="1" x14ac:dyDescent="0.2">
      <c r="B18" s="466" t="s">
        <v>1656</v>
      </c>
      <c r="C18" s="470" t="s">
        <v>2213</v>
      </c>
      <c r="D18" s="704"/>
      <c r="E18" s="792"/>
      <c r="G18" s="480" t="s">
        <v>1781</v>
      </c>
      <c r="H18" s="428">
        <f>case3ii_toque_ez_axial_max</f>
        <v>0</v>
      </c>
      <c r="I18" s="428">
        <f>case3ii_toque_ex_shear_force_max</f>
        <v>0</v>
      </c>
      <c r="J18" s="428">
        <f>case3ii_toque_ey_moment_max</f>
        <v>0</v>
      </c>
      <c r="K18" s="319"/>
      <c r="L18" s="319"/>
      <c r="M18" s="58"/>
      <c r="N18" s="58"/>
      <c r="O18" s="58"/>
    </row>
    <row r="19" spans="2:15" ht="17.100000000000001" customHeight="1" x14ac:dyDescent="0.2">
      <c r="B19" s="466" t="s">
        <v>1657</v>
      </c>
      <c r="C19" s="470">
        <v>0</v>
      </c>
      <c r="D19" s="704"/>
      <c r="E19" s="792"/>
      <c r="G19" s="480" t="s">
        <v>1912</v>
      </c>
      <c r="H19" s="179">
        <f>case4_et_result_ez_axial_with_buoys</f>
        <v>0</v>
      </c>
      <c r="I19" s="179">
        <f>case4_et_result_ex_shear_force_with_buoys</f>
        <v>0</v>
      </c>
      <c r="J19" s="179">
        <f>case4_et_result_ey_moment_with_buoys</f>
        <v>0</v>
      </c>
      <c r="K19" s="319"/>
      <c r="L19" s="319"/>
      <c r="M19" s="58"/>
      <c r="N19" s="58"/>
      <c r="O19" s="58"/>
    </row>
    <row r="20" spans="2:15" ht="17.100000000000001" customHeight="1" x14ac:dyDescent="0.2">
      <c r="B20" s="466" t="s">
        <v>1658</v>
      </c>
      <c r="C20" s="470" t="s">
        <v>2214</v>
      </c>
      <c r="D20" s="704"/>
      <c r="E20" s="793"/>
      <c r="F20" s="58"/>
      <c r="G20" s="480" t="s">
        <v>1913</v>
      </c>
      <c r="H20" s="179">
        <f>case4_et_result_ez_axial_without_buoys</f>
        <v>0</v>
      </c>
      <c r="I20" s="179">
        <f>case4_et_result_ex_shear_force_without_buoys</f>
        <v>0</v>
      </c>
      <c r="J20" s="179">
        <f>case4_et_result_ey_moment_without_buoys</f>
        <v>0</v>
      </c>
      <c r="L20" s="319"/>
      <c r="M20" s="58"/>
      <c r="N20" s="58"/>
      <c r="O20" s="58"/>
    </row>
    <row r="21" spans="2:15" ht="17.100000000000001" customHeight="1" x14ac:dyDescent="0.2">
      <c r="B21" s="466" t="s">
        <v>1312</v>
      </c>
      <c r="C21" s="471" t="s">
        <v>2215</v>
      </c>
      <c r="D21" s="704"/>
      <c r="F21" s="58"/>
      <c r="G21" s="480" t="s">
        <v>1914</v>
      </c>
      <c r="H21" s="179">
        <f>case5_et_result_ez_axial</f>
        <v>0</v>
      </c>
      <c r="I21" s="179">
        <f>case5_et_result_ex_shear_force</f>
        <v>0</v>
      </c>
      <c r="J21" s="179">
        <f>case5_et_result_ey_moment</f>
        <v>0</v>
      </c>
      <c r="M21" s="58"/>
      <c r="N21" s="58"/>
      <c r="O21" s="58"/>
    </row>
    <row r="22" spans="2:15" ht="17.100000000000001" customHeight="1" thickBot="1" x14ac:dyDescent="0.25">
      <c r="B22" s="466" t="s">
        <v>1313</v>
      </c>
      <c r="C22" s="470">
        <v>0</v>
      </c>
      <c r="D22" s="704"/>
      <c r="E22" s="457" t="s">
        <v>1829</v>
      </c>
      <c r="F22" s="58"/>
      <c r="G22" s="480" t="s">
        <v>1893</v>
      </c>
      <c r="H22" s="179">
        <f>IF(estudo_cvd_type=1, "IGNORAR", puxada_ez_axial_max)</f>
        <v>0</v>
      </c>
      <c r="I22" s="179">
        <f>IF(estudo_cvd_type=1, "IGNORAR", puxada_ex_shear_force_max)</f>
        <v>0</v>
      </c>
      <c r="J22" s="179">
        <f>IF(estudo_cvd_type=1, "IGNORAR", puxada_ey_moment_max)</f>
        <v>0</v>
      </c>
      <c r="M22" s="58"/>
      <c r="N22" s="58"/>
      <c r="O22" s="58"/>
    </row>
    <row r="23" spans="2:15" ht="17.100000000000001" customHeight="1" thickTop="1" x14ac:dyDescent="0.2">
      <c r="B23" s="466" t="s">
        <v>1314</v>
      </c>
      <c r="C23" s="470" t="s">
        <v>2216</v>
      </c>
      <c r="D23" s="704"/>
      <c r="E23" s="458" t="str">
        <f>IF(COUNTBLANK(C3:C23)&lt;2,  "Sim!", "Não! Há campos em branco.")</f>
        <v>Sim!</v>
      </c>
      <c r="G23" s="480" t="s">
        <v>1894</v>
      </c>
      <c r="H23" s="179">
        <f>IF(estudo_cvd_type=1, "IGNORAR", puxada_ez_axial_min)</f>
        <v>0</v>
      </c>
      <c r="I23" s="179">
        <f>IF(estudo_cvd_type=1, "IGNORAR", puxada_ex_shear_force_min)</f>
        <v>0</v>
      </c>
      <c r="J23" s="179">
        <f>IF(estudo_cvd_type=1, "IGNORAR", puxada_ey_moment_min)</f>
        <v>0</v>
      </c>
      <c r="N23" s="58"/>
      <c r="O23" s="58"/>
    </row>
    <row r="24" spans="2:15" ht="17.100000000000001" customHeight="1" x14ac:dyDescent="0.2">
      <c r="B24" s="35"/>
      <c r="C24" s="63"/>
      <c r="D24" s="63"/>
      <c r="G24" s="797" t="s">
        <v>1773</v>
      </c>
      <c r="H24" s="797"/>
      <c r="I24" s="797"/>
      <c r="J24" s="797"/>
      <c r="K24" s="602"/>
      <c r="N24" s="58"/>
      <c r="O24" s="58"/>
    </row>
    <row r="25" spans="2:15" ht="17.100000000000001" customHeight="1" thickBot="1" x14ac:dyDescent="0.25">
      <c r="B25" s="756" t="s">
        <v>1830</v>
      </c>
      <c r="C25" s="758"/>
      <c r="D25" s="707"/>
      <c r="E25" s="316" t="s">
        <v>1668</v>
      </c>
      <c r="G25" s="798"/>
      <c r="H25" s="798"/>
      <c r="I25" s="798"/>
      <c r="J25" s="798"/>
      <c r="N25" s="58"/>
      <c r="O25" s="58"/>
    </row>
    <row r="26" spans="2:15" ht="17.100000000000001" customHeight="1" thickTop="1" x14ac:dyDescent="0.2">
      <c r="B26" s="464" t="s">
        <v>1315</v>
      </c>
      <c r="C26" s="576"/>
      <c r="D26" s="709"/>
      <c r="E26" s="317"/>
      <c r="N26" s="58"/>
      <c r="O26" s="58"/>
    </row>
    <row r="27" spans="2:15" ht="17.100000000000001" customHeight="1" x14ac:dyDescent="0.2">
      <c r="B27" s="462" t="s">
        <v>343</v>
      </c>
      <c r="C27" s="577"/>
      <c r="D27" s="709"/>
      <c r="E27" s="316" t="s">
        <v>1664</v>
      </c>
      <c r="N27" s="58"/>
      <c r="O27" s="58"/>
    </row>
    <row r="28" spans="2:15" ht="17.100000000000001" customHeight="1" x14ac:dyDescent="0.2">
      <c r="B28" s="462" t="s">
        <v>1316</v>
      </c>
      <c r="C28" s="577"/>
      <c r="D28" s="709"/>
      <c r="N28" s="58"/>
      <c r="O28" s="58"/>
    </row>
    <row r="30" spans="2:15" ht="17.100000000000001" customHeight="1" thickBot="1" x14ac:dyDescent="0.25">
      <c r="B30" s="756" t="s">
        <v>1831</v>
      </c>
      <c r="C30" s="758"/>
      <c r="D30" s="707"/>
      <c r="E30" s="459" t="s">
        <v>1765</v>
      </c>
    </row>
    <row r="31" spans="2:15" ht="17.100000000000001" customHeight="1" thickTop="1" x14ac:dyDescent="0.2">
      <c r="B31" s="460" t="s">
        <v>1701</v>
      </c>
      <c r="C31" s="463" t="s">
        <v>1839</v>
      </c>
      <c r="D31" s="705"/>
      <c r="E31" s="570" t="str">
        <f xml:space="preserve"> IF(AND(Data!I29=0, Data!$W$27=0), "Aguardando Processamento", IF(Data!I29&lt;=Data!$W$27, "Travou", "Não travou"))</f>
        <v>Travou</v>
      </c>
    </row>
    <row r="32" spans="2:15" ht="17.100000000000001" customHeight="1" x14ac:dyDescent="0.2">
      <c r="B32" s="461" t="s">
        <v>1772</v>
      </c>
      <c r="C32" s="372" t="s">
        <v>1296</v>
      </c>
      <c r="D32" s="705"/>
    </row>
    <row r="33" spans="2:12" ht="17.100000000000001" customHeight="1" x14ac:dyDescent="0.2">
      <c r="B33" s="461" t="s">
        <v>1837</v>
      </c>
      <c r="C33" s="372" t="s">
        <v>1838</v>
      </c>
      <c r="D33" s="705"/>
    </row>
    <row r="34" spans="2:12" ht="17.100000000000001" customHeight="1" x14ac:dyDescent="0.2">
      <c r="B34" s="461" t="s">
        <v>1799</v>
      </c>
      <c r="C34" s="372" t="s">
        <v>1836</v>
      </c>
      <c r="D34" s="705"/>
    </row>
    <row r="35" spans="2:12" ht="17.100000000000001" customHeight="1" x14ac:dyDescent="0.2">
      <c r="B35" s="461" t="s">
        <v>1799</v>
      </c>
      <c r="C35" s="372" t="s">
        <v>1835</v>
      </c>
      <c r="D35" s="705"/>
    </row>
    <row r="36" spans="2:12" ht="17.100000000000001" customHeight="1" x14ac:dyDescent="0.2">
      <c r="B36" s="461" t="s">
        <v>1800</v>
      </c>
      <c r="C36" s="372" t="s">
        <v>1834</v>
      </c>
      <c r="D36" s="705"/>
    </row>
    <row r="37" spans="2:12" ht="17.100000000000001" customHeight="1" x14ac:dyDescent="0.2">
      <c r="B37" s="461" t="s">
        <v>1800</v>
      </c>
      <c r="C37" s="372" t="s">
        <v>1833</v>
      </c>
      <c r="D37" s="705"/>
      <c r="L37" s="68"/>
    </row>
    <row r="38" spans="2:12" ht="17.100000000000001" customHeight="1" x14ac:dyDescent="0.2">
      <c r="B38" s="461" t="s">
        <v>1801</v>
      </c>
      <c r="C38" s="372" t="s">
        <v>1832</v>
      </c>
      <c r="D38" s="705"/>
      <c r="K38" s="68"/>
    </row>
    <row r="39" spans="2:12" ht="17.100000000000001" customHeight="1" x14ac:dyDescent="0.2">
      <c r="B39" s="461" t="s">
        <v>1651</v>
      </c>
      <c r="C39" s="372" t="s">
        <v>1286</v>
      </c>
      <c r="D39" s="705"/>
    </row>
    <row r="40" spans="2:12" ht="17.100000000000001" customHeight="1" x14ac:dyDescent="0.2">
      <c r="B40" s="461" t="s">
        <v>1652</v>
      </c>
      <c r="C40" s="372" t="s">
        <v>1287</v>
      </c>
      <c r="D40" s="705"/>
    </row>
    <row r="41" spans="2:12" ht="17.100000000000001" customHeight="1" x14ac:dyDescent="0.2">
      <c r="B41" s="464" t="s">
        <v>1280</v>
      </c>
      <c r="C41" s="463" t="str">
        <f>IF(estudo_cvd_type=1, "IGNORAR", "Hmax")</f>
        <v>Hmax</v>
      </c>
      <c r="D41" s="705"/>
      <c r="J41" s="68"/>
    </row>
    <row r="42" spans="2:12" ht="17.100000000000001" customHeight="1" x14ac:dyDescent="0.2">
      <c r="B42" s="462" t="s">
        <v>1281</v>
      </c>
      <c r="C42" s="372" t="str">
        <f>IF(estudo_cvd_type=1, "IGNORAR", "Dinamico")</f>
        <v>Dinamico</v>
      </c>
      <c r="D42" s="705"/>
    </row>
    <row r="44" spans="2:12" ht="17.100000000000001" customHeight="1" thickBot="1" x14ac:dyDescent="0.25">
      <c r="B44" s="794" t="s">
        <v>1909</v>
      </c>
      <c r="C44" s="794"/>
      <c r="D44" s="707"/>
    </row>
    <row r="45" spans="2:12" ht="17.100000000000001" customHeight="1" thickTop="1" x14ac:dyDescent="0.2">
      <c r="B45" s="482" t="s">
        <v>1667</v>
      </c>
      <c r="C45" s="483" t="s">
        <v>1276</v>
      </c>
      <c r="D45" s="710"/>
    </row>
    <row r="46" spans="2:12" ht="17.100000000000001" customHeight="1" x14ac:dyDescent="0.2">
      <c r="B46" s="484" t="s">
        <v>1277</v>
      </c>
      <c r="C46" s="485">
        <v>24</v>
      </c>
      <c r="D46" s="706"/>
    </row>
    <row r="47" spans="2:12" ht="17.100000000000001" customHeight="1" x14ac:dyDescent="0.2">
      <c r="B47" s="484" t="s">
        <v>1278</v>
      </c>
      <c r="C47" s="485">
        <v>24</v>
      </c>
      <c r="D47" s="706"/>
    </row>
    <row r="48" spans="2:12" ht="17.100000000000001" customHeight="1" x14ac:dyDescent="0.2">
      <c r="B48" s="486" t="s">
        <v>1286</v>
      </c>
      <c r="C48" s="485">
        <v>24</v>
      </c>
      <c r="D48" s="706"/>
    </row>
    <row r="49" spans="2:4" ht="17.100000000000001" customHeight="1" x14ac:dyDescent="0.2">
      <c r="B49" s="486" t="s">
        <v>1287</v>
      </c>
      <c r="C49" s="485">
        <v>24</v>
      </c>
      <c r="D49" s="706"/>
    </row>
    <row r="50" spans="2:4" ht="17.100000000000001" customHeight="1" x14ac:dyDescent="0.2">
      <c r="B50" s="487" t="s">
        <v>1280</v>
      </c>
      <c r="C50" s="488">
        <f>IF(estudo_cvd_type=1, "IGNORAR", 24)</f>
        <v>24</v>
      </c>
      <c r="D50" s="706"/>
    </row>
    <row r="51" spans="2:4" ht="17.100000000000001" customHeight="1" x14ac:dyDescent="0.2">
      <c r="B51" s="484" t="s">
        <v>1281</v>
      </c>
      <c r="C51" s="485">
        <f>IF(estudo_cvd_type=1, "IGNORAR", 24)</f>
        <v>24</v>
      </c>
      <c r="D51" s="706"/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5"/>
    </row>
    <row r="310" spans="1:2" ht="17.100000000000001" customHeight="1" x14ac:dyDescent="0.2">
      <c r="B310" s="3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2:C2"/>
    <mergeCell ref="B30:C30"/>
    <mergeCell ref="E17:E20"/>
    <mergeCell ref="B44:C44"/>
    <mergeCell ref="G2:I2"/>
    <mergeCell ref="B25:C25"/>
    <mergeCell ref="G14:G15"/>
    <mergeCell ref="G13:J13"/>
    <mergeCell ref="G24:J25"/>
  </mergeCells>
  <conditionalFormatting sqref="E23">
    <cfRule type="containsText" dxfId="165" priority="16" operator="containsText" text="Sim">
      <formula>NOT(ISERROR(SEARCH("Sim",E23)))</formula>
    </cfRule>
    <cfRule type="containsText" dxfId="164" priority="17" operator="containsText" text="Não">
      <formula>NOT(ISERROR(SEARCH("Não",E23)))</formula>
    </cfRule>
  </conditionalFormatting>
  <conditionalFormatting sqref="E17">
    <cfRule type="containsText" dxfId="163" priority="14" operator="containsText" text="Versão compatível">
      <formula>NOT(ISERROR(SEARCH("Versão compatível",E17)))</formula>
    </cfRule>
    <cfRule type="containsText" dxfId="162" priority="15" operator="containsText" text="incompatível">
      <formula>NOT(ISERROR(SEARCH("incompatível",E17)))</formula>
    </cfRule>
  </conditionalFormatting>
  <conditionalFormatting sqref="E31">
    <cfRule type="cellIs" dxfId="161" priority="10" operator="equal">
      <formula>"Não travou"</formula>
    </cfRule>
    <cfRule type="cellIs" dxfId="160" priority="11" operator="equal">
      <formula>"Travou"</formula>
    </cfRule>
  </conditionalFormatting>
  <conditionalFormatting sqref="E2">
    <cfRule type="containsText" dxfId="159" priority="3" operator="containsText" text="2ª">
      <formula>NOT(ISERROR(SEARCH("2ª",E2)))</formula>
    </cfRule>
    <cfRule type="containsText" dxfId="158" priority="4" operator="containsText" text="1ª">
      <formula>NOT(ISERROR(SEARCH("1ª",E2)))</formula>
    </cfRule>
    <cfRule type="containsText" dxfId="157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EBAC6B14-42F9-4B4A-97F9-0ED0BAAA2990}">
      <formula1>droplist_line_type</formula1>
    </dataValidation>
    <dataValidation allowBlank="1" showErrorMessage="1" prompt="O conteúdo desta célula não deve ser alterado." sqref="C39:C40 B50:B51 B47 C31:C35 B46:C46" xr:uid="{00000000-0002-0000-1100-000003000000}"/>
    <dataValidation type="whole" operator="greaterThanOrEqual" allowBlank="1" showInputMessage="1" showErrorMessage="1" errorTitle="Erro de Input" error="Inserir apenas números inteiros." sqref="C8" xr:uid="{E6EFA81D-AD11-409B-8144-0317FC5CCCBE}">
      <formula1>0</formula1>
    </dataValidation>
    <dataValidation type="list" allowBlank="1" showInputMessage="1" showErrorMessage="1" sqref="C4" xr:uid="{0CAB5C2D-6E3B-4151-B037-284F7A86DBF7}">
      <formula1>"Poço,Manifold,PLET"</formula1>
    </dataValidation>
    <dataValidation type="list" allowBlank="1" showInputMessage="1" sqref="C6" xr:uid="{AC36C449-589E-466F-A52D-957C7D86FBB5}">
      <formula1>"Skandi Niterói,Skandi Vitória,Skandi Búzios,Skandi Açu,Skandi Recife,Skandi Olinda, Coral do Atlântico, Estrela do Mar"</formula1>
    </dataValidation>
    <dataValidation type="decimal" allowBlank="1" showInputMessage="1" showErrorMessage="1" sqref="C26:C28" xr:uid="{00000000-0002-0000-1100-000008000000}">
      <formula1>0</formula1>
      <formula2>99999999999</formula2>
    </dataValidation>
    <dataValidation allowBlank="1" showInputMessage="1" showErrorMessage="1" prompt="O conteúdo desta célula não deve ser alterado." sqref="E30" xr:uid="{00000000-0002-0000-1100-000001000000}"/>
    <dataValidation allowBlank="1" showErrorMessage="1" sqref="E31" xr:uid="{00000000-0002-0000-1100-000002000000}"/>
    <dataValidation operator="greaterThanOrEqual" allowBlank="1" showInputMessage="1" showErrorMessage="1" errorTitle="Erro de Input" error="Inserir apenas números inteiros." sqref="C9" xr:uid="{2551668E-F02A-4813-8538-A6425BED7297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2"/>
  <sheetViews>
    <sheetView workbookViewId="0"/>
  </sheetViews>
  <sheetFormatPr defaultColWidth="0" defaultRowHeight="12.75" zeroHeight="1" x14ac:dyDescent="0.2"/>
  <cols>
    <col min="1" max="1" width="1.7109375" style="58" customWidth="1"/>
    <col min="2" max="2" width="25.7109375" style="58" customWidth="1"/>
    <col min="3" max="3" width="10.7109375" style="58" customWidth="1"/>
    <col min="4" max="5" width="23.7109375" style="58" customWidth="1"/>
    <col min="6" max="6" width="21.42578125" style="58" bestFit="1" customWidth="1"/>
    <col min="7" max="11" width="15.7109375" style="58" customWidth="1"/>
    <col min="12" max="12" width="1.7109375" style="58" customWidth="1"/>
    <col min="13" max="13" width="0" style="58" hidden="1" customWidth="1"/>
    <col min="14" max="16384" width="9.140625" style="58" hidden="1"/>
  </cols>
  <sheetData>
    <row r="1" spans="2:11" ht="13.5" thickBot="1" x14ac:dyDescent="0.25"/>
    <row r="2" spans="2:11" x14ac:dyDescent="0.2">
      <c r="B2" s="837" t="s">
        <v>1337</v>
      </c>
      <c r="C2" s="87" t="s">
        <v>489</v>
      </c>
      <c r="D2" s="51" t="s">
        <v>488</v>
      </c>
      <c r="E2" s="5" t="s">
        <v>1338</v>
      </c>
    </row>
    <row r="3" spans="2:11" ht="13.5" thickBot="1" x14ac:dyDescent="0.25">
      <c r="B3" s="838"/>
      <c r="C3" s="49" t="s">
        <v>1284</v>
      </c>
      <c r="D3" s="52" t="s">
        <v>1284</v>
      </c>
      <c r="E3" s="50" t="s">
        <v>1283</v>
      </c>
    </row>
    <row r="4" spans="2:11" ht="14.25" thickTop="1" thickBot="1" x14ac:dyDescent="0.25">
      <c r="B4" s="105" t="s">
        <v>1813</v>
      </c>
      <c r="C4" s="55" t="b">
        <f>IF(B4="Caso 3i - Puxada Max", case3i_din_ez_axial_max, IF(B4="Caso 3i - Puxada Min", case3i_din_ez_axial_min, IF(B4="Caso 3ii - Toque no Solo", case3ii_toque_ez_axial_max, IF(B4="Caso 4 - Teste Hidroestático", case4_et_result_ez_axial_with_buoys, IF(B4="Caso 5 - Teste Operação", case5_et_result_ez_axial, IF(B4="Puxada com GP Max", puxada_ez_axial_max, IF(B4="Puxada com GP Min", puxada_ez_axial_min)))))))</f>
        <v>0</v>
      </c>
      <c r="D4" s="54" t="b">
        <f>IF(B4="Caso 3i - Puxada Max", case3i_din_ex_shear_force_max, IF(B4="Caso 3i - Puxada Min", case3i_din_ex_shear_force_min, IF(B4="Caso 3ii - Toque no Solo", case3ii_toque_ex_shear_force_max, IF(B4="Caso 4 - Teste Hidroestático", case4_et_result_ex_shear_force_with_buoys, IF(B4="Caso 5 - Teste Operação", case5_et_result_ex_shear_force, IF(B4="Puxada com GP Max", puxada_ex_shear_force_max, IF(B4="Puxada com GP Min", puxada_ex_shear_force_min)))))))</f>
        <v>0</v>
      </c>
      <c r="E4" s="56" t="b" cm="1">
        <f t="array" ref="E4">IF(B4="Caso 3i - Puxada Max", case3i_din_ey_moment_max, IF(B4="Caso 3i - Puxada Min", case3i_din_ey_moment_min, IF(B4="Caso 3ii - Toque no Solo", case3ii_toque_ey_moment_max, IF(B4="Caso 4 - Teste Hidroestático", case4_et_result_ey_moment_with_buoys, IF(B4="Caso 5 - Teste Operação", case5_et_result_ey_moment, IF(B4="Puxada com GP Max", puxada_ey_moment_max, IF(B4="Puxada com GP Min", puxada_ey_moment_min)))))))</f>
        <v>0</v>
      </c>
    </row>
    <row r="5" spans="2:11" ht="13.5" thickBot="1" x14ac:dyDescent="0.25"/>
    <row r="6" spans="2:11" ht="20.100000000000001" customHeight="1" thickBot="1" x14ac:dyDescent="0.25">
      <c r="G6" s="6" t="s">
        <v>224</v>
      </c>
      <c r="H6" s="805" t="s">
        <v>1339</v>
      </c>
      <c r="I6" s="806"/>
      <c r="J6" s="806"/>
      <c r="K6" s="807"/>
    </row>
    <row r="7" spans="2:11" ht="20.100000000000001" customHeight="1" thickBot="1" x14ac:dyDescent="0.25">
      <c r="B7" s="799" t="s">
        <v>1340</v>
      </c>
      <c r="C7" s="800"/>
      <c r="D7" s="799" t="s">
        <v>1341</v>
      </c>
      <c r="E7" s="801"/>
      <c r="F7" s="59" t="s">
        <v>1782</v>
      </c>
      <c r="G7" s="119" t="s">
        <v>1342</v>
      </c>
      <c r="H7" s="49" t="s">
        <v>489</v>
      </c>
      <c r="I7" s="52" t="s">
        <v>488</v>
      </c>
      <c r="J7" s="49" t="s">
        <v>1343</v>
      </c>
      <c r="K7" s="447" t="s">
        <v>1344</v>
      </c>
    </row>
    <row r="8" spans="2:11" ht="15" customHeight="1" thickTop="1" thickBot="1" x14ac:dyDescent="0.25">
      <c r="B8" s="802" t="s">
        <v>1345</v>
      </c>
      <c r="C8" s="803"/>
      <c r="D8" s="802" t="s">
        <v>1346</v>
      </c>
      <c r="E8" s="804"/>
      <c r="F8" s="376"/>
      <c r="G8" s="120" t="e">
        <f>VALUE(LEFT(F8,SEARCH(" ",F8)-1))</f>
        <v>#VALUE!</v>
      </c>
      <c r="H8" s="106"/>
      <c r="I8" s="113"/>
      <c r="J8" s="441"/>
      <c r="K8" s="440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9" spans="2:11" ht="15" customHeight="1" x14ac:dyDescent="0.2">
      <c r="B9" s="810" t="s">
        <v>1347</v>
      </c>
      <c r="C9" s="811"/>
      <c r="D9" s="810" t="s">
        <v>1346</v>
      </c>
      <c r="E9" s="821"/>
      <c r="F9" s="377"/>
      <c r="G9" s="121" t="e">
        <f t="shared" ref="G9:G51" si="0">VALUE(LEFT(F9,SEARCH(" ",F9)-1))</f>
        <v>#VALUE!</v>
      </c>
      <c r="H9" s="107" t="b">
        <f>$C$4</f>
        <v>0</v>
      </c>
      <c r="I9" s="114"/>
      <c r="J9" s="434"/>
      <c r="K9" s="43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0" spans="2:11" ht="15" customHeight="1" x14ac:dyDescent="0.2">
      <c r="B10" s="812"/>
      <c r="C10" s="813"/>
      <c r="D10" s="812" t="s">
        <v>1348</v>
      </c>
      <c r="E10" s="822"/>
      <c r="F10" s="378"/>
      <c r="G10" s="122" t="e">
        <f t="shared" si="0"/>
        <v>#VALUE!</v>
      </c>
      <c r="H10" s="108"/>
      <c r="I10" s="115" t="b">
        <f>$D$4</f>
        <v>0</v>
      </c>
      <c r="J10" s="435"/>
      <c r="K1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1" spans="2:11" ht="15" customHeight="1" x14ac:dyDescent="0.2">
      <c r="B11" s="812"/>
      <c r="C11" s="813"/>
      <c r="D11" s="812" t="s">
        <v>1349</v>
      </c>
      <c r="E11" s="822"/>
      <c r="F11" s="379"/>
      <c r="G11" s="122" t="e">
        <f t="shared" si="0"/>
        <v>#VALUE!</v>
      </c>
      <c r="H11" s="108"/>
      <c r="I11" s="115"/>
      <c r="J11" s="435" t="b">
        <f>$E$4</f>
        <v>0</v>
      </c>
      <c r="K1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2" spans="2:11" ht="15" customHeight="1" x14ac:dyDescent="0.2">
      <c r="B12" s="812"/>
      <c r="C12" s="813"/>
      <c r="D12" s="812" t="s">
        <v>1350</v>
      </c>
      <c r="E12" s="822"/>
      <c r="F12" s="379"/>
      <c r="G12" s="124" t="e">
        <f t="shared" si="0"/>
        <v>#VALUE!</v>
      </c>
      <c r="H12" s="110"/>
      <c r="I12" s="117"/>
      <c r="J12" s="437"/>
      <c r="K12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3" spans="2:11" ht="15" customHeight="1" thickBot="1" x14ac:dyDescent="0.25">
      <c r="B13" s="808"/>
      <c r="C13" s="814"/>
      <c r="D13" s="808" t="s">
        <v>1351</v>
      </c>
      <c r="E13" s="809"/>
      <c r="F13" s="380"/>
      <c r="G13" s="123" t="e">
        <f t="shared" si="0"/>
        <v>#VALUE!</v>
      </c>
      <c r="H13" s="109"/>
      <c r="I13" s="116"/>
      <c r="J13" s="436"/>
      <c r="K13" s="44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x14ac:dyDescent="0.2">
      <c r="B14" s="810" t="s">
        <v>1352</v>
      </c>
      <c r="C14" s="811"/>
      <c r="D14" s="815" t="s">
        <v>1353</v>
      </c>
      <c r="E14" s="91" t="s">
        <v>1346</v>
      </c>
      <c r="F14" s="377"/>
      <c r="G14" s="121" t="e">
        <f t="shared" si="0"/>
        <v>#VALUE!</v>
      </c>
      <c r="H14" s="107" t="b">
        <f>$C$4</f>
        <v>0</v>
      </c>
      <c r="I14" s="114"/>
      <c r="J14" s="434"/>
      <c r="K14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5" spans="2:11" ht="15" customHeight="1" x14ac:dyDescent="0.2">
      <c r="B15" s="812"/>
      <c r="C15" s="813"/>
      <c r="D15" s="816"/>
      <c r="E15" s="89" t="s">
        <v>1348</v>
      </c>
      <c r="F15" s="379"/>
      <c r="G15" s="122" t="e">
        <f t="shared" si="0"/>
        <v>#VALUE!</v>
      </c>
      <c r="H15" s="108"/>
      <c r="I15" s="115" t="b">
        <f>$D$4</f>
        <v>0</v>
      </c>
      <c r="J15" s="435"/>
      <c r="K1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6" spans="2:11" ht="15" customHeight="1" thickBot="1" x14ac:dyDescent="0.25">
      <c r="B16" s="812"/>
      <c r="C16" s="813"/>
      <c r="D16" s="817"/>
      <c r="E16" s="90" t="s">
        <v>1349</v>
      </c>
      <c r="F16" s="380"/>
      <c r="G16" s="123" t="e">
        <f t="shared" si="0"/>
        <v>#VALUE!</v>
      </c>
      <c r="H16" s="109"/>
      <c r="I16" s="116"/>
      <c r="J16" s="436" t="b">
        <f>$E$4</f>
        <v>0</v>
      </c>
      <c r="K16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7" spans="2:11" ht="15" customHeight="1" x14ac:dyDescent="0.2">
      <c r="B17" s="812"/>
      <c r="C17" s="813"/>
      <c r="D17" s="818" t="s">
        <v>1354</v>
      </c>
      <c r="E17" s="88" t="s">
        <v>1346</v>
      </c>
      <c r="F17" s="381"/>
      <c r="G17" s="124" t="e">
        <f t="shared" si="0"/>
        <v>#VALUE!</v>
      </c>
      <c r="H17" s="110" t="b">
        <f>$C$4</f>
        <v>0</v>
      </c>
      <c r="I17" s="117"/>
      <c r="J17" s="437"/>
      <c r="K17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8" spans="2:11" ht="15" customHeight="1" x14ac:dyDescent="0.2">
      <c r="B18" s="812"/>
      <c r="C18" s="813"/>
      <c r="D18" s="816"/>
      <c r="E18" s="89" t="s">
        <v>1348</v>
      </c>
      <c r="F18" s="378"/>
      <c r="G18" s="122" t="e">
        <f t="shared" si="0"/>
        <v>#VALUE!</v>
      </c>
      <c r="H18" s="108"/>
      <c r="I18" s="115" t="b">
        <f>$D$4</f>
        <v>0</v>
      </c>
      <c r="J18" s="435"/>
      <c r="K1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9" spans="2:11" ht="15" customHeight="1" thickBot="1" x14ac:dyDescent="0.25">
      <c r="B19" s="812"/>
      <c r="C19" s="813"/>
      <c r="D19" s="817"/>
      <c r="E19" s="90" t="s">
        <v>1349</v>
      </c>
      <c r="F19" s="380"/>
      <c r="G19" s="123" t="e">
        <f t="shared" si="0"/>
        <v>#VALUE!</v>
      </c>
      <c r="H19" s="109"/>
      <c r="I19" s="116"/>
      <c r="J19" s="436" t="b">
        <f>$E$4</f>
        <v>0</v>
      </c>
      <c r="K19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0" spans="2:11" ht="15" customHeight="1" x14ac:dyDescent="0.2">
      <c r="B20" s="812"/>
      <c r="C20" s="813"/>
      <c r="D20" s="819" t="s">
        <v>1350</v>
      </c>
      <c r="E20" s="820"/>
      <c r="F20" s="381"/>
      <c r="G20" s="124" t="e">
        <f t="shared" si="0"/>
        <v>#VALUE!</v>
      </c>
      <c r="H20" s="110"/>
      <c r="I20" s="117"/>
      <c r="J20" s="437"/>
      <c r="K20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1" spans="2:11" ht="15" customHeight="1" thickBot="1" x14ac:dyDescent="0.25">
      <c r="B21" s="808"/>
      <c r="C21" s="814"/>
      <c r="D21" s="808" t="s">
        <v>1351</v>
      </c>
      <c r="E21" s="809"/>
      <c r="F21" s="380"/>
      <c r="G21" s="123" t="e">
        <f t="shared" si="0"/>
        <v>#VALUE!</v>
      </c>
      <c r="H21" s="109"/>
      <c r="I21" s="116"/>
      <c r="J21" s="436"/>
      <c r="K21" s="444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x14ac:dyDescent="0.2">
      <c r="B22" s="815" t="s">
        <v>1355</v>
      </c>
      <c r="C22" s="824" t="s">
        <v>1356</v>
      </c>
      <c r="D22" s="819" t="s">
        <v>1346</v>
      </c>
      <c r="E22" s="820"/>
      <c r="F22" s="381"/>
      <c r="G22" s="124" t="e">
        <f t="shared" si="0"/>
        <v>#VALUE!</v>
      </c>
      <c r="H22" s="110" t="b">
        <f>$C$4</f>
        <v>0</v>
      </c>
      <c r="I22" s="117"/>
      <c r="J22" s="437"/>
      <c r="K22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3" spans="2:11" ht="15" customHeight="1" x14ac:dyDescent="0.2">
      <c r="B23" s="816"/>
      <c r="C23" s="813"/>
      <c r="D23" s="812" t="s">
        <v>1348</v>
      </c>
      <c r="E23" s="822"/>
      <c r="F23" s="378"/>
      <c r="G23" s="122" t="e">
        <f t="shared" si="0"/>
        <v>#VALUE!</v>
      </c>
      <c r="H23" s="108"/>
      <c r="I23" s="115" t="b">
        <f>$D$4</f>
        <v>0</v>
      </c>
      <c r="J23" s="435"/>
      <c r="K23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4" spans="2:11" ht="15" customHeight="1" thickBot="1" x14ac:dyDescent="0.25">
      <c r="B24" s="816"/>
      <c r="C24" s="825"/>
      <c r="D24" s="826" t="s">
        <v>1349</v>
      </c>
      <c r="E24" s="827"/>
      <c r="F24" s="382"/>
      <c r="G24" s="125" t="e">
        <f t="shared" si="0"/>
        <v>#VALUE!</v>
      </c>
      <c r="H24" s="111"/>
      <c r="I24" s="118"/>
      <c r="J24" s="438" t="b">
        <f>$E$4</f>
        <v>0</v>
      </c>
      <c r="K24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5" spans="2:11" ht="15" customHeight="1" x14ac:dyDescent="0.2">
      <c r="B25" s="816"/>
      <c r="C25" s="828" t="s">
        <v>1357</v>
      </c>
      <c r="D25" s="831" t="s">
        <v>1346</v>
      </c>
      <c r="E25" s="832"/>
      <c r="F25" s="377"/>
      <c r="G25" s="121" t="e">
        <f t="shared" si="0"/>
        <v>#VALUE!</v>
      </c>
      <c r="H25" s="107" t="b">
        <f>$C$4</f>
        <v>0</v>
      </c>
      <c r="I25" s="114"/>
      <c r="J25" s="434"/>
      <c r="K25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6" spans="2:11" ht="15" customHeight="1" x14ac:dyDescent="0.2">
      <c r="B26" s="816"/>
      <c r="C26" s="829"/>
      <c r="D26" s="833" t="s">
        <v>1348</v>
      </c>
      <c r="E26" s="834"/>
      <c r="F26" s="378"/>
      <c r="G26" s="122" t="e">
        <f t="shared" si="0"/>
        <v>#VALUE!</v>
      </c>
      <c r="H26" s="108"/>
      <c r="I26" s="115" t="b">
        <f>$D$4</f>
        <v>0</v>
      </c>
      <c r="J26" s="435"/>
      <c r="K26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7" spans="2:11" ht="15" customHeight="1" thickBot="1" x14ac:dyDescent="0.25">
      <c r="B27" s="823"/>
      <c r="C27" s="830"/>
      <c r="D27" s="835" t="s">
        <v>1349</v>
      </c>
      <c r="E27" s="836"/>
      <c r="F27" s="383"/>
      <c r="G27" s="123" t="e">
        <f t="shared" si="0"/>
        <v>#VALUE!</v>
      </c>
      <c r="H27" s="109"/>
      <c r="I27" s="116"/>
      <c r="J27" s="436" t="b">
        <f>$E$4</f>
        <v>0</v>
      </c>
      <c r="K27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8" spans="2:11" ht="15" customHeight="1" x14ac:dyDescent="0.2">
      <c r="B28" s="815" t="s">
        <v>1358</v>
      </c>
      <c r="C28" s="811" t="s">
        <v>1356</v>
      </c>
      <c r="D28" s="810" t="s">
        <v>1346</v>
      </c>
      <c r="E28" s="821"/>
      <c r="F28" s="384"/>
      <c r="G28" s="121" t="e">
        <f t="shared" si="0"/>
        <v>#VALUE!</v>
      </c>
      <c r="H28" s="107" t="b">
        <f>$C$4</f>
        <v>0</v>
      </c>
      <c r="I28" s="114"/>
      <c r="J28" s="434"/>
      <c r="K28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9" spans="2:11" ht="15" customHeight="1" x14ac:dyDescent="0.2">
      <c r="B29" s="816"/>
      <c r="C29" s="813"/>
      <c r="D29" s="812" t="s">
        <v>1348</v>
      </c>
      <c r="E29" s="822"/>
      <c r="F29" s="385"/>
      <c r="G29" s="122" t="e">
        <f t="shared" si="0"/>
        <v>#VALUE!</v>
      </c>
      <c r="H29" s="108"/>
      <c r="I29" s="115" t="b">
        <f>$D$4</f>
        <v>0</v>
      </c>
      <c r="J29" s="435"/>
      <c r="K29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0" spans="2:11" ht="15" customHeight="1" thickBot="1" x14ac:dyDescent="0.25">
      <c r="B30" s="816"/>
      <c r="C30" s="825"/>
      <c r="D30" s="826" t="s">
        <v>1349</v>
      </c>
      <c r="E30" s="827"/>
      <c r="F30" s="386"/>
      <c r="G30" s="125" t="e">
        <f t="shared" si="0"/>
        <v>#VALUE!</v>
      </c>
      <c r="H30" s="111"/>
      <c r="I30" s="118"/>
      <c r="J30" s="438" t="b">
        <f>$E$4</f>
        <v>0</v>
      </c>
      <c r="K30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1" spans="2:11" ht="15" customHeight="1" x14ac:dyDescent="0.2">
      <c r="B31" s="816"/>
      <c r="C31" s="828" t="s">
        <v>1357</v>
      </c>
      <c r="D31" s="831" t="s">
        <v>1346</v>
      </c>
      <c r="E31" s="832"/>
      <c r="F31" s="384"/>
      <c r="G31" s="121" t="e">
        <f t="shared" si="0"/>
        <v>#VALUE!</v>
      </c>
      <c r="H31" s="107" t="b">
        <f>$C$4</f>
        <v>0</v>
      </c>
      <c r="I31" s="114"/>
      <c r="J31" s="434"/>
      <c r="K31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2" spans="2:11" ht="15" customHeight="1" x14ac:dyDescent="0.2">
      <c r="B32" s="816"/>
      <c r="C32" s="829"/>
      <c r="D32" s="833" t="s">
        <v>1348</v>
      </c>
      <c r="E32" s="834"/>
      <c r="F32" s="385"/>
      <c r="G32" s="122" t="e">
        <f t="shared" si="0"/>
        <v>#VALUE!</v>
      </c>
      <c r="H32" s="108"/>
      <c r="I32" s="115" t="b">
        <f>$D$4</f>
        <v>0</v>
      </c>
      <c r="J32" s="435"/>
      <c r="K32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3" spans="2:11" ht="15" customHeight="1" thickBot="1" x14ac:dyDescent="0.25">
      <c r="B33" s="817"/>
      <c r="C33" s="830"/>
      <c r="D33" s="835" t="s">
        <v>1349</v>
      </c>
      <c r="E33" s="836"/>
      <c r="F33" s="387"/>
      <c r="G33" s="123" t="e">
        <f t="shared" si="0"/>
        <v>#VALUE!</v>
      </c>
      <c r="H33" s="109"/>
      <c r="I33" s="116"/>
      <c r="J33" s="436" t="b">
        <f>$E$4</f>
        <v>0</v>
      </c>
      <c r="K33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4" spans="2:11" ht="15" customHeight="1" x14ac:dyDescent="0.2">
      <c r="B34" s="818" t="s">
        <v>1359</v>
      </c>
      <c r="C34" s="824" t="s">
        <v>1356</v>
      </c>
      <c r="D34" s="819" t="s">
        <v>1346</v>
      </c>
      <c r="E34" s="820"/>
      <c r="F34" s="388"/>
      <c r="G34" s="124" t="e">
        <f t="shared" si="0"/>
        <v>#VALUE!</v>
      </c>
      <c r="H34" s="110" t="b">
        <f>$C$4</f>
        <v>0</v>
      </c>
      <c r="I34" s="117"/>
      <c r="J34" s="437"/>
      <c r="K34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5" spans="2:11" ht="15" customHeight="1" x14ac:dyDescent="0.2">
      <c r="B35" s="816"/>
      <c r="C35" s="813"/>
      <c r="D35" s="812" t="s">
        <v>1348</v>
      </c>
      <c r="E35" s="822"/>
      <c r="F35" s="385"/>
      <c r="G35" s="122" t="e">
        <f t="shared" si="0"/>
        <v>#VALUE!</v>
      </c>
      <c r="H35" s="108"/>
      <c r="I35" s="115" t="b">
        <f>$D$4</f>
        <v>0</v>
      </c>
      <c r="J35" s="435"/>
      <c r="K3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6" spans="2:11" ht="15" customHeight="1" thickBot="1" x14ac:dyDescent="0.25">
      <c r="B36" s="816"/>
      <c r="C36" s="825"/>
      <c r="D36" s="826" t="s">
        <v>1349</v>
      </c>
      <c r="E36" s="827"/>
      <c r="F36" s="389"/>
      <c r="G36" s="125" t="e">
        <f t="shared" si="0"/>
        <v>#VALUE!</v>
      </c>
      <c r="H36" s="111"/>
      <c r="I36" s="118"/>
      <c r="J36" s="438" t="b">
        <f>$E$4</f>
        <v>0</v>
      </c>
      <c r="K36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7" spans="2:11" ht="15" customHeight="1" x14ac:dyDescent="0.2">
      <c r="B37" s="816"/>
      <c r="C37" s="828" t="s">
        <v>1357</v>
      </c>
      <c r="D37" s="831" t="s">
        <v>1346</v>
      </c>
      <c r="E37" s="832"/>
      <c r="F37" s="384"/>
      <c r="G37" s="121" t="e">
        <f t="shared" si="0"/>
        <v>#VALUE!</v>
      </c>
      <c r="H37" s="107" t="b">
        <f>$C$4</f>
        <v>0</v>
      </c>
      <c r="I37" s="114"/>
      <c r="J37" s="434"/>
      <c r="K37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8" spans="2:11" ht="15" customHeight="1" x14ac:dyDescent="0.2">
      <c r="B38" s="816"/>
      <c r="C38" s="829"/>
      <c r="D38" s="833" t="s">
        <v>1348</v>
      </c>
      <c r="E38" s="834"/>
      <c r="F38" s="385"/>
      <c r="G38" s="122" t="e">
        <f t="shared" si="0"/>
        <v>#VALUE!</v>
      </c>
      <c r="H38" s="108"/>
      <c r="I38" s="115" t="b">
        <f>$D$4</f>
        <v>0</v>
      </c>
      <c r="J38" s="435"/>
      <c r="K3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9" spans="2:11" ht="15" customHeight="1" thickBot="1" x14ac:dyDescent="0.25">
      <c r="B39" s="823"/>
      <c r="C39" s="830"/>
      <c r="D39" s="835" t="s">
        <v>1349</v>
      </c>
      <c r="E39" s="836"/>
      <c r="F39" s="390"/>
      <c r="G39" s="123" t="e">
        <f t="shared" si="0"/>
        <v>#VALUE!</v>
      </c>
      <c r="H39" s="109"/>
      <c r="I39" s="116"/>
      <c r="J39" s="436" t="b">
        <f>$E$4</f>
        <v>0</v>
      </c>
      <c r="K39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0" spans="2:11" ht="15" customHeight="1" x14ac:dyDescent="0.2">
      <c r="B40" s="815" t="s">
        <v>1360</v>
      </c>
      <c r="C40" s="811" t="s">
        <v>1356</v>
      </c>
      <c r="D40" s="810" t="s">
        <v>1346</v>
      </c>
      <c r="E40" s="821"/>
      <c r="F40" s="391"/>
      <c r="G40" s="121" t="e">
        <f t="shared" si="0"/>
        <v>#VALUE!</v>
      </c>
      <c r="H40" s="107" t="b">
        <f>$C$4</f>
        <v>0</v>
      </c>
      <c r="I40" s="114"/>
      <c r="J40" s="434"/>
      <c r="K40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1" spans="2:11" ht="15" customHeight="1" x14ac:dyDescent="0.2">
      <c r="B41" s="816"/>
      <c r="C41" s="813"/>
      <c r="D41" s="812" t="s">
        <v>1348</v>
      </c>
      <c r="E41" s="822"/>
      <c r="F41" s="385"/>
      <c r="G41" s="122" t="e">
        <f t="shared" si="0"/>
        <v>#VALUE!</v>
      </c>
      <c r="H41" s="108"/>
      <c r="I41" s="115" t="b">
        <f>$D$4</f>
        <v>0</v>
      </c>
      <c r="J41" s="435"/>
      <c r="K4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2" spans="2:11" ht="15" customHeight="1" thickBot="1" x14ac:dyDescent="0.25">
      <c r="B42" s="816"/>
      <c r="C42" s="825"/>
      <c r="D42" s="826" t="s">
        <v>1349</v>
      </c>
      <c r="E42" s="827"/>
      <c r="F42" s="386"/>
      <c r="G42" s="125" t="e">
        <f t="shared" si="0"/>
        <v>#VALUE!</v>
      </c>
      <c r="H42" s="111"/>
      <c r="I42" s="118"/>
      <c r="J42" s="438" t="b">
        <f>$E$4</f>
        <v>0</v>
      </c>
      <c r="K42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3" spans="2:11" ht="15" customHeight="1" x14ac:dyDescent="0.2">
      <c r="B43" s="816"/>
      <c r="C43" s="828" t="s">
        <v>1357</v>
      </c>
      <c r="D43" s="831" t="s">
        <v>1346</v>
      </c>
      <c r="E43" s="832"/>
      <c r="F43" s="391"/>
      <c r="G43" s="121" t="e">
        <f t="shared" si="0"/>
        <v>#VALUE!</v>
      </c>
      <c r="H43" s="107" t="b">
        <f>$C$4</f>
        <v>0</v>
      </c>
      <c r="I43" s="114"/>
      <c r="J43" s="434"/>
      <c r="K43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4" spans="2:11" ht="15" customHeight="1" x14ac:dyDescent="0.2">
      <c r="B44" s="816"/>
      <c r="C44" s="829"/>
      <c r="D44" s="833" t="s">
        <v>1348</v>
      </c>
      <c r="E44" s="834"/>
      <c r="F44" s="385"/>
      <c r="G44" s="122" t="e">
        <f t="shared" si="0"/>
        <v>#VALUE!</v>
      </c>
      <c r="H44" s="108"/>
      <c r="I44" s="115" t="b">
        <f>$D$4</f>
        <v>0</v>
      </c>
      <c r="J44" s="435"/>
      <c r="K44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5" spans="2:11" ht="15" customHeight="1" thickBot="1" x14ac:dyDescent="0.25">
      <c r="B45" s="817"/>
      <c r="C45" s="830"/>
      <c r="D45" s="835" t="s">
        <v>1349</v>
      </c>
      <c r="E45" s="836"/>
      <c r="F45" s="387"/>
      <c r="G45" s="123" t="e">
        <f t="shared" si="0"/>
        <v>#VALUE!</v>
      </c>
      <c r="H45" s="109"/>
      <c r="I45" s="116"/>
      <c r="J45" s="436" t="b">
        <f>$E$4</f>
        <v>0</v>
      </c>
      <c r="K45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6" spans="2:11" ht="15" customHeight="1" x14ac:dyDescent="0.2">
      <c r="B46" s="818" t="s">
        <v>1361</v>
      </c>
      <c r="C46" s="815" t="s">
        <v>1356</v>
      </c>
      <c r="D46" s="810" t="s">
        <v>1346</v>
      </c>
      <c r="E46" s="821"/>
      <c r="F46" s="391"/>
      <c r="G46" s="121" t="e">
        <f t="shared" si="0"/>
        <v>#VALUE!</v>
      </c>
      <c r="H46" s="107" t="b">
        <f>$C$4</f>
        <v>0</v>
      </c>
      <c r="I46" s="114"/>
      <c r="J46" s="434"/>
      <c r="K46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7" spans="2:11" ht="15" customHeight="1" x14ac:dyDescent="0.2">
      <c r="B47" s="816"/>
      <c r="C47" s="816"/>
      <c r="D47" s="812" t="s">
        <v>1348</v>
      </c>
      <c r="E47" s="822"/>
      <c r="F47" s="385"/>
      <c r="G47" s="122" t="e">
        <f t="shared" si="0"/>
        <v>#VALUE!</v>
      </c>
      <c r="H47" s="108"/>
      <c r="I47" s="115" t="b">
        <f>$D$4</f>
        <v>0</v>
      </c>
      <c r="J47" s="435"/>
      <c r="K47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8" spans="2:11" ht="15" customHeight="1" thickBot="1" x14ac:dyDescent="0.25">
      <c r="B48" s="816"/>
      <c r="C48" s="817"/>
      <c r="D48" s="808" t="s">
        <v>1349</v>
      </c>
      <c r="E48" s="809"/>
      <c r="F48" s="387"/>
      <c r="G48" s="123" t="e">
        <f t="shared" si="0"/>
        <v>#VALUE!</v>
      </c>
      <c r="H48" s="109"/>
      <c r="I48" s="116"/>
      <c r="J48" s="436" t="b">
        <f>$E$4</f>
        <v>0</v>
      </c>
      <c r="K48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9" spans="2:11" ht="15" customHeight="1" x14ac:dyDescent="0.2">
      <c r="B49" s="816"/>
      <c r="C49" s="839" t="s">
        <v>1357</v>
      </c>
      <c r="D49" s="842" t="s">
        <v>1346</v>
      </c>
      <c r="E49" s="843"/>
      <c r="F49" s="392"/>
      <c r="G49" s="124" t="e">
        <f t="shared" si="0"/>
        <v>#VALUE!</v>
      </c>
      <c r="H49" s="110" t="b">
        <f>$C$4</f>
        <v>0</v>
      </c>
      <c r="I49" s="117"/>
      <c r="J49" s="437"/>
      <c r="K49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0" spans="2:11" ht="15" customHeight="1" x14ac:dyDescent="0.2">
      <c r="B50" s="816"/>
      <c r="C50" s="840"/>
      <c r="D50" s="833" t="s">
        <v>1348</v>
      </c>
      <c r="E50" s="834"/>
      <c r="F50" s="385"/>
      <c r="G50" s="122" t="e">
        <f t="shared" si="0"/>
        <v>#VALUE!</v>
      </c>
      <c r="H50" s="108"/>
      <c r="I50" s="115" t="b">
        <f>$D$4</f>
        <v>0</v>
      </c>
      <c r="J50" s="435"/>
      <c r="K5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1" spans="2:11" ht="15" customHeight="1" thickBot="1" x14ac:dyDescent="0.25">
      <c r="B51" s="817"/>
      <c r="C51" s="841"/>
      <c r="D51" s="835" t="s">
        <v>1349</v>
      </c>
      <c r="E51" s="836"/>
      <c r="F51" s="387"/>
      <c r="G51" s="123" t="e">
        <f t="shared" si="0"/>
        <v>#VALUE!</v>
      </c>
      <c r="H51" s="109"/>
      <c r="I51" s="116"/>
      <c r="J51" s="436" t="b">
        <f>$E$4</f>
        <v>0</v>
      </c>
      <c r="K51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2" spans="2:11" x14ac:dyDescent="0.2"/>
  </sheetData>
  <mergeCells count="62">
    <mergeCell ref="B2:B3"/>
    <mergeCell ref="B46:B51"/>
    <mergeCell ref="C46:C48"/>
    <mergeCell ref="D46:E46"/>
    <mergeCell ref="D47:E47"/>
    <mergeCell ref="D48:E48"/>
    <mergeCell ref="C49:C51"/>
    <mergeCell ref="D49:E49"/>
    <mergeCell ref="D50:E50"/>
    <mergeCell ref="D51:E51"/>
    <mergeCell ref="B40:B45"/>
    <mergeCell ref="C40:C42"/>
    <mergeCell ref="D40:E40"/>
    <mergeCell ref="D41:E41"/>
    <mergeCell ref="D42:E42"/>
    <mergeCell ref="C43:C45"/>
    <mergeCell ref="D43:E43"/>
    <mergeCell ref="D44:E44"/>
    <mergeCell ref="D45:E45"/>
    <mergeCell ref="B34:B39"/>
    <mergeCell ref="C34:C36"/>
    <mergeCell ref="D34:E34"/>
    <mergeCell ref="D35:E35"/>
    <mergeCell ref="D36:E36"/>
    <mergeCell ref="C37:C39"/>
    <mergeCell ref="D37:E37"/>
    <mergeCell ref="D38:E38"/>
    <mergeCell ref="D39:E39"/>
    <mergeCell ref="B28:B33"/>
    <mergeCell ref="C28:C30"/>
    <mergeCell ref="D28:E28"/>
    <mergeCell ref="D29:E29"/>
    <mergeCell ref="D30:E30"/>
    <mergeCell ref="C31:C33"/>
    <mergeCell ref="D31:E31"/>
    <mergeCell ref="D32:E32"/>
    <mergeCell ref="D33:E33"/>
    <mergeCell ref="B22:B27"/>
    <mergeCell ref="C22:C24"/>
    <mergeCell ref="D22:E22"/>
    <mergeCell ref="D23:E23"/>
    <mergeCell ref="D24:E24"/>
    <mergeCell ref="C25:C27"/>
    <mergeCell ref="D25:E25"/>
    <mergeCell ref="D26:E26"/>
    <mergeCell ref="D27:E27"/>
    <mergeCell ref="D13:E13"/>
    <mergeCell ref="B14:C21"/>
    <mergeCell ref="D14:D16"/>
    <mergeCell ref="D17:D19"/>
    <mergeCell ref="D20:E20"/>
    <mergeCell ref="D21:E21"/>
    <mergeCell ref="B9:C13"/>
    <mergeCell ref="D9:E9"/>
    <mergeCell ref="D10:E10"/>
    <mergeCell ref="D11:E11"/>
    <mergeCell ref="D12:E12"/>
    <mergeCell ref="B7:C7"/>
    <mergeCell ref="D7:E7"/>
    <mergeCell ref="B8:C8"/>
    <mergeCell ref="D8:E8"/>
    <mergeCell ref="H6:K6"/>
  </mergeCells>
  <conditionalFormatting sqref="H8:J51">
    <cfRule type="expression" dxfId="156" priority="1">
      <formula>AND(H8&lt;&gt;"",$K8="SINAL")</formula>
    </cfRule>
    <cfRule type="expression" dxfId="155" priority="2">
      <formula>AND(H8&lt;&gt;"",$K8="VALOR")</formula>
    </cfRule>
    <cfRule type="expression" dxfId="154" priority="3">
      <formula>AND(H8&lt;&gt;"",$K8="OK")</formula>
    </cfRule>
    <cfRule type="notContainsBlanks" dxfId="153" priority="7">
      <formula>LEN(TRIM(H8))&gt;0</formula>
    </cfRule>
  </conditionalFormatting>
  <conditionalFormatting sqref="K8:K51">
    <cfRule type="cellIs" dxfId="152" priority="4" operator="equal">
      <formula>"SINAL"</formula>
    </cfRule>
    <cfRule type="cellIs" dxfId="151" priority="5" operator="equal">
      <formula>"VALOR"</formula>
    </cfRule>
    <cfRule type="cellIs" dxfId="150" priority="6" operator="equal">
      <formula>"OK"</formula>
    </cfRule>
  </conditionalFormatting>
  <dataValidations disablePrompts="1" count="1">
    <dataValidation type="list" allowBlank="1" showInputMessage="1" showErrorMessage="1" sqref="B4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workbookViewId="0"/>
  </sheetViews>
  <sheetFormatPr defaultColWidth="0" defaultRowHeight="12.75" zeroHeight="1" x14ac:dyDescent="0.2"/>
  <cols>
    <col min="1" max="1" width="1.7109375" style="53" customWidth="1"/>
    <col min="2" max="2" width="19.140625" style="53" bestFit="1" customWidth="1"/>
    <col min="3" max="20" width="12.7109375" style="53" customWidth="1"/>
    <col min="21" max="21" width="1.7109375" style="53" customWidth="1"/>
    <col min="22" max="16384" width="9.140625" style="53" hidden="1"/>
  </cols>
  <sheetData>
    <row r="1" spans="1:20" ht="13.5" thickBot="1" x14ac:dyDescent="0.25">
      <c r="A1" s="58"/>
      <c r="B1" s="58"/>
      <c r="C1" s="58"/>
      <c r="D1" s="58"/>
      <c r="E1" s="58"/>
      <c r="F1" s="58"/>
    </row>
    <row r="2" spans="1:20" ht="20.100000000000001" customHeight="1" thickBot="1" x14ac:dyDescent="0.25">
      <c r="B2" s="93"/>
      <c r="C2" s="878" t="s">
        <v>1364</v>
      </c>
      <c r="D2" s="879"/>
      <c r="E2" s="879"/>
      <c r="F2" s="879"/>
      <c r="G2" s="879"/>
      <c r="H2" s="879"/>
      <c r="I2" s="879"/>
      <c r="J2" s="879"/>
      <c r="K2" s="879"/>
      <c r="L2" s="879"/>
      <c r="M2" s="879"/>
      <c r="N2" s="879"/>
      <c r="O2" s="879"/>
      <c r="P2" s="879"/>
      <c r="Q2" s="880"/>
      <c r="R2" s="899" t="s">
        <v>1365</v>
      </c>
      <c r="S2" s="890"/>
      <c r="T2" s="891"/>
    </row>
    <row r="3" spans="1:20" ht="20.100000000000001" customHeight="1" thickTop="1" thickBot="1" x14ac:dyDescent="0.25">
      <c r="B3" s="93"/>
      <c r="C3" s="886" t="s">
        <v>1366</v>
      </c>
      <c r="D3" s="887"/>
      <c r="E3" s="887"/>
      <c r="F3" s="887"/>
      <c r="G3" s="887"/>
      <c r="H3" s="888"/>
      <c r="I3" s="889" t="s">
        <v>1367</v>
      </c>
      <c r="J3" s="890"/>
      <c r="K3" s="891"/>
      <c r="L3" s="886" t="s">
        <v>1368</v>
      </c>
      <c r="M3" s="887"/>
      <c r="N3" s="887"/>
      <c r="O3" s="887"/>
      <c r="P3" s="887"/>
      <c r="Q3" s="903"/>
      <c r="R3" s="900"/>
      <c r="S3" s="901"/>
      <c r="T3" s="902"/>
    </row>
    <row r="4" spans="1:20" ht="20.100000000000001" customHeight="1" thickTop="1" thickBot="1" x14ac:dyDescent="0.25">
      <c r="B4" s="94"/>
      <c r="C4" s="895" t="s">
        <v>1369</v>
      </c>
      <c r="D4" s="896"/>
      <c r="E4" s="897"/>
      <c r="F4" s="895" t="s">
        <v>1370</v>
      </c>
      <c r="G4" s="896"/>
      <c r="H4" s="898"/>
      <c r="I4" s="892"/>
      <c r="J4" s="893"/>
      <c r="K4" s="894"/>
      <c r="L4" s="895" t="s">
        <v>1369</v>
      </c>
      <c r="M4" s="896"/>
      <c r="N4" s="898"/>
      <c r="O4" s="904" t="s">
        <v>1370</v>
      </c>
      <c r="P4" s="905"/>
      <c r="Q4" s="906"/>
      <c r="R4" s="892"/>
      <c r="S4" s="893"/>
      <c r="T4" s="894"/>
    </row>
    <row r="5" spans="1:20" ht="39.75" customHeight="1" thickBot="1" x14ac:dyDescent="0.25">
      <c r="B5" s="873" t="s">
        <v>1371</v>
      </c>
      <c r="C5" s="95" t="s">
        <v>1372</v>
      </c>
      <c r="D5" s="911" t="s">
        <v>1373</v>
      </c>
      <c r="E5" s="852" t="s">
        <v>224</v>
      </c>
      <c r="F5" s="95" t="s">
        <v>1372</v>
      </c>
      <c r="G5" s="854" t="s">
        <v>1373</v>
      </c>
      <c r="H5" s="856" t="s">
        <v>224</v>
      </c>
      <c r="I5" s="96" t="s">
        <v>1374</v>
      </c>
      <c r="J5" s="854" t="s">
        <v>1373</v>
      </c>
      <c r="K5" s="852" t="s">
        <v>224</v>
      </c>
      <c r="L5" s="97" t="s">
        <v>1372</v>
      </c>
      <c r="M5" s="911" t="s">
        <v>1373</v>
      </c>
      <c r="N5" s="852" t="s">
        <v>224</v>
      </c>
      <c r="O5" s="97" t="s">
        <v>1372</v>
      </c>
      <c r="P5" s="854" t="s">
        <v>1373</v>
      </c>
      <c r="Q5" s="856" t="s">
        <v>224</v>
      </c>
      <c r="R5" s="852" t="s">
        <v>1374</v>
      </c>
      <c r="S5" s="854" t="s">
        <v>1373</v>
      </c>
      <c r="T5" s="856" t="s">
        <v>224</v>
      </c>
    </row>
    <row r="6" spans="1:20" ht="13.5" customHeight="1" thickTop="1" thickBot="1" x14ac:dyDescent="0.25">
      <c r="B6" s="874"/>
      <c r="C6" s="98" t="s">
        <v>1339</v>
      </c>
      <c r="D6" s="912"/>
      <c r="E6" s="853"/>
      <c r="F6" s="98" t="s">
        <v>1339</v>
      </c>
      <c r="G6" s="855"/>
      <c r="H6" s="857"/>
      <c r="I6" s="99" t="s">
        <v>1339</v>
      </c>
      <c r="J6" s="855"/>
      <c r="K6" s="853"/>
      <c r="L6" s="100" t="s">
        <v>1339</v>
      </c>
      <c r="M6" s="912"/>
      <c r="N6" s="853"/>
      <c r="O6" s="100" t="s">
        <v>1339</v>
      </c>
      <c r="P6" s="855"/>
      <c r="Q6" s="857"/>
      <c r="R6" s="881"/>
      <c r="S6" s="866"/>
      <c r="T6" s="884"/>
    </row>
    <row r="7" spans="1:20" ht="14.25" thickTop="1" thickBot="1" x14ac:dyDescent="0.25">
      <c r="B7" s="92">
        <f>case3i_din_heave_up</f>
        <v>0</v>
      </c>
      <c r="C7" s="101" t="s">
        <v>1375</v>
      </c>
      <c r="D7" s="102" t="s">
        <v>1375</v>
      </c>
      <c r="E7" s="103" t="s">
        <v>1375</v>
      </c>
      <c r="F7" s="101" t="s">
        <v>1375</v>
      </c>
      <c r="G7" s="102" t="s">
        <v>1375</v>
      </c>
      <c r="H7" s="104" t="s">
        <v>1375</v>
      </c>
      <c r="I7" s="103" t="s">
        <v>1376</v>
      </c>
      <c r="J7" s="102" t="s">
        <v>1376</v>
      </c>
      <c r="K7" s="103" t="s">
        <v>1377</v>
      </c>
      <c r="L7" s="102" t="s">
        <v>1378</v>
      </c>
      <c r="M7" s="102" t="s">
        <v>1378</v>
      </c>
      <c r="N7" s="103" t="s">
        <v>1375</v>
      </c>
      <c r="O7" s="102" t="s">
        <v>1378</v>
      </c>
      <c r="P7" s="102" t="s">
        <v>1378</v>
      </c>
      <c r="Q7" s="104" t="s">
        <v>1375</v>
      </c>
      <c r="R7" s="882"/>
      <c r="S7" s="883"/>
      <c r="T7" s="885"/>
    </row>
    <row r="8" spans="1:20" ht="14.25" thickTop="1" thickBot="1" x14ac:dyDescent="0.25">
      <c r="B8" s="875" t="s">
        <v>1379</v>
      </c>
      <c r="C8" s="876" t="e">
        <f>#REF!</f>
        <v>#REF!</v>
      </c>
      <c r="D8" s="847" t="e">
        <f>IF(AND(C8&gt;0,C8&lt;15),15,IF(AND(C8&lt;0,C8&gt;-15),-15,C8))</f>
        <v>#REF!</v>
      </c>
      <c r="E8" s="861" t="e">
        <f xml:space="preserve"> Esforços!G14</f>
        <v>#VALUE!</v>
      </c>
      <c r="F8" s="876" t="e">
        <f>#REF!</f>
        <v>#REF!</v>
      </c>
      <c r="G8" s="847" t="e">
        <f>IF(AND(F8&gt;0,F8&lt;15),15,IF(AND(F8&lt;0,F8&gt;-15),-15,F8))</f>
        <v>#REF!</v>
      </c>
      <c r="H8" s="871" t="e">
        <f xml:space="preserve"> Esforços!G17</f>
        <v>#VALUE!</v>
      </c>
      <c r="I8" s="858" t="e">
        <f>Results!#REF!</f>
        <v>#REF!</v>
      </c>
      <c r="J8" s="847" t="e">
        <f>IF(AND(I8&gt;0,I8&lt;15),15,IF(AND(I8&lt;0,I8&gt;-15),-15,I8))</f>
        <v>#REF!</v>
      </c>
      <c r="K8" s="861" t="e">
        <f xml:space="preserve"> Esforços!G22</f>
        <v>#VALUE!</v>
      </c>
      <c r="L8" s="847" t="e">
        <f>#REF!</f>
        <v>#REF!</v>
      </c>
      <c r="M8" s="847" t="e">
        <f>IF(AND(L8&gt;0,L8&lt;15),15,IF(AND(L8&lt;0,L8&gt;-15),-15,L8))</f>
        <v>#REF!</v>
      </c>
      <c r="N8" s="844"/>
      <c r="O8" s="847" t="e">
        <f>#REF!</f>
        <v>#REF!</v>
      </c>
      <c r="P8" s="847" t="e">
        <f>IF(AND(O8&gt;0,O8&lt;15),15,IF(AND(O8&lt;0,O8&gt;-15),-15,O8))</f>
        <v>#REF!</v>
      </c>
      <c r="Q8" s="862"/>
      <c r="R8" s="858" t="s">
        <v>1380</v>
      </c>
      <c r="S8" s="847" t="str">
        <f>R8</f>
        <v>N/A</v>
      </c>
      <c r="T8" s="862" t="s">
        <v>1380</v>
      </c>
    </row>
    <row r="9" spans="1:20" ht="14.25" thickTop="1" thickBot="1" x14ac:dyDescent="0.25">
      <c r="B9" s="866"/>
      <c r="C9" s="868"/>
      <c r="D9" s="848"/>
      <c r="E9" s="845"/>
      <c r="F9" s="868"/>
      <c r="G9" s="848"/>
      <c r="H9" s="863"/>
      <c r="I9" s="859"/>
      <c r="J9" s="848"/>
      <c r="K9" s="845"/>
      <c r="L9" s="848"/>
      <c r="M9" s="848"/>
      <c r="N9" s="845"/>
      <c r="O9" s="848"/>
      <c r="P9" s="848"/>
      <c r="Q9" s="863"/>
      <c r="R9" s="859"/>
      <c r="S9" s="848"/>
      <c r="T9" s="863"/>
    </row>
    <row r="10" spans="1:20" ht="14.25" thickTop="1" thickBot="1" x14ac:dyDescent="0.25">
      <c r="B10" s="855"/>
      <c r="C10" s="869"/>
      <c r="D10" s="849"/>
      <c r="E10" s="846"/>
      <c r="F10" s="869"/>
      <c r="G10" s="849"/>
      <c r="H10" s="864"/>
      <c r="I10" s="860"/>
      <c r="J10" s="849"/>
      <c r="K10" s="846"/>
      <c r="L10" s="849"/>
      <c r="M10" s="849"/>
      <c r="N10" s="846"/>
      <c r="O10" s="849"/>
      <c r="P10" s="849"/>
      <c r="Q10" s="864"/>
      <c r="R10" s="860"/>
      <c r="S10" s="849"/>
      <c r="T10" s="864"/>
    </row>
    <row r="11" spans="1:20" ht="13.5" thickBot="1" x14ac:dyDescent="0.25">
      <c r="B11" s="854" t="s">
        <v>1381</v>
      </c>
      <c r="C11" s="867" t="e">
        <f>#REF!</f>
        <v>#REF!</v>
      </c>
      <c r="D11" s="850" t="e">
        <f>IF(AND(C11&gt;0,C11&lt;15),15,IF(AND(C11&lt;0,C11&gt;-15),-15,C11))</f>
        <v>#REF!</v>
      </c>
      <c r="E11" s="870" t="e">
        <f xml:space="preserve"> Esforços!G15</f>
        <v>#VALUE!</v>
      </c>
      <c r="F11" s="867" t="e">
        <f>#REF!</f>
        <v>#REF!</v>
      </c>
      <c r="G11" s="850" t="e">
        <f>IF(AND(F11&gt;0,F11&lt;15),15,IF(AND(F11&lt;0,F11&gt;-15),-15,F11))</f>
        <v>#REF!</v>
      </c>
      <c r="H11" s="877" t="e">
        <f xml:space="preserve"> Esforços!G18</f>
        <v>#VALUE!</v>
      </c>
      <c r="I11" s="872" t="e">
        <f>Results!#REF!</f>
        <v>#REF!</v>
      </c>
      <c r="J11" s="850" t="e">
        <f>IF(AND(I11&gt;0,I11&lt;15),15,IF(AND(I11&lt;0,I11&gt;-15),-15,I11))</f>
        <v>#REF!</v>
      </c>
      <c r="K11" s="870" t="e">
        <f xml:space="preserve"> Esforços!G26</f>
        <v>#VALUE!</v>
      </c>
      <c r="L11" s="850" t="e">
        <f>#REF!</f>
        <v>#REF!</v>
      </c>
      <c r="M11" s="850" t="e">
        <f>IF(AND(L11&gt;0,L11&lt;15),15,IF(AND(L11&lt;0,L11&gt;-15),-15,L11))</f>
        <v>#REF!</v>
      </c>
      <c r="N11" s="851"/>
      <c r="O11" s="850" t="e">
        <f>#REF!</f>
        <v>#REF!</v>
      </c>
      <c r="P11" s="850" t="e">
        <f>IF(AND(O11&gt;0,O11&lt;15),15,IF(AND(O11&lt;0,O11&gt;-15),-15,O11))</f>
        <v>#REF!</v>
      </c>
      <c r="Q11" s="865"/>
      <c r="R11" s="872" t="e">
        <f>IF(#REF!&gt;0,MAX(#REF!,#REF!,#REF!,#REF!,#REF!),"N/A")</f>
        <v>#REF!</v>
      </c>
      <c r="S11" s="850" t="e">
        <f>R11</f>
        <v>#REF!</v>
      </c>
      <c r="T11" s="865">
        <f>IF(Values!C29&gt;0,Values!C29,"N/A")</f>
        <v>43</v>
      </c>
    </row>
    <row r="12" spans="1:20" ht="14.25" thickTop="1" thickBot="1" x14ac:dyDescent="0.25">
      <c r="B12" s="866"/>
      <c r="C12" s="868"/>
      <c r="D12" s="848"/>
      <c r="E12" s="845"/>
      <c r="F12" s="868"/>
      <c r="G12" s="848"/>
      <c r="H12" s="863"/>
      <c r="I12" s="859"/>
      <c r="J12" s="848"/>
      <c r="K12" s="845"/>
      <c r="L12" s="848"/>
      <c r="M12" s="848"/>
      <c r="N12" s="845"/>
      <c r="O12" s="848"/>
      <c r="P12" s="848"/>
      <c r="Q12" s="863"/>
      <c r="R12" s="859"/>
      <c r="S12" s="848"/>
      <c r="T12" s="863"/>
    </row>
    <row r="13" spans="1:20" ht="14.25" thickTop="1" thickBot="1" x14ac:dyDescent="0.25">
      <c r="B13" s="855"/>
      <c r="C13" s="869"/>
      <c r="D13" s="849"/>
      <c r="E13" s="846"/>
      <c r="F13" s="869"/>
      <c r="G13" s="849"/>
      <c r="H13" s="864"/>
      <c r="I13" s="860"/>
      <c r="J13" s="849"/>
      <c r="K13" s="846"/>
      <c r="L13" s="849"/>
      <c r="M13" s="849"/>
      <c r="N13" s="846"/>
      <c r="O13" s="849"/>
      <c r="P13" s="849"/>
      <c r="Q13" s="864"/>
      <c r="R13" s="860"/>
      <c r="S13" s="849"/>
      <c r="T13" s="864"/>
    </row>
    <row r="14" spans="1:20" ht="13.5" thickBot="1" x14ac:dyDescent="0.25">
      <c r="B14" s="875" t="s">
        <v>1382</v>
      </c>
      <c r="C14" s="876" t="e">
        <f>#REF!</f>
        <v>#REF!</v>
      </c>
      <c r="D14" s="847" t="e">
        <f>IF(AND(C14&gt;0,C14&lt;50),50,IF(AND(C14&lt;0,C14&gt;-50),-50,C14))</f>
        <v>#REF!</v>
      </c>
      <c r="E14" s="861" t="e">
        <f xml:space="preserve"> Esforços!G16</f>
        <v>#VALUE!</v>
      </c>
      <c r="F14" s="876" t="e">
        <f>#REF!</f>
        <v>#REF!</v>
      </c>
      <c r="G14" s="847" t="e">
        <f>IF(AND(F14&gt;0,F14&lt;50),50,IF(AND(F14&lt;0,F14&gt;-50),-50,F14))</f>
        <v>#REF!</v>
      </c>
      <c r="H14" s="871" t="e">
        <f xml:space="preserve"> Esforços!G19</f>
        <v>#VALUE!</v>
      </c>
      <c r="I14" s="858" t="e">
        <f>Results!#REF!</f>
        <v>#REF!</v>
      </c>
      <c r="J14" s="847" t="e">
        <f>IF(AND(I14&gt;0,I14&lt;50),50,IF(AND(I14&lt;0,I14&gt;-50),-50,I14))</f>
        <v>#REF!</v>
      </c>
      <c r="K14" s="861" t="e">
        <f xml:space="preserve"> Esforços!G24</f>
        <v>#VALUE!</v>
      </c>
      <c r="L14" s="847" t="e">
        <f>#REF!</f>
        <v>#REF!</v>
      </c>
      <c r="M14" s="847" t="e">
        <f>IF(AND(L14&gt;0,L14&lt;50),50,IF(AND(L14&lt;0,L14&gt;-50),-50,L14))</f>
        <v>#REF!</v>
      </c>
      <c r="N14" s="844"/>
      <c r="O14" s="847" t="e">
        <f>#REF!</f>
        <v>#REF!</v>
      </c>
      <c r="P14" s="847" t="e">
        <f>IF(AND(O14&gt;0,O14&lt;50),50,IF(AND(O14&lt;0,O14&gt;-50),-50,O14))</f>
        <v>#REF!</v>
      </c>
      <c r="Q14" s="862"/>
      <c r="R14" s="858" t="e">
        <f>MAX(#REF!,#REF!,#REF!,#REF!,#REF!)</f>
        <v>#REF!</v>
      </c>
      <c r="S14" s="847" t="e">
        <f>R14</f>
        <v>#REF!</v>
      </c>
      <c r="T14" s="862">
        <f>Values!C28</f>
        <v>57</v>
      </c>
    </row>
    <row r="15" spans="1:20" ht="14.25" thickTop="1" thickBot="1" x14ac:dyDescent="0.25">
      <c r="B15" s="866"/>
      <c r="C15" s="868"/>
      <c r="D15" s="848"/>
      <c r="E15" s="845"/>
      <c r="F15" s="868"/>
      <c r="G15" s="848"/>
      <c r="H15" s="863"/>
      <c r="I15" s="859"/>
      <c r="J15" s="848"/>
      <c r="K15" s="845"/>
      <c r="L15" s="848"/>
      <c r="M15" s="848"/>
      <c r="N15" s="845"/>
      <c r="O15" s="848"/>
      <c r="P15" s="848"/>
      <c r="Q15" s="863"/>
      <c r="R15" s="859"/>
      <c r="S15" s="848"/>
      <c r="T15" s="863"/>
    </row>
    <row r="16" spans="1:20" ht="14.25" thickTop="1" thickBot="1" x14ac:dyDescent="0.25">
      <c r="B16" s="855"/>
      <c r="C16" s="869"/>
      <c r="D16" s="849"/>
      <c r="E16" s="846"/>
      <c r="F16" s="869"/>
      <c r="G16" s="849"/>
      <c r="H16" s="864"/>
      <c r="I16" s="860"/>
      <c r="J16" s="849"/>
      <c r="K16" s="846"/>
      <c r="L16" s="849"/>
      <c r="M16" s="849"/>
      <c r="N16" s="846"/>
      <c r="O16" s="849"/>
      <c r="P16" s="849"/>
      <c r="Q16" s="864"/>
      <c r="R16" s="860"/>
      <c r="S16" s="849"/>
      <c r="T16" s="864"/>
    </row>
    <row r="17" spans="2:20" s="58" customFormat="1" ht="30" customHeight="1" x14ac:dyDescent="0.2">
      <c r="B17" s="913" t="s">
        <v>1383</v>
      </c>
      <c r="C17" s="913"/>
      <c r="D17" s="913"/>
      <c r="E17" s="913"/>
      <c r="F17" s="913"/>
      <c r="G17" s="913"/>
      <c r="H17" s="913"/>
      <c r="I17" s="913"/>
      <c r="J17" s="913"/>
      <c r="K17" s="913"/>
      <c r="L17" s="913"/>
      <c r="M17" s="913"/>
      <c r="N17" s="913"/>
      <c r="O17" s="913"/>
      <c r="P17" s="913"/>
      <c r="Q17" s="913"/>
      <c r="R17" s="913"/>
      <c r="S17" s="913"/>
      <c r="T17" s="913"/>
    </row>
    <row r="18" spans="2:20" ht="15" x14ac:dyDescent="0.2">
      <c r="B18" s="914" t="s">
        <v>1384</v>
      </c>
      <c r="C18" s="915"/>
      <c r="D18" s="915"/>
      <c r="E18" s="915"/>
      <c r="F18" s="915"/>
      <c r="G18" s="915"/>
      <c r="H18" s="915"/>
      <c r="I18" s="915"/>
      <c r="J18" s="915"/>
      <c r="K18" s="915"/>
      <c r="L18" s="915"/>
      <c r="M18" s="915"/>
      <c r="N18" s="915"/>
      <c r="O18" s="915"/>
      <c r="P18" s="915"/>
      <c r="Q18" s="915"/>
      <c r="R18" s="915"/>
      <c r="S18" s="915"/>
      <c r="T18" s="915"/>
    </row>
    <row r="19" spans="2:20" ht="15.75" x14ac:dyDescent="0.2">
      <c r="B19" s="916" t="s">
        <v>1385</v>
      </c>
      <c r="C19" s="917"/>
      <c r="D19" s="917"/>
      <c r="E19" s="917"/>
      <c r="F19" s="917"/>
      <c r="G19" s="917"/>
      <c r="H19" s="917"/>
      <c r="I19" s="917"/>
      <c r="J19" s="917"/>
      <c r="K19" s="917"/>
      <c r="L19" s="917"/>
      <c r="M19" s="917"/>
      <c r="N19" s="917"/>
      <c r="O19" s="917"/>
      <c r="P19" s="917"/>
      <c r="Q19" s="917"/>
      <c r="R19" s="917"/>
      <c r="S19" s="917"/>
      <c r="T19" s="917"/>
    </row>
    <row r="20" spans="2:20" ht="15.75" x14ac:dyDescent="0.2">
      <c r="B20" s="907" t="s">
        <v>1386</v>
      </c>
      <c r="C20" s="908"/>
      <c r="D20" s="908"/>
      <c r="E20" s="908"/>
      <c r="F20" s="908"/>
      <c r="G20" s="908"/>
      <c r="H20" s="908"/>
      <c r="I20" s="908"/>
      <c r="J20" s="908"/>
      <c r="K20" s="908"/>
      <c r="L20" s="908"/>
      <c r="M20" s="908"/>
      <c r="N20" s="908"/>
      <c r="O20" s="908"/>
      <c r="P20" s="908"/>
      <c r="Q20" s="908"/>
      <c r="R20" s="908"/>
      <c r="S20" s="908"/>
      <c r="T20" s="908"/>
    </row>
    <row r="21" spans="2:20" ht="15" x14ac:dyDescent="0.2">
      <c r="B21" s="909" t="s">
        <v>1387</v>
      </c>
      <c r="C21" s="910"/>
      <c r="D21" s="910"/>
      <c r="E21" s="910"/>
      <c r="F21" s="910"/>
      <c r="G21" s="910"/>
      <c r="H21" s="910"/>
      <c r="I21" s="910"/>
      <c r="J21" s="910"/>
      <c r="K21" s="910"/>
      <c r="L21" s="910"/>
      <c r="M21" s="910"/>
      <c r="N21" s="910"/>
      <c r="O21" s="910"/>
      <c r="P21" s="910"/>
      <c r="Q21" s="910"/>
      <c r="R21" s="910"/>
      <c r="S21" s="910"/>
      <c r="T21" s="910"/>
    </row>
    <row r="22" spans="2:20" x14ac:dyDescent="0.2"/>
  </sheetData>
  <mergeCells count="85"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K14:K16"/>
    <mergeCell ref="G8:G10"/>
    <mergeCell ref="H8:H10"/>
    <mergeCell ref="H14:H16"/>
    <mergeCell ref="I11:I13"/>
    <mergeCell ref="J11:J13"/>
    <mergeCell ref="K11:K13"/>
    <mergeCell ref="G14:G16"/>
    <mergeCell ref="B11:B13"/>
    <mergeCell ref="C11:C13"/>
    <mergeCell ref="D11:D13"/>
    <mergeCell ref="E11:E13"/>
    <mergeCell ref="F11:F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N8:N10"/>
    <mergeCell ref="O8:O10"/>
    <mergeCell ref="P8:P10"/>
    <mergeCell ref="L11:L13"/>
    <mergeCell ref="M11:M13"/>
    <mergeCell ref="N11:N13"/>
    <mergeCell ref="O11:O13"/>
    <mergeCell ref="P11:P13"/>
  </mergeCells>
  <conditionalFormatting sqref="B7">
    <cfRule type="cellIs" dxfId="140" priority="66" operator="lessThan">
      <formula>2.5</formula>
    </cfRule>
  </conditionalFormatting>
  <conditionalFormatting sqref="C11:C16 F11:F13 I11:I13 L11:L13 O11:O13 R8:R16">
    <cfRule type="expression" dxfId="139" priority="64">
      <formula>SIGN(C8)&lt;&gt;SIGN(E8)</formula>
    </cfRule>
    <cfRule type="expression" dxfId="138" priority="65">
      <formula>ABS(C8)&gt;ABS(E8)</formula>
    </cfRule>
  </conditionalFormatting>
  <conditionalFormatting sqref="J11:J13 G11:G13 D11:D16 P11:P13 M11:M13">
    <cfRule type="expression" dxfId="137" priority="62">
      <formula>SIGN(D11)&lt;&gt;SIGN(E11)</formula>
    </cfRule>
    <cfRule type="expression" dxfId="136" priority="63">
      <formula>ABS(D11)&gt;ABS(E11)</formula>
    </cfRule>
  </conditionalFormatting>
  <conditionalFormatting sqref="C8:C10">
    <cfRule type="expression" dxfId="135" priority="60">
      <formula>SIGN(C8)&lt;&gt;SIGN(E8)</formula>
    </cfRule>
    <cfRule type="expression" dxfId="134" priority="61">
      <formula>ABS(C8)&gt;ABS(E8)</formula>
    </cfRule>
  </conditionalFormatting>
  <conditionalFormatting sqref="F14:F16">
    <cfRule type="expression" dxfId="133" priority="56">
      <formula>SIGN(F14)&lt;&gt;SIGN(H14)</formula>
    </cfRule>
    <cfRule type="expression" dxfId="132" priority="57">
      <formula>ABS(F14)&gt;ABS(H14)</formula>
    </cfRule>
  </conditionalFormatting>
  <conditionalFormatting sqref="F8:F10">
    <cfRule type="expression" dxfId="131" priority="54">
      <formula>SIGN(F8)&lt;&gt;SIGN(H8)</formula>
    </cfRule>
    <cfRule type="expression" dxfId="130" priority="55">
      <formula>ABS(F8)&gt;ABS(H8)</formula>
    </cfRule>
  </conditionalFormatting>
  <conditionalFormatting sqref="I14:I16">
    <cfRule type="expression" dxfId="129" priority="50">
      <formula>SIGN(I14)&lt;&gt;SIGN(K14)</formula>
    </cfRule>
    <cfRule type="expression" dxfId="128" priority="51">
      <formula>ABS(I14)&gt;ABS(K14)</formula>
    </cfRule>
  </conditionalFormatting>
  <conditionalFormatting sqref="I8:I10">
    <cfRule type="expression" dxfId="127" priority="48">
      <formula>SIGN(I8)&lt;&gt;SIGN(K8)</formula>
    </cfRule>
    <cfRule type="expression" dxfId="126" priority="49">
      <formula>ABS(I8)&gt;ABS(K8)</formula>
    </cfRule>
  </conditionalFormatting>
  <conditionalFormatting sqref="J8:J10">
    <cfRule type="expression" dxfId="125" priority="42">
      <formula>SIGN(J8)&lt;&gt;SIGN(K8)</formula>
    </cfRule>
    <cfRule type="expression" dxfId="124" priority="43">
      <formula>ABS(J8)&gt;ABS(K8)</formula>
    </cfRule>
  </conditionalFormatting>
  <conditionalFormatting sqref="G8:G10">
    <cfRule type="expression" dxfId="123" priority="38">
      <formula>SIGN(G8)&lt;&gt;SIGN(H8)</formula>
    </cfRule>
    <cfRule type="expression" dxfId="122" priority="39">
      <formula>ABS(G8)&gt;ABS(H8)</formula>
    </cfRule>
  </conditionalFormatting>
  <conditionalFormatting sqref="D8:D10">
    <cfRule type="expression" dxfId="121" priority="34">
      <formula>SIGN(D8)&lt;&gt;SIGN(E8)</formula>
    </cfRule>
    <cfRule type="expression" dxfId="120" priority="35">
      <formula>ABS(D8)&gt;ABS(E8)</formula>
    </cfRule>
  </conditionalFormatting>
  <conditionalFormatting sqref="G14:G16">
    <cfRule type="expression" dxfId="119" priority="32">
      <formula>SIGN(G14)&lt;&gt;SIGN(H14)</formula>
    </cfRule>
    <cfRule type="expression" dxfId="118" priority="33">
      <formula>ABS(G14)&gt;ABS(H14)</formula>
    </cfRule>
  </conditionalFormatting>
  <conditionalFormatting sqref="J14:J16">
    <cfRule type="expression" dxfId="117" priority="30">
      <formula>SIGN(J14)&lt;&gt;SIGN(K14)</formula>
    </cfRule>
    <cfRule type="expression" dxfId="116" priority="31">
      <formula>ABS(J14)&gt;ABS(K14)</formula>
    </cfRule>
  </conditionalFormatting>
  <conditionalFormatting sqref="L14:L16">
    <cfRule type="expression" dxfId="115" priority="28">
      <formula>SIGN(L14)&lt;&gt;SIGN(N14)</formula>
    </cfRule>
    <cfRule type="expression" dxfId="114" priority="29">
      <formula>ABS(L14)&gt;ABS(N14)</formula>
    </cfRule>
  </conditionalFormatting>
  <conditionalFormatting sqref="M14:M16">
    <cfRule type="expression" dxfId="113" priority="26">
      <formula>SIGN(M14)&lt;&gt;SIGN(N14)</formula>
    </cfRule>
    <cfRule type="expression" dxfId="112" priority="27">
      <formula>ABS(M14)&gt;ABS(N14)</formula>
    </cfRule>
  </conditionalFormatting>
  <conditionalFormatting sqref="L8:L10">
    <cfRule type="expression" dxfId="111" priority="24">
      <formula>SIGN(L8)&lt;&gt;SIGN(N8)</formula>
    </cfRule>
    <cfRule type="expression" dxfId="110" priority="25">
      <formula>ABS(L8)&gt;ABS(N8)</formula>
    </cfRule>
  </conditionalFormatting>
  <conditionalFormatting sqref="O14:O16">
    <cfRule type="expression" dxfId="109" priority="20">
      <formula>SIGN(O14)&lt;&gt;SIGN(Q14)</formula>
    </cfRule>
    <cfRule type="expression" dxfId="108" priority="21">
      <formula>ABS(O14)&gt;ABS(Q14)</formula>
    </cfRule>
  </conditionalFormatting>
  <conditionalFormatting sqref="O8:O10">
    <cfRule type="expression" dxfId="107" priority="18">
      <formula>SIGN(O8)&lt;&gt;SIGN(Q8)</formula>
    </cfRule>
    <cfRule type="expression" dxfId="106" priority="19">
      <formula>ABS(O8)&gt;ABS(Q8)</formula>
    </cfRule>
  </conditionalFormatting>
  <conditionalFormatting sqref="P8:P10">
    <cfRule type="expression" dxfId="105" priority="12">
      <formula>SIGN(P8)&lt;&gt;SIGN(Q8)</formula>
    </cfRule>
    <cfRule type="expression" dxfId="104" priority="13">
      <formula>ABS(P8)&gt;ABS(Q8)</formula>
    </cfRule>
  </conditionalFormatting>
  <conditionalFormatting sqref="M8:M10">
    <cfRule type="expression" dxfId="103" priority="8">
      <formula>SIGN(M8)&lt;&gt;SIGN(N8)</formula>
    </cfRule>
    <cfRule type="expression" dxfId="102" priority="9">
      <formula>ABS(M8)&gt;ABS(N8)</formula>
    </cfRule>
  </conditionalFormatting>
  <conditionalFormatting sqref="P14:P16">
    <cfRule type="expression" dxfId="101" priority="6">
      <formula>SIGN(P14)&lt;&gt;SIGN(Q14)</formula>
    </cfRule>
    <cfRule type="expression" dxfId="100" priority="7">
      <formula>ABS(P14)&gt;ABS(Q14)</formula>
    </cfRule>
  </conditionalFormatting>
  <conditionalFormatting sqref="S8:S16">
    <cfRule type="expression" dxfId="99" priority="2">
      <formula>SIGN(S8)&lt;&gt;SIGN(T8)</formula>
    </cfRule>
  </conditionalFormatting>
  <conditionalFormatting sqref="S8:S16">
    <cfRule type="expression" dxfId="98" priority="3">
      <formula>ABS(S8)&gt;ABS(T8)</formula>
    </cfRule>
  </conditionalFormatting>
  <conditionalFormatting sqref="R8:T16">
    <cfRule type="containsText" dxfId="97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/>
  <dimension ref="A1:AY213"/>
  <sheetViews>
    <sheetView workbookViewId="0"/>
  </sheetViews>
  <sheetFormatPr defaultColWidth="0" defaultRowHeight="12.75" outlineLevelRow="1" x14ac:dyDescent="0.2"/>
  <cols>
    <col min="1" max="1" width="1.7109375" style="70" customWidth="1"/>
    <col min="2" max="33" width="9.140625" style="70" customWidth="1"/>
    <col min="34" max="34" width="1.7109375" style="70" customWidth="1"/>
    <col min="35" max="51" width="0" style="70" hidden="1" customWidth="1"/>
    <col min="52" max="16384" width="9.140625" style="70" hidden="1"/>
  </cols>
  <sheetData>
    <row r="1" spans="1:37" s="4" customFormat="1" ht="13.5" thickBot="1" x14ac:dyDescent="0.25">
      <c r="A1" s="34"/>
      <c r="B1" s="82"/>
      <c r="C1" s="83"/>
      <c r="D1" s="83"/>
      <c r="E1" s="83"/>
      <c r="F1" s="83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9"/>
      <c r="AE1" s="9"/>
      <c r="AF1" s="9"/>
      <c r="AG1" s="9"/>
      <c r="AH1" s="9"/>
      <c r="AI1" s="9"/>
      <c r="AJ1" s="9"/>
      <c r="AK1" s="9"/>
    </row>
    <row r="2" spans="1:37" s="4" customFormat="1" ht="13.5" thickTop="1" x14ac:dyDescent="0.2">
      <c r="A2" s="11"/>
      <c r="B2" s="978"/>
      <c r="C2" s="978"/>
      <c r="D2" s="978"/>
      <c r="E2" s="978"/>
      <c r="F2" s="981" t="str">
        <f xml:space="preserve"> IF(ISBLANK(estudo_edr),"",estudo_edr)</f>
        <v>S55095-RT-5801-IAS-284</v>
      </c>
      <c r="G2" s="982"/>
      <c r="H2" s="982"/>
      <c r="I2" s="982"/>
      <c r="J2" s="982"/>
      <c r="K2" s="982"/>
      <c r="L2" s="982"/>
      <c r="M2" s="982"/>
      <c r="N2" s="982"/>
      <c r="O2" s="982"/>
      <c r="P2" s="982"/>
      <c r="Q2" s="982"/>
      <c r="R2" s="982"/>
      <c r="S2" s="982"/>
      <c r="T2" s="982"/>
      <c r="U2" s="982"/>
      <c r="V2" s="982"/>
      <c r="W2" s="982"/>
      <c r="X2" s="982"/>
      <c r="Y2" s="982"/>
      <c r="Z2" s="982"/>
      <c r="AA2" s="982"/>
      <c r="AB2" s="983"/>
      <c r="AC2" s="9"/>
      <c r="AD2" s="9"/>
      <c r="AE2" s="9"/>
      <c r="AF2" s="9"/>
      <c r="AG2" s="9"/>
      <c r="AH2" s="9"/>
      <c r="AI2" s="9"/>
      <c r="AJ2" s="9"/>
      <c r="AK2" s="9"/>
    </row>
    <row r="3" spans="1:37" s="4" customFormat="1" x14ac:dyDescent="0.2">
      <c r="A3" s="11"/>
      <c r="B3" s="979"/>
      <c r="C3" s="979"/>
      <c r="D3" s="979"/>
      <c r="E3" s="979"/>
      <c r="F3" s="984"/>
      <c r="G3" s="985"/>
      <c r="H3" s="985"/>
      <c r="I3" s="985"/>
      <c r="J3" s="985"/>
      <c r="K3" s="985"/>
      <c r="L3" s="985"/>
      <c r="M3" s="985"/>
      <c r="N3" s="985"/>
      <c r="O3" s="985"/>
      <c r="P3" s="985"/>
      <c r="Q3" s="985"/>
      <c r="R3" s="985"/>
      <c r="S3" s="985"/>
      <c r="T3" s="985"/>
      <c r="U3" s="985"/>
      <c r="V3" s="985"/>
      <c r="W3" s="985"/>
      <c r="X3" s="985"/>
      <c r="Y3" s="985"/>
      <c r="Z3" s="985"/>
      <c r="AA3" s="985"/>
      <c r="AB3" s="986"/>
      <c r="AC3" s="9"/>
      <c r="AD3" s="9"/>
      <c r="AE3" s="9"/>
      <c r="AF3" s="9"/>
      <c r="AG3" s="9"/>
      <c r="AH3" s="9"/>
      <c r="AI3" s="9"/>
      <c r="AJ3" s="9"/>
      <c r="AK3" s="9"/>
    </row>
    <row r="4" spans="1:37" s="4" customFormat="1" x14ac:dyDescent="0.2">
      <c r="A4" s="11"/>
      <c r="B4" s="979"/>
      <c r="C4" s="979"/>
      <c r="D4" s="979"/>
      <c r="E4" s="979"/>
      <c r="F4" s="984"/>
      <c r="G4" s="985"/>
      <c r="H4" s="985"/>
      <c r="I4" s="985"/>
      <c r="J4" s="985"/>
      <c r="K4" s="985"/>
      <c r="L4" s="985"/>
      <c r="M4" s="985"/>
      <c r="N4" s="985"/>
      <c r="O4" s="985"/>
      <c r="P4" s="985"/>
      <c r="Q4" s="985"/>
      <c r="R4" s="985"/>
      <c r="S4" s="985"/>
      <c r="T4" s="985"/>
      <c r="U4" s="985"/>
      <c r="V4" s="985"/>
      <c r="W4" s="985"/>
      <c r="X4" s="985"/>
      <c r="Y4" s="985"/>
      <c r="Z4" s="985"/>
      <c r="AA4" s="985"/>
      <c r="AB4" s="986"/>
      <c r="AC4" s="9"/>
      <c r="AD4" s="9"/>
      <c r="AE4" s="9"/>
      <c r="AF4" s="9"/>
      <c r="AG4" s="9"/>
      <c r="AH4" s="9"/>
      <c r="AI4" s="9"/>
      <c r="AJ4" s="9"/>
      <c r="AK4" s="9"/>
    </row>
    <row r="5" spans="1:37" s="4" customFormat="1" x14ac:dyDescent="0.2">
      <c r="A5" s="11"/>
      <c r="B5" s="979"/>
      <c r="C5" s="979"/>
      <c r="D5" s="979"/>
      <c r="E5" s="979"/>
      <c r="F5" s="98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5"/>
      <c r="W5" s="985"/>
      <c r="X5" s="985"/>
      <c r="Y5" s="985"/>
      <c r="Z5" s="985"/>
      <c r="AA5" s="985"/>
      <c r="AB5" s="986"/>
      <c r="AC5" s="9"/>
      <c r="AD5" s="9"/>
      <c r="AE5" s="9"/>
      <c r="AF5" s="9"/>
      <c r="AG5" s="9"/>
      <c r="AH5" s="9"/>
      <c r="AI5" s="9"/>
      <c r="AJ5" s="9"/>
      <c r="AK5" s="9"/>
    </row>
    <row r="6" spans="1:37" s="4" customFormat="1" ht="13.5" thickBot="1" x14ac:dyDescent="0.25">
      <c r="A6" s="11"/>
      <c r="B6" s="980"/>
      <c r="C6" s="980"/>
      <c r="D6" s="980"/>
      <c r="E6" s="980"/>
      <c r="F6" s="987"/>
      <c r="G6" s="988"/>
      <c r="H6" s="988"/>
      <c r="I6" s="988"/>
      <c r="J6" s="988"/>
      <c r="K6" s="988"/>
      <c r="L6" s="988"/>
      <c r="M6" s="988"/>
      <c r="N6" s="988"/>
      <c r="O6" s="988"/>
      <c r="P6" s="988"/>
      <c r="Q6" s="988"/>
      <c r="R6" s="988"/>
      <c r="S6" s="988"/>
      <c r="T6" s="988"/>
      <c r="U6" s="988"/>
      <c r="V6" s="988"/>
      <c r="W6" s="988"/>
      <c r="X6" s="988"/>
      <c r="Y6" s="988"/>
      <c r="Z6" s="988"/>
      <c r="AA6" s="988"/>
      <c r="AB6" s="989"/>
      <c r="AC6" s="9"/>
      <c r="AD6" s="9"/>
      <c r="AE6" s="9"/>
      <c r="AF6" s="9"/>
      <c r="AG6" s="9"/>
      <c r="AH6" s="9"/>
      <c r="AI6" s="9"/>
      <c r="AJ6" s="9"/>
      <c r="AK6" s="9"/>
    </row>
    <row r="7" spans="1:37" s="4" customFormat="1" ht="13.5" thickTop="1" x14ac:dyDescent="0.2">
      <c r="A7" s="9"/>
      <c r="B7" s="1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s="4" customFormat="1" ht="13.5" thickBo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s="4" customFormat="1" ht="12.75" customHeight="1" thickBot="1" x14ac:dyDescent="0.25">
      <c r="A9" s="9"/>
      <c r="B9" s="953" t="s">
        <v>1388</v>
      </c>
      <c r="C9" s="953"/>
      <c r="D9" s="953"/>
      <c r="E9" s="953"/>
      <c r="F9" s="953"/>
      <c r="G9" s="953"/>
      <c r="H9" s="953"/>
      <c r="I9" s="953"/>
      <c r="J9" s="953"/>
      <c r="K9" s="953"/>
      <c r="L9" s="953"/>
      <c r="M9" s="953"/>
      <c r="N9" s="953"/>
      <c r="O9" s="9"/>
      <c r="P9" s="990" t="s">
        <v>1389</v>
      </c>
      <c r="Q9" s="991"/>
      <c r="R9" s="991"/>
      <c r="S9" s="991"/>
      <c r="T9" s="991"/>
      <c r="U9" s="991"/>
      <c r="V9" s="991"/>
      <c r="W9" s="991"/>
      <c r="X9" s="991"/>
      <c r="Y9" s="991"/>
      <c r="Z9" s="991"/>
      <c r="AA9" s="991"/>
      <c r="AB9" s="992"/>
      <c r="AC9" s="9"/>
      <c r="AD9" s="9"/>
      <c r="AE9" s="9"/>
      <c r="AF9" s="9"/>
      <c r="AG9" s="9"/>
      <c r="AH9" s="9"/>
      <c r="AI9" s="9"/>
      <c r="AJ9" s="9"/>
      <c r="AK9" s="9"/>
    </row>
    <row r="10" spans="1:37" s="4" customFormat="1" ht="12.75" customHeight="1" thickBot="1" x14ac:dyDescent="0.25">
      <c r="A10" s="9"/>
      <c r="B10" s="953"/>
      <c r="C10" s="953"/>
      <c r="D10" s="953"/>
      <c r="E10" s="953"/>
      <c r="F10" s="953"/>
      <c r="G10" s="953"/>
      <c r="H10" s="953"/>
      <c r="I10" s="953"/>
      <c r="J10" s="953"/>
      <c r="K10" s="953"/>
      <c r="L10" s="953"/>
      <c r="M10" s="953"/>
      <c r="N10" s="953"/>
      <c r="O10" s="9"/>
      <c r="P10" s="1000" t="s">
        <v>1390</v>
      </c>
      <c r="Q10" s="1001"/>
      <c r="R10" s="1001"/>
      <c r="S10" s="1001"/>
      <c r="T10" s="1001"/>
      <c r="U10" s="1001"/>
      <c r="V10" s="1001"/>
      <c r="W10" s="1001"/>
      <c r="X10" s="1001"/>
      <c r="Y10" s="1001"/>
      <c r="Z10" s="1001"/>
      <c r="AA10" s="1001"/>
      <c r="AB10" s="1002"/>
      <c r="AC10" s="9"/>
      <c r="AD10" s="9"/>
      <c r="AE10" s="9"/>
      <c r="AF10" s="9"/>
      <c r="AG10" s="9"/>
      <c r="AH10" s="9"/>
      <c r="AI10" s="9"/>
      <c r="AJ10" s="9"/>
      <c r="AK10" s="9"/>
    </row>
    <row r="11" spans="1:37" s="4" customFormat="1" x14ac:dyDescent="0.2">
      <c r="A11" s="11"/>
      <c r="B11" s="74" t="s">
        <v>1391</v>
      </c>
      <c r="C11" s="993" t="s">
        <v>1392</v>
      </c>
      <c r="D11" s="994"/>
      <c r="E11" s="995"/>
      <c r="F11" s="996" t="s">
        <v>1393</v>
      </c>
      <c r="G11" s="997"/>
      <c r="H11" s="998"/>
      <c r="I11" s="996" t="s">
        <v>1394</v>
      </c>
      <c r="J11" s="997"/>
      <c r="K11" s="998"/>
      <c r="L11" s="996" t="s">
        <v>1395</v>
      </c>
      <c r="M11" s="997"/>
      <c r="N11" s="999"/>
      <c r="O11" s="9"/>
      <c r="P11" s="941" t="s">
        <v>1396</v>
      </c>
      <c r="Q11" s="942"/>
      <c r="R11" s="942"/>
      <c r="S11" s="942"/>
      <c r="T11" s="942" t="s">
        <v>1397</v>
      </c>
      <c r="U11" s="942"/>
      <c r="V11" s="942"/>
      <c r="W11" s="942"/>
      <c r="X11" s="942" t="s">
        <v>1398</v>
      </c>
      <c r="Y11" s="942"/>
      <c r="Z11" s="942"/>
      <c r="AA11" s="942"/>
      <c r="AB11" s="943"/>
      <c r="AC11" s="9"/>
      <c r="AD11" s="9"/>
      <c r="AE11" s="9"/>
      <c r="AF11" s="9"/>
      <c r="AG11" s="9"/>
      <c r="AH11" s="9"/>
      <c r="AI11" s="9"/>
      <c r="AJ11" s="9"/>
      <c r="AK11" s="9"/>
    </row>
    <row r="12" spans="1:37" s="4" customFormat="1" ht="12.75" customHeight="1" x14ac:dyDescent="0.2">
      <c r="A12" s="11"/>
      <c r="B12" s="961">
        <f>estudo_version_report</f>
        <v>0</v>
      </c>
      <c r="C12" s="963">
        <f ca="1">TODAY()</f>
        <v>45695</v>
      </c>
      <c r="D12" s="964"/>
      <c r="E12" s="965"/>
      <c r="F12" s="969" t="str">
        <f>estudo_initials_engineer</f>
        <v>DTW</v>
      </c>
      <c r="G12" s="970"/>
      <c r="H12" s="971"/>
      <c r="I12" s="969" t="str">
        <f>estudo_initials_reviewer</f>
        <v>NSI</v>
      </c>
      <c r="J12" s="970"/>
      <c r="K12" s="971"/>
      <c r="L12" s="975" t="str">
        <f>estudo_initials_aprover</f>
        <v>CFS</v>
      </c>
      <c r="M12" s="976"/>
      <c r="N12" s="977"/>
      <c r="O12" s="9"/>
      <c r="P12" s="941"/>
      <c r="Q12" s="942"/>
      <c r="R12" s="942"/>
      <c r="S12" s="942"/>
      <c r="T12" s="942"/>
      <c r="U12" s="942"/>
      <c r="V12" s="942"/>
      <c r="W12" s="942"/>
      <c r="X12" s="942"/>
      <c r="Y12" s="942"/>
      <c r="Z12" s="942"/>
      <c r="AA12" s="942"/>
      <c r="AB12" s="943"/>
      <c r="AC12" s="9"/>
      <c r="AD12" s="9"/>
      <c r="AE12" s="9"/>
      <c r="AF12" s="9"/>
      <c r="AG12" s="9"/>
      <c r="AH12" s="9"/>
      <c r="AI12" s="9"/>
      <c r="AJ12" s="9"/>
      <c r="AK12" s="9"/>
    </row>
    <row r="13" spans="1:37" s="4" customFormat="1" ht="12.75" customHeight="1" x14ac:dyDescent="0.2">
      <c r="A13" s="11"/>
      <c r="B13" s="944"/>
      <c r="C13" s="966"/>
      <c r="D13" s="967"/>
      <c r="E13" s="968"/>
      <c r="F13" s="972"/>
      <c r="G13" s="973"/>
      <c r="H13" s="974"/>
      <c r="I13" s="972"/>
      <c r="J13" s="973"/>
      <c r="K13" s="974"/>
      <c r="L13" s="975"/>
      <c r="M13" s="976"/>
      <c r="N13" s="977"/>
      <c r="O13" s="9"/>
      <c r="P13" s="1021">
        <f>IF(ISBLANK(case3ii_toque_ey_moment_max),"",(case3ii_toque_ey_moment_max))</f>
        <v>0</v>
      </c>
      <c r="Q13" s="1020"/>
      <c r="R13" s="1020"/>
      <c r="S13" s="1020"/>
      <c r="T13" s="1020">
        <f>IF(ISBLANK(case3ii_toque_ez_axial_max),"",(case3ii_toque_ez_axial_max))</f>
        <v>0</v>
      </c>
      <c r="U13" s="1020"/>
      <c r="V13" s="1020"/>
      <c r="W13" s="1020"/>
      <c r="X13" s="1020">
        <f>IF(ISBLANK(case3ii_toque_ex_shear_force_max),"",(case3ii_toque_ex_shear_force_max))</f>
        <v>0</v>
      </c>
      <c r="Y13" s="1020"/>
      <c r="Z13" s="1020"/>
      <c r="AA13" s="1020"/>
      <c r="AB13" s="1024"/>
      <c r="AC13" s="9"/>
      <c r="AD13" s="9"/>
      <c r="AE13" s="9"/>
      <c r="AF13" s="9"/>
      <c r="AG13" s="9"/>
      <c r="AH13" s="9"/>
      <c r="AI13" s="9"/>
      <c r="AJ13" s="9"/>
      <c r="AK13" s="9"/>
    </row>
    <row r="14" spans="1:37" s="4" customFormat="1" x14ac:dyDescent="0.2">
      <c r="A14" s="11"/>
      <c r="B14" s="962"/>
      <c r="C14" s="958" t="s">
        <v>1399</v>
      </c>
      <c r="D14" s="959"/>
      <c r="E14" s="959"/>
      <c r="F14" s="959"/>
      <c r="G14" s="959"/>
      <c r="H14" s="959"/>
      <c r="I14" s="959"/>
      <c r="J14" s="959"/>
      <c r="K14" s="959"/>
      <c r="L14" s="959"/>
      <c r="M14" s="959"/>
      <c r="N14" s="960"/>
      <c r="O14" s="9"/>
      <c r="P14" s="1021"/>
      <c r="Q14" s="1020"/>
      <c r="R14" s="1020"/>
      <c r="S14" s="1020"/>
      <c r="T14" s="1020"/>
      <c r="U14" s="1020"/>
      <c r="V14" s="1020"/>
      <c r="W14" s="1020"/>
      <c r="X14" s="1020"/>
      <c r="Y14" s="1020"/>
      <c r="Z14" s="1020"/>
      <c r="AA14" s="1020"/>
      <c r="AB14" s="1024"/>
      <c r="AC14" s="9"/>
      <c r="AD14" s="9"/>
      <c r="AE14" s="9"/>
      <c r="AF14" s="9"/>
      <c r="AG14" s="9"/>
      <c r="AH14" s="9"/>
      <c r="AI14" s="9"/>
      <c r="AJ14" s="9"/>
      <c r="AK14" s="9"/>
    </row>
    <row r="15" spans="1:37" s="4" customFormat="1" x14ac:dyDescent="0.2">
      <c r="A15" s="11"/>
      <c r="B15" s="1089" t="s">
        <v>1400</v>
      </c>
      <c r="C15" s="1092" t="str">
        <f>_xlfn.CONCAT("ESTUDO DE CVD DE 2ª EXTREMIDADE DA LINHA"," ",estudo_line_type," ","no"," ",estudo_connection_type," ",estudo_well_name)</f>
        <v>ESTUDO DE CVD DE 2ª EXTREMIDADE DA LINHA IA no Manifold MSIAG-03</v>
      </c>
      <c r="D15" s="1093"/>
      <c r="E15" s="1093"/>
      <c r="F15" s="1093"/>
      <c r="G15" s="1093"/>
      <c r="H15" s="1093"/>
      <c r="I15" s="1093"/>
      <c r="J15" s="1093"/>
      <c r="K15" s="1093"/>
      <c r="L15" s="1093"/>
      <c r="M15" s="1093"/>
      <c r="N15" s="1094"/>
      <c r="O15" s="9"/>
      <c r="P15" s="1107" t="s">
        <v>1401</v>
      </c>
      <c r="Q15" s="1108"/>
      <c r="R15" s="1108"/>
      <c r="S15" s="1108"/>
      <c r="T15" s="1108"/>
      <c r="U15" s="1108"/>
      <c r="V15" s="1108"/>
      <c r="W15" s="1108"/>
      <c r="X15" s="1108"/>
      <c r="Y15" s="1108"/>
      <c r="Z15" s="1108"/>
      <c r="AA15" s="1108"/>
      <c r="AB15" s="1109"/>
      <c r="AC15" s="9"/>
      <c r="AD15" s="9"/>
      <c r="AE15" s="9"/>
      <c r="AF15" s="9"/>
      <c r="AG15" s="9"/>
      <c r="AH15" s="9"/>
      <c r="AI15" s="9"/>
      <c r="AJ15" s="9"/>
      <c r="AK15" s="9"/>
    </row>
    <row r="16" spans="1:37" s="4" customFormat="1" ht="12.75" customHeight="1" x14ac:dyDescent="0.2">
      <c r="A16" s="11"/>
      <c r="B16" s="1090"/>
      <c r="C16" s="1095"/>
      <c r="D16" s="1096"/>
      <c r="E16" s="1096"/>
      <c r="F16" s="1096"/>
      <c r="G16" s="1096"/>
      <c r="H16" s="1096"/>
      <c r="I16" s="1096"/>
      <c r="J16" s="1096"/>
      <c r="K16" s="1096"/>
      <c r="L16" s="1096"/>
      <c r="M16" s="1096"/>
      <c r="N16" s="1097"/>
      <c r="O16" s="9"/>
      <c r="P16" s="950" t="s">
        <v>1402</v>
      </c>
      <c r="Q16" s="951"/>
      <c r="R16" s="951"/>
      <c r="S16" s="951"/>
      <c r="T16" s="951"/>
      <c r="U16" s="951"/>
      <c r="V16" s="951"/>
      <c r="W16" s="951"/>
      <c r="X16" s="951"/>
      <c r="Y16" s="951"/>
      <c r="Z16" s="951"/>
      <c r="AA16" s="951"/>
      <c r="AB16" s="952"/>
      <c r="AC16" s="9"/>
      <c r="AD16" s="9"/>
      <c r="AE16" s="9"/>
      <c r="AF16" s="9"/>
      <c r="AG16" s="9"/>
      <c r="AH16" s="9"/>
      <c r="AI16" s="9"/>
      <c r="AJ16" s="9"/>
      <c r="AK16" s="9"/>
    </row>
    <row r="17" spans="1:37" s="4" customFormat="1" x14ac:dyDescent="0.2">
      <c r="A17" s="11"/>
      <c r="B17" s="1091"/>
      <c r="C17" s="1098"/>
      <c r="D17" s="1099"/>
      <c r="E17" s="1099"/>
      <c r="F17" s="1099"/>
      <c r="G17" s="1099"/>
      <c r="H17" s="1099"/>
      <c r="I17" s="1099"/>
      <c r="J17" s="1099"/>
      <c r="K17" s="1099"/>
      <c r="L17" s="1099"/>
      <c r="M17" s="1099"/>
      <c r="N17" s="1100"/>
      <c r="O17" s="9"/>
      <c r="P17" s="1016" t="s">
        <v>1403</v>
      </c>
      <c r="Q17" s="1017"/>
      <c r="R17" s="1017" t="s">
        <v>1404</v>
      </c>
      <c r="S17" s="1017"/>
      <c r="T17" s="1017" t="s">
        <v>1405</v>
      </c>
      <c r="U17" s="1017"/>
      <c r="V17" s="1017" t="s">
        <v>1406</v>
      </c>
      <c r="W17" s="1017"/>
      <c r="X17" s="1017" t="s">
        <v>1407</v>
      </c>
      <c r="Y17" s="1017"/>
      <c r="Z17" s="1017" t="s">
        <v>1408</v>
      </c>
      <c r="AA17" s="1017"/>
      <c r="AB17" s="1018" t="s">
        <v>1409</v>
      </c>
      <c r="AC17" s="9"/>
      <c r="AD17" s="9"/>
      <c r="AE17" s="9"/>
      <c r="AF17" s="9"/>
      <c r="AG17" s="9"/>
      <c r="AH17" s="9"/>
      <c r="AI17" s="9"/>
      <c r="AJ17" s="9"/>
      <c r="AK17" s="9"/>
    </row>
    <row r="18" spans="1:37" s="4" customFormat="1" ht="13.5" customHeight="1" thickBot="1" x14ac:dyDescent="0.25">
      <c r="A18" s="11"/>
      <c r="B18" s="75" t="s">
        <v>1410</v>
      </c>
      <c r="C18" s="1101" t="str">
        <f xml:space="preserve"> IF(ISBLANK(estudo_requester),"",estudo_requester)</f>
        <v>Carlos Gonçalves</v>
      </c>
      <c r="D18" s="1102"/>
      <c r="E18" s="1102"/>
      <c r="F18" s="1102"/>
      <c r="G18" s="1102"/>
      <c r="H18" s="1102"/>
      <c r="I18" s="1102" t="str">
        <f>IF(ISBLANK(estudo_vessel_coordinator),"",estudo_vessel_coordinator)</f>
        <v>Tadeu Porto</v>
      </c>
      <c r="J18" s="1102"/>
      <c r="K18" s="1102"/>
      <c r="L18" s="1102"/>
      <c r="M18" s="1102"/>
      <c r="N18" s="1103"/>
      <c r="O18" s="9"/>
      <c r="P18" s="1016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8"/>
      <c r="AC18" s="9"/>
      <c r="AD18" s="9"/>
      <c r="AE18" s="9"/>
      <c r="AF18" s="9"/>
      <c r="AG18" s="9"/>
      <c r="AH18" s="9"/>
      <c r="AI18" s="9"/>
      <c r="AJ18" s="9"/>
      <c r="AK18" s="9"/>
    </row>
    <row r="19" spans="1:37" s="4" customFormat="1" x14ac:dyDescent="0.2">
      <c r="A19" s="9"/>
      <c r="B19" s="12"/>
      <c r="C19" s="9"/>
      <c r="D19" s="9"/>
      <c r="E19" s="9"/>
      <c r="F19" s="9"/>
      <c r="G19" s="9"/>
      <c r="H19" s="9"/>
      <c r="I19" s="9"/>
      <c r="J19" s="9"/>
      <c r="K19" s="9"/>
      <c r="L19" s="9"/>
      <c r="M19" s="12"/>
      <c r="N19" s="12"/>
      <c r="O19" s="9"/>
      <c r="P19" s="1016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8"/>
      <c r="AC19" s="9"/>
      <c r="AD19" s="9"/>
      <c r="AE19" s="9"/>
      <c r="AF19" s="9"/>
      <c r="AG19" s="9"/>
      <c r="AH19" s="9"/>
      <c r="AI19" s="9"/>
      <c r="AJ19" s="9"/>
      <c r="AK19" s="9"/>
    </row>
    <row r="20" spans="1:37" s="4" customForma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1019" t="e">
        <f>IF(ISBLANK(#REF!),"",(#REF!))</f>
        <v>#REF!</v>
      </c>
      <c r="Q20" s="1020"/>
      <c r="R20" s="1022" t="e">
        <f>IF(ISBLANK(#REF!),"",(#REF!))</f>
        <v>#REF!</v>
      </c>
      <c r="S20" s="1020"/>
      <c r="T20" s="1022" t="e">
        <f>IF(ISBLANK(#REF!),"",(#REF!))</f>
        <v>#REF!</v>
      </c>
      <c r="U20" s="1020"/>
      <c r="V20" s="1022" t="e">
        <f>IF(ISBLANK(#REF!),"",(#REF!))</f>
        <v>#REF!</v>
      </c>
      <c r="W20" s="1020"/>
      <c r="X20" s="1022" t="e">
        <f>IF(ISBLANK(#REF!),"",(#REF!))</f>
        <v>#REF!</v>
      </c>
      <c r="Y20" s="1020"/>
      <c r="Z20" s="1022" t="e">
        <f>IF(ISBLANK(#REF!),"",(#REF!))</f>
        <v>#REF!</v>
      </c>
      <c r="AA20" s="1020"/>
      <c r="AB20" s="1023" t="e">
        <f>IF(ISBLANK(#REF!),"",(#REF!))</f>
        <v>#REF!</v>
      </c>
      <c r="AC20" s="9"/>
      <c r="AD20" s="9"/>
      <c r="AE20" s="9"/>
      <c r="AF20" s="9"/>
      <c r="AG20" s="9"/>
      <c r="AH20" s="9"/>
      <c r="AI20" s="9"/>
      <c r="AJ20" s="9"/>
      <c r="AK20" s="9"/>
    </row>
    <row r="21" spans="1:37" s="4" customFormat="1" ht="12.75" customHeight="1" x14ac:dyDescent="0.2">
      <c r="A21" s="9"/>
      <c r="B21" s="953" t="s">
        <v>1411</v>
      </c>
      <c r="C21" s="953"/>
      <c r="D21" s="953"/>
      <c r="E21" s="953"/>
      <c r="F21" s="953"/>
      <c r="G21" s="953"/>
      <c r="H21" s="953"/>
      <c r="I21" s="953"/>
      <c r="J21" s="953"/>
      <c r="K21" s="953"/>
      <c r="L21" s="953"/>
      <c r="M21" s="953"/>
      <c r="N21" s="953"/>
      <c r="O21" s="9"/>
      <c r="P21" s="1021"/>
      <c r="Q21" s="1020"/>
      <c r="R21" s="1020"/>
      <c r="S21" s="1020"/>
      <c r="T21" s="1020"/>
      <c r="U21" s="1020"/>
      <c r="V21" s="1020"/>
      <c r="W21" s="1020"/>
      <c r="X21" s="1020"/>
      <c r="Y21" s="1020"/>
      <c r="Z21" s="1020"/>
      <c r="AA21" s="1020"/>
      <c r="AB21" s="1024"/>
      <c r="AC21" s="9"/>
      <c r="AD21" s="9"/>
      <c r="AE21" s="9"/>
      <c r="AF21" s="9"/>
      <c r="AG21" s="9"/>
      <c r="AH21" s="9"/>
      <c r="AI21" s="9"/>
      <c r="AJ21" s="9"/>
      <c r="AK21" s="9"/>
    </row>
    <row r="22" spans="1:37" s="4" customFormat="1" ht="12.75" customHeight="1" thickBot="1" x14ac:dyDescent="0.25">
      <c r="A22" s="9"/>
      <c r="B22" s="953"/>
      <c r="C22" s="953"/>
      <c r="D22" s="953"/>
      <c r="E22" s="953"/>
      <c r="F22" s="953"/>
      <c r="G22" s="953"/>
      <c r="H22" s="953"/>
      <c r="I22" s="953"/>
      <c r="J22" s="953"/>
      <c r="K22" s="953"/>
      <c r="L22" s="953"/>
      <c r="M22" s="953"/>
      <c r="N22" s="953"/>
      <c r="O22" s="9"/>
      <c r="P22" s="950" t="s">
        <v>1365</v>
      </c>
      <c r="Q22" s="951"/>
      <c r="R22" s="951"/>
      <c r="S22" s="951"/>
      <c r="T22" s="951"/>
      <c r="U22" s="951"/>
      <c r="V22" s="951"/>
      <c r="W22" s="951"/>
      <c r="X22" s="951"/>
      <c r="Y22" s="951"/>
      <c r="Z22" s="951"/>
      <c r="AA22" s="951"/>
      <c r="AB22" s="952"/>
      <c r="AC22" s="9"/>
      <c r="AD22" s="9"/>
      <c r="AE22" s="9"/>
      <c r="AF22" s="9"/>
      <c r="AG22" s="9"/>
      <c r="AH22" s="9"/>
      <c r="AI22" s="9"/>
      <c r="AJ22" s="9"/>
      <c r="AK22" s="9"/>
    </row>
    <row r="23" spans="1:37" s="4" customFormat="1" ht="12.75" customHeight="1" x14ac:dyDescent="0.2">
      <c r="A23" s="11"/>
      <c r="B23" s="1003" t="s">
        <v>1412</v>
      </c>
      <c r="C23" s="1004"/>
      <c r="D23" s="1004"/>
      <c r="E23" s="1004"/>
      <c r="F23" s="1004"/>
      <c r="G23" s="1004"/>
      <c r="H23" s="1005"/>
      <c r="I23" s="1006" t="s">
        <v>1413</v>
      </c>
      <c r="J23" s="1006"/>
      <c r="K23" s="1006"/>
      <c r="L23" s="1006"/>
      <c r="M23" s="1006"/>
      <c r="N23" s="1007"/>
      <c r="O23" s="9"/>
      <c r="P23" s="1025" t="s">
        <v>1414</v>
      </c>
      <c r="Q23" s="1026"/>
      <c r="R23" s="1026"/>
      <c r="S23" s="1026"/>
      <c r="T23" s="1026" t="s">
        <v>1415</v>
      </c>
      <c r="U23" s="1026"/>
      <c r="V23" s="1026"/>
      <c r="W23" s="1026"/>
      <c r="X23" s="1026"/>
      <c r="Y23" s="1026" t="s">
        <v>1416</v>
      </c>
      <c r="Z23" s="1026"/>
      <c r="AA23" s="1026"/>
      <c r="AB23" s="1018"/>
      <c r="AC23" s="9"/>
      <c r="AD23" s="9"/>
      <c r="AE23" s="9"/>
      <c r="AF23" s="9"/>
      <c r="AG23" s="9"/>
      <c r="AH23" s="9"/>
      <c r="AI23" s="9"/>
      <c r="AJ23" s="9"/>
      <c r="AK23" s="9"/>
    </row>
    <row r="24" spans="1:37" s="4" customFormat="1" x14ac:dyDescent="0.2">
      <c r="A24" s="11"/>
      <c r="B24" s="76" t="s">
        <v>1417</v>
      </c>
      <c r="C24" s="1008" t="s">
        <v>1418</v>
      </c>
      <c r="D24" s="1008"/>
      <c r="E24" s="1008"/>
      <c r="F24" s="1008"/>
      <c r="G24" s="1008"/>
      <c r="H24" s="1009"/>
      <c r="I24" s="33" t="s">
        <v>1419</v>
      </c>
      <c r="J24" s="1008" t="s">
        <v>1420</v>
      </c>
      <c r="K24" s="1008"/>
      <c r="L24" s="1008"/>
      <c r="M24" s="1008"/>
      <c r="N24" s="1010"/>
      <c r="O24" s="16"/>
      <c r="P24" s="944" t="e">
        <f>IF(ISBLANK(Results!#REF!)," ",(Results!#REF!))</f>
        <v>#REF!</v>
      </c>
      <c r="Q24" s="945"/>
      <c r="R24" s="945"/>
      <c r="S24" s="945"/>
      <c r="T24" s="931" t="e">
        <f>IF(ISBLANK(Results!#REF!),"",(Results!#REF!))</f>
        <v>#REF!</v>
      </c>
      <c r="U24" s="932"/>
      <c r="V24" s="932"/>
      <c r="W24" s="932"/>
      <c r="X24" s="934"/>
      <c r="Y24" s="931" t="e">
        <f>IF(#REF!&lt;=L65,_xlfn.CONCAT(L65," ","(*Vértebra Travada)"),#REF!)</f>
        <v>#REF!</v>
      </c>
      <c r="Z24" s="932"/>
      <c r="AA24" s="932"/>
      <c r="AB24" s="933"/>
      <c r="AC24" s="9"/>
      <c r="AD24" s="9"/>
      <c r="AE24" s="9"/>
      <c r="AF24" s="9"/>
      <c r="AG24" s="9"/>
      <c r="AH24" s="9"/>
      <c r="AI24" s="9"/>
      <c r="AJ24" s="9"/>
      <c r="AK24" s="9"/>
    </row>
    <row r="25" spans="1:37" s="4" customFormat="1" x14ac:dyDescent="0.2">
      <c r="A25" s="11"/>
      <c r="B25" s="1011" t="s">
        <v>1421</v>
      </c>
      <c r="C25" s="1012"/>
      <c r="D25" s="1013" t="str">
        <f>_xlfn.CONCAT(estudo_connection_type,"  ",estudo_well_name)</f>
        <v>Manifold  MSIAG-03</v>
      </c>
      <c r="E25" s="1013"/>
      <c r="F25" s="1013"/>
      <c r="G25" s="1013"/>
      <c r="H25" s="1014"/>
      <c r="I25" s="77" t="str">
        <f>_xlfn.CONCAT(estudo_line_type,":")</f>
        <v>IA:</v>
      </c>
      <c r="J25" s="1013" t="s">
        <v>1422</v>
      </c>
      <c r="K25" s="1013"/>
      <c r="L25" s="1013"/>
      <c r="M25" s="1013"/>
      <c r="N25" s="1015"/>
      <c r="O25" s="16"/>
      <c r="P25" s="944"/>
      <c r="Q25" s="945"/>
      <c r="R25" s="945"/>
      <c r="S25" s="945"/>
      <c r="T25" s="931"/>
      <c r="U25" s="932"/>
      <c r="V25" s="932"/>
      <c r="W25" s="932"/>
      <c r="X25" s="934"/>
      <c r="Y25" s="931"/>
      <c r="Z25" s="932"/>
      <c r="AA25" s="932"/>
      <c r="AB25" s="933"/>
      <c r="AC25" s="9"/>
      <c r="AD25" s="9"/>
      <c r="AE25" s="9"/>
      <c r="AF25" s="9"/>
      <c r="AG25" s="9"/>
      <c r="AH25" s="9"/>
      <c r="AI25" s="9"/>
      <c r="AJ25" s="9"/>
      <c r="AK25" s="9"/>
    </row>
    <row r="26" spans="1:37" s="4" customFormat="1" x14ac:dyDescent="0.2">
      <c r="A26" s="11"/>
      <c r="B26" s="1038" t="s">
        <v>1423</v>
      </c>
      <c r="C26" s="1039"/>
      <c r="D26" s="1013" t="str">
        <f>_xlfn.CONCAT(Values!C3," ","[m]")</f>
        <v>2301 [m]</v>
      </c>
      <c r="E26" s="1013"/>
      <c r="F26" s="1013"/>
      <c r="G26" s="1013"/>
      <c r="H26" s="1014"/>
      <c r="I26" s="37" t="s">
        <v>1424</v>
      </c>
      <c r="J26" s="1013" t="s">
        <v>1425</v>
      </c>
      <c r="K26" s="1013"/>
      <c r="L26" s="1013"/>
      <c r="M26" s="1013"/>
      <c r="N26" s="1015"/>
      <c r="O26" s="9"/>
      <c r="P26" s="950" t="s">
        <v>1426</v>
      </c>
      <c r="Q26" s="951"/>
      <c r="R26" s="951"/>
      <c r="S26" s="951"/>
      <c r="T26" s="951"/>
      <c r="U26" s="951"/>
      <c r="V26" s="951"/>
      <c r="W26" s="951"/>
      <c r="X26" s="951"/>
      <c r="Y26" s="951"/>
      <c r="Z26" s="951"/>
      <c r="AA26" s="951"/>
      <c r="AB26" s="952"/>
      <c r="AC26" s="9"/>
      <c r="AD26" s="9"/>
      <c r="AE26" s="9"/>
      <c r="AF26" s="9"/>
      <c r="AG26" s="9"/>
      <c r="AH26" s="9"/>
      <c r="AI26" s="9"/>
      <c r="AJ26" s="9"/>
      <c r="AK26" s="9"/>
    </row>
    <row r="27" spans="1:37" s="4" customFormat="1" x14ac:dyDescent="0.2">
      <c r="A27" s="11"/>
      <c r="B27" s="1038" t="s">
        <v>1427</v>
      </c>
      <c r="C27" s="1039"/>
      <c r="D27" s="1013" t="str">
        <f xml:space="preserve"> IF(ISBLANK(estudo_vessel_name)," ",estudo_vessel_name)</f>
        <v>Coral do Atlântico</v>
      </c>
      <c r="E27" s="1013"/>
      <c r="F27" s="1013"/>
      <c r="G27" s="1013"/>
      <c r="H27" s="1014"/>
      <c r="I27" s="77" t="s">
        <v>1428</v>
      </c>
      <c r="J27" s="1013" t="s">
        <v>1429</v>
      </c>
      <c r="K27" s="1013"/>
      <c r="L27" s="1013"/>
      <c r="M27" s="1013"/>
      <c r="N27" s="1015"/>
      <c r="O27" s="9"/>
      <c r="P27" s="935"/>
      <c r="Q27" s="936"/>
      <c r="R27" s="936"/>
      <c r="S27" s="936"/>
      <c r="T27" s="936"/>
      <c r="U27" s="936"/>
      <c r="V27" s="936"/>
      <c r="W27" s="936"/>
      <c r="X27" s="936"/>
      <c r="Y27" s="936"/>
      <c r="Z27" s="936"/>
      <c r="AA27" s="936"/>
      <c r="AB27" s="937"/>
      <c r="AC27" s="9"/>
      <c r="AD27" s="9"/>
      <c r="AE27" s="9"/>
      <c r="AF27" s="9"/>
      <c r="AG27" s="9"/>
      <c r="AH27" s="9"/>
      <c r="AI27" s="9"/>
      <c r="AJ27" s="9"/>
      <c r="AK27" s="9"/>
    </row>
    <row r="28" spans="1:37" s="4" customFormat="1" x14ac:dyDescent="0.2">
      <c r="A28" s="11"/>
      <c r="B28" s="78" t="s">
        <v>1430</v>
      </c>
      <c r="C28" s="1013" t="str">
        <f>IF(ISBLANK(estudo_field_name),"",estudo_field_name)</f>
        <v>BERBIGÃO</v>
      </c>
      <c r="D28" s="1013"/>
      <c r="E28" s="1013"/>
      <c r="F28" s="1013"/>
      <c r="G28" s="1013"/>
      <c r="H28" s="1014"/>
      <c r="I28" s="77" t="s">
        <v>1431</v>
      </c>
      <c r="J28" s="1013" t="s">
        <v>1432</v>
      </c>
      <c r="K28" s="1013"/>
      <c r="L28" s="1013"/>
      <c r="M28" s="1013"/>
      <c r="N28" s="1015"/>
      <c r="O28" s="9"/>
      <c r="P28" s="935"/>
      <c r="Q28" s="936"/>
      <c r="R28" s="936"/>
      <c r="S28" s="936"/>
      <c r="T28" s="936"/>
      <c r="U28" s="936"/>
      <c r="V28" s="936"/>
      <c r="W28" s="936"/>
      <c r="X28" s="936"/>
      <c r="Y28" s="936"/>
      <c r="Z28" s="936"/>
      <c r="AA28" s="936"/>
      <c r="AB28" s="937"/>
      <c r="AC28" s="9"/>
      <c r="AD28" s="9"/>
      <c r="AE28" s="9"/>
      <c r="AF28" s="9"/>
      <c r="AG28" s="9"/>
      <c r="AH28" s="9"/>
      <c r="AI28" s="9"/>
      <c r="AJ28" s="9"/>
      <c r="AK28" s="9"/>
    </row>
    <row r="29" spans="1:37" s="4" customFormat="1" x14ac:dyDescent="0.2">
      <c r="A29" s="11"/>
      <c r="B29" s="13" t="s">
        <v>1433</v>
      </c>
      <c r="C29" s="1013" t="str">
        <f>_xlfn.CONCAT("ORCAFLEX versão"," ", postproc_orcaflex_version)</f>
        <v>ORCAFLEX versão 0</v>
      </c>
      <c r="D29" s="1013"/>
      <c r="E29" s="1013"/>
      <c r="F29" s="1013"/>
      <c r="G29" s="1013"/>
      <c r="H29" s="1014"/>
      <c r="I29" s="77" t="s">
        <v>1434</v>
      </c>
      <c r="J29" s="1027" t="s">
        <v>1435</v>
      </c>
      <c r="K29" s="1027"/>
      <c r="L29" s="1027"/>
      <c r="M29" s="1027"/>
      <c r="N29" s="1028"/>
      <c r="O29" s="9"/>
      <c r="P29" s="935"/>
      <c r="Q29" s="936"/>
      <c r="R29" s="936"/>
      <c r="S29" s="936"/>
      <c r="T29" s="936"/>
      <c r="U29" s="936"/>
      <c r="V29" s="936"/>
      <c r="W29" s="936"/>
      <c r="X29" s="936"/>
      <c r="Y29" s="936"/>
      <c r="Z29" s="936"/>
      <c r="AA29" s="936"/>
      <c r="AB29" s="937"/>
      <c r="AC29" s="9"/>
      <c r="AD29" s="9"/>
      <c r="AE29" s="9"/>
      <c r="AF29" s="9"/>
      <c r="AG29" s="9"/>
      <c r="AH29" s="9"/>
      <c r="AI29" s="9"/>
      <c r="AJ29" s="9"/>
      <c r="AK29" s="9"/>
    </row>
    <row r="30" spans="1:37" s="4" customFormat="1" x14ac:dyDescent="0.2">
      <c r="A30" s="11"/>
      <c r="B30" s="1029" t="s">
        <v>1436</v>
      </c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1"/>
      <c r="O30" s="9"/>
      <c r="P30" s="935"/>
      <c r="Q30" s="936"/>
      <c r="R30" s="936"/>
      <c r="S30" s="936"/>
      <c r="T30" s="936"/>
      <c r="U30" s="936"/>
      <c r="V30" s="936"/>
      <c r="W30" s="936"/>
      <c r="X30" s="936"/>
      <c r="Y30" s="936"/>
      <c r="Z30" s="936"/>
      <c r="AA30" s="936"/>
      <c r="AB30" s="937"/>
      <c r="AC30" s="9"/>
      <c r="AD30" s="9"/>
      <c r="AE30" s="9"/>
      <c r="AF30" s="9"/>
      <c r="AG30" s="9"/>
      <c r="AH30" s="9"/>
      <c r="AI30" s="9"/>
      <c r="AJ30" s="9"/>
      <c r="AK30" s="9"/>
    </row>
    <row r="31" spans="1:37" s="4" customFormat="1" x14ac:dyDescent="0.2">
      <c r="A31" s="11"/>
      <c r="B31" s="79" t="s">
        <v>1437</v>
      </c>
      <c r="C31" s="1032" t="s">
        <v>1438</v>
      </c>
      <c r="D31" s="1033"/>
      <c r="E31" s="1034"/>
      <c r="F31" s="14" t="s">
        <v>1439</v>
      </c>
      <c r="G31" s="1035" t="s">
        <v>1440</v>
      </c>
      <c r="H31" s="1036"/>
      <c r="I31" s="1036"/>
      <c r="J31" s="1036"/>
      <c r="K31" s="1036"/>
      <c r="L31" s="1036"/>
      <c r="M31" s="1036"/>
      <c r="N31" s="1037"/>
      <c r="O31" s="9"/>
      <c r="P31" s="935"/>
      <c r="Q31" s="936"/>
      <c r="R31" s="936"/>
      <c r="S31" s="936"/>
      <c r="T31" s="936"/>
      <c r="U31" s="936"/>
      <c r="V31" s="936"/>
      <c r="W31" s="936"/>
      <c r="X31" s="936"/>
      <c r="Y31" s="936"/>
      <c r="Z31" s="936"/>
      <c r="AA31" s="936"/>
      <c r="AB31" s="937"/>
      <c r="AC31" s="9"/>
      <c r="AD31" s="9"/>
      <c r="AE31" s="9"/>
      <c r="AF31" s="9"/>
      <c r="AG31" s="9"/>
      <c r="AH31" s="9"/>
      <c r="AI31" s="9"/>
      <c r="AJ31" s="9"/>
      <c r="AK31" s="9"/>
    </row>
    <row r="32" spans="1:37" s="4" customFormat="1" ht="12.75" customHeight="1" x14ac:dyDescent="0.2">
      <c r="A32" s="11"/>
      <c r="B32" s="1050" t="s">
        <v>1441</v>
      </c>
      <c r="C32" s="1048" t="str">
        <f xml:space="preserve"> IF(ISBLANK(estudo_rl_doc),"",estudo_rl_doc)</f>
        <v>RL-3A52.00-1500-94G-PZ9-038</v>
      </c>
      <c r="D32" s="1008"/>
      <c r="E32" s="1009"/>
      <c r="F32" s="1054">
        <f xml:space="preserve"> estudo_rl_rev</f>
        <v>0</v>
      </c>
      <c r="G32" s="1048" t="str">
        <f xml:space="preserve"> IF(ISBLANK(estudo_rl_titulo),"",estudo_rl_titulo)</f>
        <v>Duto de injeção de água do poço I-SRR-011B da P-68 (Lado Manifold) - Análise de esforços em equip. Sub. (MCV)</v>
      </c>
      <c r="H32" s="1008"/>
      <c r="I32" s="1008"/>
      <c r="J32" s="1008"/>
      <c r="K32" s="1008"/>
      <c r="L32" s="1008"/>
      <c r="M32" s="1008"/>
      <c r="N32" s="1010"/>
      <c r="O32" s="9"/>
      <c r="P32" s="935"/>
      <c r="Q32" s="936"/>
      <c r="R32" s="936"/>
      <c r="S32" s="936"/>
      <c r="T32" s="936"/>
      <c r="U32" s="936"/>
      <c r="V32" s="936"/>
      <c r="W32" s="936"/>
      <c r="X32" s="936"/>
      <c r="Y32" s="936"/>
      <c r="Z32" s="936"/>
      <c r="AA32" s="936"/>
      <c r="AB32" s="937"/>
      <c r="AC32" s="9"/>
      <c r="AD32" s="9"/>
      <c r="AE32" s="9"/>
      <c r="AF32" s="9"/>
      <c r="AG32" s="9"/>
      <c r="AH32" s="9"/>
      <c r="AI32" s="9"/>
      <c r="AJ32" s="9"/>
      <c r="AK32" s="9"/>
    </row>
    <row r="33" spans="1:51" s="4" customFormat="1" x14ac:dyDescent="0.2">
      <c r="A33" s="11"/>
      <c r="B33" s="1051"/>
      <c r="C33" s="1052"/>
      <c r="D33" s="1027"/>
      <c r="E33" s="1053"/>
      <c r="F33" s="1055"/>
      <c r="G33" s="1052"/>
      <c r="H33" s="1027"/>
      <c r="I33" s="1027"/>
      <c r="J33" s="1027"/>
      <c r="K33" s="1027"/>
      <c r="L33" s="1027"/>
      <c r="M33" s="1027"/>
      <c r="N33" s="1028"/>
      <c r="O33" s="9"/>
      <c r="P33" s="935"/>
      <c r="Q33" s="936"/>
      <c r="R33" s="936"/>
      <c r="S33" s="936"/>
      <c r="T33" s="936"/>
      <c r="U33" s="936"/>
      <c r="V33" s="936"/>
      <c r="W33" s="936"/>
      <c r="X33" s="936"/>
      <c r="Y33" s="936"/>
      <c r="Z33" s="936"/>
      <c r="AA33" s="936"/>
      <c r="AB33" s="937"/>
      <c r="AC33" s="9"/>
      <c r="AD33" s="9"/>
      <c r="AE33" s="9"/>
      <c r="AF33" s="9"/>
      <c r="AG33" s="9"/>
      <c r="AH33" s="9"/>
      <c r="AI33" s="9"/>
      <c r="AJ33" s="9"/>
      <c r="AK33" s="9"/>
    </row>
    <row r="34" spans="1:51" s="4" customFormat="1" outlineLevel="1" x14ac:dyDescent="0.2">
      <c r="A34" s="11"/>
      <c r="B34" s="1050" t="s">
        <v>1442</v>
      </c>
      <c r="C34" s="1048" t="str">
        <f xml:space="preserve"> IF(ISBLANK(estudo_rt_doc),"",estudo_rt_doc)</f>
        <v>RT-2517</v>
      </c>
      <c r="D34" s="1008"/>
      <c r="E34" s="1009"/>
      <c r="F34" s="1054">
        <f xml:space="preserve"> estudo_rt_rev</f>
        <v>0</v>
      </c>
      <c r="G34" s="1048" t="str">
        <f xml:space="preserve"> IF(ISBLANK(estudo_rt_titulo),"",estudo_rt_titulo)</f>
        <v>Estudo de CVD de 1° no Manifold MSIAG-03</v>
      </c>
      <c r="H34" s="1008"/>
      <c r="I34" s="1008"/>
      <c r="J34" s="1008"/>
      <c r="K34" s="1008"/>
      <c r="L34" s="1008"/>
      <c r="M34" s="1008"/>
      <c r="N34" s="1010"/>
      <c r="O34" s="9"/>
      <c r="P34" s="935"/>
      <c r="Q34" s="936"/>
      <c r="R34" s="936"/>
      <c r="S34" s="936"/>
      <c r="T34" s="936"/>
      <c r="U34" s="936"/>
      <c r="V34" s="936"/>
      <c r="W34" s="936"/>
      <c r="X34" s="936"/>
      <c r="Y34" s="936"/>
      <c r="Z34" s="936"/>
      <c r="AA34" s="936"/>
      <c r="AB34" s="937"/>
      <c r="AC34" s="9"/>
      <c r="AD34" s="9"/>
      <c r="AE34" s="9"/>
      <c r="AF34" s="9"/>
      <c r="AG34" s="9"/>
      <c r="AH34" s="9"/>
      <c r="AI34" s="9"/>
      <c r="AJ34" s="9"/>
      <c r="AK34" s="9"/>
    </row>
    <row r="35" spans="1:51" s="4" customFormat="1" ht="13.5" outlineLevel="1" thickBot="1" x14ac:dyDescent="0.25">
      <c r="A35" s="11"/>
      <c r="B35" s="1056"/>
      <c r="C35" s="1057"/>
      <c r="D35" s="1058"/>
      <c r="E35" s="1059"/>
      <c r="F35" s="1060"/>
      <c r="G35" s="1057"/>
      <c r="H35" s="1058"/>
      <c r="I35" s="1058"/>
      <c r="J35" s="1058"/>
      <c r="K35" s="1058"/>
      <c r="L35" s="1058"/>
      <c r="M35" s="1058"/>
      <c r="N35" s="1061"/>
      <c r="O35" s="9"/>
      <c r="P35" s="935"/>
      <c r="Q35" s="936"/>
      <c r="R35" s="936"/>
      <c r="S35" s="936"/>
      <c r="T35" s="936"/>
      <c r="U35" s="936"/>
      <c r="V35" s="936"/>
      <c r="W35" s="936"/>
      <c r="X35" s="936"/>
      <c r="Y35" s="936"/>
      <c r="Z35" s="936"/>
      <c r="AA35" s="936"/>
      <c r="AB35" s="937"/>
      <c r="AC35" s="9"/>
      <c r="AD35" s="9"/>
      <c r="AE35" s="9"/>
      <c r="AF35" s="9"/>
      <c r="AG35" s="9"/>
      <c r="AH35" s="9"/>
      <c r="AI35" s="9"/>
      <c r="AJ35" s="9"/>
      <c r="AK35" s="9"/>
    </row>
    <row r="36" spans="1:51" s="4" customFormat="1" x14ac:dyDescent="0.2">
      <c r="A36" s="9"/>
      <c r="B36" s="12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35"/>
      <c r="Q36" s="936"/>
      <c r="R36" s="936"/>
      <c r="S36" s="936"/>
      <c r="T36" s="936"/>
      <c r="U36" s="936"/>
      <c r="V36" s="936"/>
      <c r="W36" s="936"/>
      <c r="X36" s="936"/>
      <c r="Y36" s="936"/>
      <c r="Z36" s="936"/>
      <c r="AA36" s="936"/>
      <c r="AB36" s="937"/>
      <c r="AC36" s="9"/>
      <c r="AD36" s="9"/>
      <c r="AE36" s="9"/>
      <c r="AF36" s="9"/>
      <c r="AG36" s="9"/>
      <c r="AH36" s="9"/>
      <c r="AI36" s="9"/>
      <c r="AJ36" s="9"/>
      <c r="AK36" s="9"/>
    </row>
    <row r="37" spans="1:51" s="4" customForma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35"/>
      <c r="Q37" s="936"/>
      <c r="R37" s="936"/>
      <c r="S37" s="936"/>
      <c r="T37" s="936"/>
      <c r="U37" s="936"/>
      <c r="V37" s="936"/>
      <c r="W37" s="936"/>
      <c r="X37" s="936"/>
      <c r="Y37" s="936"/>
      <c r="Z37" s="936"/>
      <c r="AA37" s="936"/>
      <c r="AB37" s="937"/>
      <c r="AC37" s="9"/>
      <c r="AD37" s="9"/>
      <c r="AE37" s="9"/>
      <c r="AF37" s="9"/>
      <c r="AG37" s="9"/>
      <c r="AH37" s="9"/>
      <c r="AI37" s="9"/>
      <c r="AJ37" s="9"/>
      <c r="AK37" s="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</row>
    <row r="38" spans="1:51" s="4" customFormat="1" x14ac:dyDescent="0.2">
      <c r="A38" s="9"/>
      <c r="B38" s="953" t="s">
        <v>1443</v>
      </c>
      <c r="C38" s="953"/>
      <c r="D38" s="953"/>
      <c r="E38" s="953"/>
      <c r="F38" s="953"/>
      <c r="G38" s="953"/>
      <c r="H38" s="953"/>
      <c r="I38" s="953"/>
      <c r="J38" s="953"/>
      <c r="K38" s="953"/>
      <c r="L38" s="953"/>
      <c r="M38" s="953"/>
      <c r="N38" s="953"/>
      <c r="O38" s="9"/>
      <c r="P38" s="935"/>
      <c r="Q38" s="936"/>
      <c r="R38" s="936"/>
      <c r="S38" s="936"/>
      <c r="T38" s="936"/>
      <c r="U38" s="936"/>
      <c r="V38" s="936"/>
      <c r="W38" s="936"/>
      <c r="X38" s="936"/>
      <c r="Y38" s="936"/>
      <c r="Z38" s="936"/>
      <c r="AA38" s="936"/>
      <c r="AB38" s="937"/>
      <c r="AC38" s="9"/>
      <c r="AD38" s="9"/>
      <c r="AE38" s="9"/>
      <c r="AF38" s="9"/>
      <c r="AG38" s="9"/>
      <c r="AH38" s="9"/>
      <c r="AI38" s="9"/>
      <c r="AJ38" s="9"/>
      <c r="AK38" s="9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</row>
    <row r="39" spans="1:51" s="4" customFormat="1" ht="13.5" thickBot="1" x14ac:dyDescent="0.25">
      <c r="A39" s="9"/>
      <c r="B39" s="953"/>
      <c r="C39" s="953"/>
      <c r="D39" s="953"/>
      <c r="E39" s="953"/>
      <c r="F39" s="953"/>
      <c r="G39" s="953"/>
      <c r="H39" s="953"/>
      <c r="I39" s="953"/>
      <c r="J39" s="953"/>
      <c r="K39" s="953"/>
      <c r="L39" s="953"/>
      <c r="M39" s="953"/>
      <c r="N39" s="953"/>
      <c r="O39" s="9"/>
      <c r="P39" s="935"/>
      <c r="Q39" s="936"/>
      <c r="R39" s="936"/>
      <c r="S39" s="936"/>
      <c r="T39" s="936"/>
      <c r="U39" s="936"/>
      <c r="V39" s="936"/>
      <c r="W39" s="936"/>
      <c r="X39" s="936"/>
      <c r="Y39" s="936"/>
      <c r="Z39" s="936"/>
      <c r="AA39" s="936"/>
      <c r="AB39" s="937"/>
      <c r="AC39" s="9"/>
      <c r="AD39" s="9"/>
      <c r="AE39" s="9"/>
      <c r="AF39" s="9"/>
      <c r="AG39" s="9"/>
      <c r="AH39" s="9"/>
      <c r="AI39" s="9"/>
      <c r="AJ39" s="9"/>
      <c r="AK39" s="9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</row>
    <row r="40" spans="1:51" s="4" customFormat="1" ht="12.75" customHeight="1" x14ac:dyDescent="0.2">
      <c r="A40" s="11"/>
      <c r="B40" s="1003" t="s">
        <v>1444</v>
      </c>
      <c r="C40" s="1004"/>
      <c r="D40" s="1004"/>
      <c r="E40" s="1004"/>
      <c r="F40" s="1004"/>
      <c r="G40" s="1005"/>
      <c r="H40" s="1040" t="s">
        <v>1445</v>
      </c>
      <c r="I40" s="1004"/>
      <c r="J40" s="1004"/>
      <c r="K40" s="1004"/>
      <c r="L40" s="1004"/>
      <c r="M40" s="1004"/>
      <c r="N40" s="1041"/>
      <c r="O40" s="9"/>
      <c r="P40" s="935"/>
      <c r="Q40" s="936"/>
      <c r="R40" s="936"/>
      <c r="S40" s="936"/>
      <c r="T40" s="936"/>
      <c r="U40" s="936"/>
      <c r="V40" s="936"/>
      <c r="W40" s="936"/>
      <c r="X40" s="936"/>
      <c r="Y40" s="936"/>
      <c r="Z40" s="936"/>
      <c r="AA40" s="936"/>
      <c r="AB40" s="937"/>
      <c r="AC40" s="9"/>
      <c r="AD40" s="9"/>
      <c r="AE40" s="9"/>
      <c r="AF40" s="9"/>
      <c r="AG40" s="9"/>
      <c r="AH40" s="9"/>
      <c r="AI40" s="9"/>
      <c r="AJ40" s="9"/>
      <c r="AK40" s="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</row>
    <row r="41" spans="1:51" s="4" customFormat="1" x14ac:dyDescent="0.2">
      <c r="A41" s="11"/>
      <c r="B41" s="1042" t="s">
        <v>1446</v>
      </c>
      <c r="C41" s="1043"/>
      <c r="D41" s="1043"/>
      <c r="E41" s="1043"/>
      <c r="F41" s="1043"/>
      <c r="G41" s="1044"/>
      <c r="H41" s="1048"/>
      <c r="I41" s="1008"/>
      <c r="J41" s="1008"/>
      <c r="K41" s="1008"/>
      <c r="L41" s="1008"/>
      <c r="M41" s="1008"/>
      <c r="N41" s="1010"/>
      <c r="O41" s="9"/>
      <c r="P41" s="935"/>
      <c r="Q41" s="936"/>
      <c r="R41" s="936"/>
      <c r="S41" s="936"/>
      <c r="T41" s="936"/>
      <c r="U41" s="936"/>
      <c r="V41" s="936"/>
      <c r="W41" s="936"/>
      <c r="X41" s="936"/>
      <c r="Y41" s="936"/>
      <c r="Z41" s="936"/>
      <c r="AA41" s="936"/>
      <c r="AB41" s="937"/>
      <c r="AC41" s="9"/>
      <c r="AD41" s="9"/>
      <c r="AE41" s="9"/>
      <c r="AF41" s="9"/>
      <c r="AG41" s="9"/>
      <c r="AH41" s="9"/>
      <c r="AI41" s="9"/>
      <c r="AJ41" s="9"/>
      <c r="AK41" s="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2"/>
    </row>
    <row r="42" spans="1:51" s="4" customFormat="1" x14ac:dyDescent="0.2">
      <c r="A42" s="11"/>
      <c r="B42" s="1045"/>
      <c r="C42" s="1046"/>
      <c r="D42" s="1046"/>
      <c r="E42" s="1046"/>
      <c r="F42" s="1046"/>
      <c r="G42" s="1047"/>
      <c r="H42" s="1049"/>
      <c r="I42" s="1013"/>
      <c r="J42" s="1013"/>
      <c r="K42" s="1013"/>
      <c r="L42" s="1013"/>
      <c r="M42" s="1013"/>
      <c r="N42" s="1015"/>
      <c r="O42" s="9"/>
      <c r="P42" s="935"/>
      <c r="Q42" s="936"/>
      <c r="R42" s="936"/>
      <c r="S42" s="936"/>
      <c r="T42" s="936"/>
      <c r="U42" s="936"/>
      <c r="V42" s="936"/>
      <c r="W42" s="936"/>
      <c r="X42" s="936"/>
      <c r="Y42" s="936"/>
      <c r="Z42" s="936"/>
      <c r="AA42" s="936"/>
      <c r="AB42" s="937"/>
      <c r="AC42" s="9"/>
      <c r="AD42" s="9"/>
      <c r="AE42" s="9"/>
      <c r="AF42" s="9"/>
      <c r="AG42" s="9"/>
      <c r="AH42" s="9"/>
      <c r="AI42" s="9"/>
      <c r="AJ42" s="9"/>
      <c r="AK42" s="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2"/>
    </row>
    <row r="43" spans="1:51" s="4" customFormat="1" ht="12.75" customHeight="1" x14ac:dyDescent="0.2">
      <c r="A43" s="11"/>
      <c r="B43" s="1045"/>
      <c r="C43" s="1046"/>
      <c r="D43" s="1046"/>
      <c r="E43" s="1046"/>
      <c r="F43" s="1046"/>
      <c r="G43" s="1047"/>
      <c r="H43" s="1049"/>
      <c r="I43" s="1013"/>
      <c r="J43" s="1013"/>
      <c r="K43" s="1013"/>
      <c r="L43" s="1013"/>
      <c r="M43" s="1013"/>
      <c r="N43" s="1015"/>
      <c r="O43" s="9"/>
      <c r="P43" s="935"/>
      <c r="Q43" s="936"/>
      <c r="R43" s="936"/>
      <c r="S43" s="936"/>
      <c r="T43" s="936"/>
      <c r="U43" s="936"/>
      <c r="V43" s="936"/>
      <c r="W43" s="936"/>
      <c r="X43" s="936"/>
      <c r="Y43" s="936"/>
      <c r="Z43" s="936"/>
      <c r="AA43" s="936"/>
      <c r="AB43" s="937"/>
      <c r="AC43" s="9"/>
      <c r="AD43" s="9"/>
      <c r="AE43" s="9"/>
      <c r="AF43" s="9"/>
      <c r="AG43" s="9"/>
      <c r="AH43" s="9"/>
      <c r="AI43" s="9"/>
      <c r="AJ43" s="9"/>
      <c r="AK43" s="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2"/>
    </row>
    <row r="44" spans="1:51" s="4" customFormat="1" ht="12.75" customHeight="1" x14ac:dyDescent="0.2">
      <c r="A44" s="11"/>
      <c r="B44" s="1045"/>
      <c r="C44" s="1046"/>
      <c r="D44" s="1046"/>
      <c r="E44" s="1046"/>
      <c r="F44" s="1046"/>
      <c r="G44" s="1047"/>
      <c r="H44" s="1049"/>
      <c r="I44" s="1013"/>
      <c r="J44" s="1013"/>
      <c r="K44" s="1013"/>
      <c r="L44" s="1013"/>
      <c r="M44" s="1013"/>
      <c r="N44" s="1015"/>
      <c r="O44" s="9"/>
      <c r="P44" s="935"/>
      <c r="Q44" s="936"/>
      <c r="R44" s="936"/>
      <c r="S44" s="936"/>
      <c r="T44" s="936"/>
      <c r="U44" s="936"/>
      <c r="V44" s="936"/>
      <c r="W44" s="936"/>
      <c r="X44" s="936"/>
      <c r="Y44" s="936"/>
      <c r="Z44" s="936"/>
      <c r="AA44" s="936"/>
      <c r="AB44" s="937"/>
      <c r="AC44" s="9"/>
      <c r="AD44" s="9"/>
      <c r="AE44" s="9"/>
      <c r="AF44" s="9"/>
      <c r="AG44" s="9"/>
      <c r="AH44" s="9"/>
      <c r="AI44" s="9"/>
      <c r="AJ44" s="9"/>
      <c r="AK44" s="9"/>
      <c r="AM44" s="31"/>
      <c r="AN44" s="22"/>
      <c r="AO44" s="31"/>
      <c r="AP44" s="22"/>
      <c r="AQ44" s="31"/>
      <c r="AR44" s="22"/>
      <c r="AS44" s="31"/>
      <c r="AT44" s="22"/>
      <c r="AU44" s="31"/>
      <c r="AV44" s="22"/>
      <c r="AW44" s="31"/>
      <c r="AX44" s="22"/>
      <c r="AY44" s="31"/>
    </row>
    <row r="45" spans="1:51" s="4" customFormat="1" x14ac:dyDescent="0.2">
      <c r="A45" s="11"/>
      <c r="B45" s="1045"/>
      <c r="C45" s="1046"/>
      <c r="D45" s="1046"/>
      <c r="E45" s="1046"/>
      <c r="F45" s="1046"/>
      <c r="G45" s="1047"/>
      <c r="H45" s="1049"/>
      <c r="I45" s="1013"/>
      <c r="J45" s="1013"/>
      <c r="K45" s="1013"/>
      <c r="L45" s="1013"/>
      <c r="M45" s="1013"/>
      <c r="N45" s="1015"/>
      <c r="O45" s="9"/>
      <c r="P45" s="935"/>
      <c r="Q45" s="936"/>
      <c r="R45" s="936"/>
      <c r="S45" s="936"/>
      <c r="T45" s="936"/>
      <c r="U45" s="936"/>
      <c r="V45" s="936"/>
      <c r="W45" s="936"/>
      <c r="X45" s="936"/>
      <c r="Y45" s="936"/>
      <c r="Z45" s="936"/>
      <c r="AA45" s="936"/>
      <c r="AB45" s="937"/>
      <c r="AC45" s="9"/>
      <c r="AD45" s="9"/>
      <c r="AE45" s="9"/>
      <c r="AF45" s="9"/>
      <c r="AG45" s="9"/>
      <c r="AH45" s="9"/>
      <c r="AI45" s="9"/>
      <c r="AJ45" s="9"/>
      <c r="AK45" s="9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</row>
    <row r="46" spans="1:51" s="4" customFormat="1" x14ac:dyDescent="0.2">
      <c r="A46" s="11"/>
      <c r="B46" s="1045"/>
      <c r="C46" s="1046"/>
      <c r="D46" s="1046"/>
      <c r="E46" s="1046"/>
      <c r="F46" s="1046"/>
      <c r="G46" s="1047"/>
      <c r="H46" s="1049"/>
      <c r="I46" s="1013"/>
      <c r="J46" s="1013"/>
      <c r="K46" s="1013"/>
      <c r="L46" s="1013"/>
      <c r="M46" s="1013"/>
      <c r="N46" s="1015"/>
      <c r="O46" s="9"/>
      <c r="P46" s="935"/>
      <c r="Q46" s="936"/>
      <c r="R46" s="936"/>
      <c r="S46" s="936"/>
      <c r="T46" s="936"/>
      <c r="U46" s="936"/>
      <c r="V46" s="936"/>
      <c r="W46" s="936"/>
      <c r="X46" s="936"/>
      <c r="Y46" s="936"/>
      <c r="Z46" s="936"/>
      <c r="AA46" s="936"/>
      <c r="AB46" s="937"/>
      <c r="AC46" s="9"/>
      <c r="AD46" s="9"/>
      <c r="AE46" s="9"/>
      <c r="AF46" s="9"/>
      <c r="AG46" s="9"/>
      <c r="AH46" s="9"/>
      <c r="AI46" s="9"/>
      <c r="AJ46" s="9"/>
      <c r="AK46" s="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</row>
    <row r="47" spans="1:51" s="4" customFormat="1" x14ac:dyDescent="0.2">
      <c r="A47" s="11"/>
      <c r="B47" s="1045"/>
      <c r="C47" s="1046"/>
      <c r="D47" s="1046"/>
      <c r="E47" s="1046"/>
      <c r="F47" s="1046"/>
      <c r="G47" s="1047"/>
      <c r="H47" s="1049"/>
      <c r="I47" s="1013"/>
      <c r="J47" s="1013"/>
      <c r="K47" s="1013"/>
      <c r="L47" s="1013"/>
      <c r="M47" s="1013"/>
      <c r="N47" s="1015"/>
      <c r="O47" s="13"/>
      <c r="P47" s="935"/>
      <c r="Q47" s="936"/>
      <c r="R47" s="936"/>
      <c r="S47" s="936"/>
      <c r="T47" s="936"/>
      <c r="U47" s="936"/>
      <c r="V47" s="936"/>
      <c r="W47" s="936"/>
      <c r="X47" s="936"/>
      <c r="Y47" s="936"/>
      <c r="Z47" s="936"/>
      <c r="AA47" s="936"/>
      <c r="AB47" s="937"/>
      <c r="AC47" s="9"/>
      <c r="AD47" s="9"/>
      <c r="AE47" s="9"/>
      <c r="AF47" s="9"/>
      <c r="AG47" s="9"/>
      <c r="AH47" s="9"/>
      <c r="AI47" s="9"/>
      <c r="AJ47" s="9"/>
      <c r="AK47" s="9"/>
    </row>
    <row r="48" spans="1:51" s="4" customFormat="1" ht="12.75" customHeight="1" x14ac:dyDescent="0.2">
      <c r="A48" s="11"/>
      <c r="B48" s="1045"/>
      <c r="C48" s="1046"/>
      <c r="D48" s="1046"/>
      <c r="E48" s="1046"/>
      <c r="F48" s="1046"/>
      <c r="G48" s="1047"/>
      <c r="H48" s="1049"/>
      <c r="I48" s="1013"/>
      <c r="J48" s="1013"/>
      <c r="K48" s="1013"/>
      <c r="L48" s="1013"/>
      <c r="M48" s="1013"/>
      <c r="N48" s="1015"/>
      <c r="O48" s="13"/>
      <c r="P48" s="935"/>
      <c r="Q48" s="936"/>
      <c r="R48" s="936"/>
      <c r="S48" s="936"/>
      <c r="T48" s="936"/>
      <c r="U48" s="936"/>
      <c r="V48" s="936"/>
      <c r="W48" s="936"/>
      <c r="X48" s="936"/>
      <c r="Y48" s="936"/>
      <c r="Z48" s="936"/>
      <c r="AA48" s="936"/>
      <c r="AB48" s="937"/>
      <c r="AC48" s="9"/>
      <c r="AD48" s="9"/>
      <c r="AE48" s="9"/>
      <c r="AF48" s="9"/>
      <c r="AG48" s="9"/>
      <c r="AH48" s="9"/>
      <c r="AI48" s="9"/>
      <c r="AJ48" s="9"/>
      <c r="AK48" s="9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1:50" s="4" customFormat="1" ht="12.75" customHeight="1" x14ac:dyDescent="0.2">
      <c r="A49" s="11"/>
      <c r="B49" s="1045"/>
      <c r="C49" s="1046"/>
      <c r="D49" s="1046"/>
      <c r="E49" s="1046"/>
      <c r="F49" s="1046"/>
      <c r="G49" s="1047"/>
      <c r="H49" s="1049"/>
      <c r="I49" s="1013"/>
      <c r="J49" s="1013"/>
      <c r="K49" s="1013"/>
      <c r="L49" s="1013"/>
      <c r="M49" s="1013"/>
      <c r="N49" s="1015"/>
      <c r="O49" s="13"/>
      <c r="P49" s="935"/>
      <c r="Q49" s="936"/>
      <c r="R49" s="936"/>
      <c r="S49" s="936"/>
      <c r="T49" s="936"/>
      <c r="U49" s="936"/>
      <c r="V49" s="936"/>
      <c r="W49" s="936"/>
      <c r="X49" s="936"/>
      <c r="Y49" s="936"/>
      <c r="Z49" s="936"/>
      <c r="AA49" s="936"/>
      <c r="AB49" s="937"/>
      <c r="AC49" s="9"/>
      <c r="AD49" s="9"/>
      <c r="AE49" s="9"/>
      <c r="AF49" s="9"/>
      <c r="AG49" s="9"/>
      <c r="AH49" s="9"/>
      <c r="AI49" s="9"/>
      <c r="AJ49" s="9"/>
      <c r="AK49" s="9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1:50" s="4" customFormat="1" ht="13.5" thickBot="1" x14ac:dyDescent="0.25">
      <c r="A50" s="11"/>
      <c r="B50" s="1045"/>
      <c r="C50" s="1046"/>
      <c r="D50" s="1046"/>
      <c r="E50" s="1046"/>
      <c r="F50" s="1046"/>
      <c r="G50" s="1047"/>
      <c r="H50" s="1049"/>
      <c r="I50" s="1013"/>
      <c r="J50" s="1013"/>
      <c r="K50" s="1013"/>
      <c r="L50" s="1013"/>
      <c r="M50" s="1013"/>
      <c r="N50" s="1015"/>
      <c r="O50" s="13"/>
      <c r="P50" s="938"/>
      <c r="Q50" s="939"/>
      <c r="R50" s="939"/>
      <c r="S50" s="939"/>
      <c r="T50" s="939"/>
      <c r="U50" s="939"/>
      <c r="V50" s="939"/>
      <c r="W50" s="939"/>
      <c r="X50" s="939"/>
      <c r="Y50" s="939"/>
      <c r="Z50" s="939"/>
      <c r="AA50" s="939"/>
      <c r="AB50" s="940"/>
      <c r="AC50" s="9"/>
      <c r="AD50" s="9"/>
      <c r="AE50" s="9"/>
      <c r="AF50" s="9"/>
      <c r="AG50" s="9"/>
      <c r="AH50" s="9"/>
      <c r="AI50" s="9"/>
      <c r="AJ50" s="9"/>
      <c r="AK50" s="9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1:50" s="4" customFormat="1" x14ac:dyDescent="0.2">
      <c r="A51" s="11"/>
      <c r="B51" s="1045"/>
      <c r="C51" s="1046"/>
      <c r="D51" s="1046"/>
      <c r="E51" s="1046"/>
      <c r="F51" s="1046"/>
      <c r="G51" s="1047"/>
      <c r="H51" s="1049"/>
      <c r="I51" s="1013"/>
      <c r="J51" s="1013"/>
      <c r="K51" s="1013"/>
      <c r="L51" s="1013"/>
      <c r="M51" s="1013"/>
      <c r="N51" s="1015"/>
      <c r="O51" s="13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"/>
      <c r="AD51" s="9"/>
      <c r="AE51" s="9"/>
      <c r="AF51" s="9"/>
      <c r="AG51" s="9"/>
      <c r="AH51" s="9"/>
      <c r="AI51" s="9"/>
      <c r="AJ51" s="9"/>
      <c r="AK51" s="9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1:50" s="4" customFormat="1" x14ac:dyDescent="0.2">
      <c r="A52" s="11"/>
      <c r="B52" s="1045"/>
      <c r="C52" s="1046"/>
      <c r="D52" s="1046"/>
      <c r="E52" s="1046"/>
      <c r="F52" s="1046"/>
      <c r="G52" s="1047"/>
      <c r="H52" s="1049"/>
      <c r="I52" s="1013"/>
      <c r="J52" s="1013"/>
      <c r="K52" s="1013"/>
      <c r="L52" s="1013"/>
      <c r="M52" s="1013"/>
      <c r="N52" s="1015"/>
      <c r="O52" s="13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"/>
      <c r="AD52" s="9"/>
      <c r="AE52" s="9"/>
      <c r="AF52" s="9"/>
      <c r="AG52" s="9"/>
      <c r="AH52" s="9"/>
      <c r="AI52" s="9"/>
      <c r="AJ52" s="9"/>
      <c r="AK52" s="9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1:50" s="4" customFormat="1" x14ac:dyDescent="0.2">
      <c r="A53" s="11"/>
      <c r="B53" s="1045"/>
      <c r="C53" s="1046"/>
      <c r="D53" s="1046"/>
      <c r="E53" s="1046"/>
      <c r="F53" s="1046"/>
      <c r="G53" s="1047"/>
      <c r="H53" s="1049"/>
      <c r="I53" s="1013"/>
      <c r="J53" s="1013"/>
      <c r="K53" s="1013"/>
      <c r="L53" s="1013"/>
      <c r="M53" s="1013"/>
      <c r="N53" s="1015"/>
      <c r="O53" s="9"/>
      <c r="P53" s="953" t="s">
        <v>1447</v>
      </c>
      <c r="Q53" s="953"/>
      <c r="R53" s="953"/>
      <c r="S53" s="953"/>
      <c r="T53" s="953"/>
      <c r="U53" s="953"/>
      <c r="V53" s="953"/>
      <c r="W53" s="953"/>
      <c r="X53" s="953"/>
      <c r="Y53" s="953"/>
      <c r="Z53" s="953"/>
      <c r="AA53" s="953"/>
      <c r="AB53" s="953"/>
      <c r="AC53" s="9"/>
      <c r="AD53" s="41"/>
      <c r="AE53" s="15"/>
      <c r="AF53" s="15"/>
      <c r="AG53" s="15"/>
      <c r="AH53" s="15"/>
      <c r="AI53" s="15"/>
      <c r="AJ53" s="15"/>
      <c r="AK53" s="9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1:50" s="4" customFormat="1" ht="12.75" customHeight="1" thickBot="1" x14ac:dyDescent="0.25">
      <c r="A54" s="11"/>
      <c r="B54" s="1045"/>
      <c r="C54" s="1046"/>
      <c r="D54" s="1046"/>
      <c r="E54" s="1046"/>
      <c r="F54" s="1046"/>
      <c r="G54" s="1047"/>
      <c r="H54" s="1049"/>
      <c r="I54" s="1013"/>
      <c r="J54" s="1013"/>
      <c r="K54" s="1013"/>
      <c r="L54" s="1013"/>
      <c r="M54" s="1013"/>
      <c r="N54" s="1015"/>
      <c r="O54" s="9"/>
      <c r="P54" s="953"/>
      <c r="Q54" s="953"/>
      <c r="R54" s="953"/>
      <c r="S54" s="953"/>
      <c r="T54" s="953"/>
      <c r="U54" s="953"/>
      <c r="V54" s="953"/>
      <c r="W54" s="953"/>
      <c r="X54" s="953"/>
      <c r="Y54" s="953"/>
      <c r="Z54" s="953"/>
      <c r="AA54" s="953"/>
      <c r="AB54" s="953"/>
      <c r="AC54" s="9"/>
      <c r="AD54" s="15"/>
      <c r="AE54" s="15"/>
      <c r="AF54" s="15"/>
      <c r="AG54" s="15"/>
      <c r="AH54" s="15"/>
      <c r="AI54" s="15"/>
      <c r="AJ54" s="15"/>
      <c r="AK54" s="9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1:50" s="4" customFormat="1" ht="12.75" customHeight="1" x14ac:dyDescent="0.2">
      <c r="A55" s="11"/>
      <c r="B55" s="1045"/>
      <c r="C55" s="1046"/>
      <c r="D55" s="1046"/>
      <c r="E55" s="1046"/>
      <c r="F55" s="1046"/>
      <c r="G55" s="1047"/>
      <c r="H55" s="1049"/>
      <c r="I55" s="1013"/>
      <c r="J55" s="1013"/>
      <c r="K55" s="1013"/>
      <c r="L55" s="1013"/>
      <c r="M55" s="1013"/>
      <c r="N55" s="1015"/>
      <c r="O55" s="9"/>
      <c r="P55" s="954" t="s">
        <v>1448</v>
      </c>
      <c r="Q55" s="955"/>
      <c r="R55" s="955"/>
      <c r="S55" s="955"/>
      <c r="T55" s="955"/>
      <c r="U55" s="955"/>
      <c r="V55" s="955"/>
      <c r="W55" s="955"/>
      <c r="X55" s="955"/>
      <c r="Y55" s="955"/>
      <c r="Z55" s="955"/>
      <c r="AA55" s="955"/>
      <c r="AB55" s="956"/>
      <c r="AC55" s="9"/>
      <c r="AD55" s="15"/>
      <c r="AE55" s="15"/>
      <c r="AF55" s="15"/>
      <c r="AG55" s="15"/>
      <c r="AH55" s="15"/>
      <c r="AI55" s="15"/>
      <c r="AJ55" s="15"/>
      <c r="AK55" s="9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1:50" s="4" customFormat="1" ht="13.5" thickBot="1" x14ac:dyDescent="0.25">
      <c r="A56" s="11"/>
      <c r="B56" s="1045"/>
      <c r="C56" s="1046"/>
      <c r="D56" s="1046"/>
      <c r="E56" s="1046"/>
      <c r="F56" s="1046"/>
      <c r="G56" s="1047"/>
      <c r="H56" s="1049"/>
      <c r="I56" s="1013"/>
      <c r="J56" s="1013"/>
      <c r="K56" s="1013"/>
      <c r="L56" s="1013"/>
      <c r="M56" s="1013"/>
      <c r="N56" s="1015"/>
      <c r="O56" s="9"/>
      <c r="P56" s="957"/>
      <c r="Q56" s="932"/>
      <c r="R56" s="932"/>
      <c r="S56" s="932"/>
      <c r="T56" s="932"/>
      <c r="U56" s="932"/>
      <c r="V56" s="932"/>
      <c r="W56" s="932"/>
      <c r="X56" s="932"/>
      <c r="Y56" s="932"/>
      <c r="Z56" s="932"/>
      <c r="AA56" s="932"/>
      <c r="AB56" s="933"/>
      <c r="AC56" s="9"/>
      <c r="AD56" s="15"/>
      <c r="AE56" s="15"/>
      <c r="AF56" s="15"/>
      <c r="AG56" s="15"/>
      <c r="AH56" s="15"/>
      <c r="AI56" s="15"/>
      <c r="AJ56" s="15"/>
      <c r="AK56" s="9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1:50" s="4" customFormat="1" ht="12.75" customHeight="1" x14ac:dyDescent="0.2">
      <c r="A57" s="11"/>
      <c r="B57" s="954" t="s">
        <v>1275</v>
      </c>
      <c r="C57" s="1063"/>
      <c r="D57" s="1063"/>
      <c r="E57" s="1063"/>
      <c r="F57" s="1063"/>
      <c r="G57" s="1063"/>
      <c r="H57" s="955" t="s">
        <v>1449</v>
      </c>
      <c r="I57" s="955"/>
      <c r="J57" s="955"/>
      <c r="K57" s="955"/>
      <c r="L57" s="955"/>
      <c r="M57" s="955"/>
      <c r="N57" s="956"/>
      <c r="O57" s="9"/>
      <c r="P57" s="957"/>
      <c r="Q57" s="932"/>
      <c r="R57" s="932"/>
      <c r="S57" s="932"/>
      <c r="T57" s="932"/>
      <c r="U57" s="932"/>
      <c r="V57" s="932"/>
      <c r="W57" s="932"/>
      <c r="X57" s="932"/>
      <c r="Y57" s="932"/>
      <c r="Z57" s="932"/>
      <c r="AA57" s="932"/>
      <c r="AB57" s="933"/>
      <c r="AC57" s="9"/>
      <c r="AD57" s="15"/>
      <c r="AE57" s="15"/>
      <c r="AF57" s="15"/>
      <c r="AG57" s="15"/>
      <c r="AH57" s="15"/>
      <c r="AI57" s="15"/>
      <c r="AJ57" s="15"/>
      <c r="AK57" s="9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1:50" s="4" customFormat="1" ht="12.75" customHeight="1" x14ac:dyDescent="0.2">
      <c r="A58" s="11"/>
      <c r="B58" s="80" t="s">
        <v>1450</v>
      </c>
      <c r="C58" s="1026" t="s">
        <v>6</v>
      </c>
      <c r="D58" s="1026"/>
      <c r="E58" s="1026"/>
      <c r="F58" s="1026"/>
      <c r="G58" s="1026"/>
      <c r="H58" s="1026" t="s">
        <v>1451</v>
      </c>
      <c r="I58" s="1026"/>
      <c r="J58" s="1026"/>
      <c r="K58" s="44" t="s">
        <v>1452</v>
      </c>
      <c r="L58" s="1026" t="s">
        <v>1453</v>
      </c>
      <c r="M58" s="1026"/>
      <c r="N58" s="45" t="s">
        <v>1454</v>
      </c>
      <c r="O58" s="13"/>
      <c r="P58" s="957"/>
      <c r="Q58" s="932"/>
      <c r="R58" s="932"/>
      <c r="S58" s="932"/>
      <c r="T58" s="932"/>
      <c r="U58" s="932"/>
      <c r="V58" s="932"/>
      <c r="W58" s="932"/>
      <c r="X58" s="932"/>
      <c r="Y58" s="932"/>
      <c r="Z58" s="932"/>
      <c r="AA58" s="932"/>
      <c r="AB58" s="933"/>
      <c r="AC58" s="9"/>
      <c r="AD58" s="15"/>
      <c r="AE58" s="15"/>
      <c r="AF58" s="15"/>
      <c r="AG58" s="15"/>
      <c r="AH58" s="15"/>
      <c r="AI58" s="15"/>
      <c r="AJ58" s="15"/>
      <c r="AK58" s="9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1:50" s="4" customFormat="1" ht="12.75" customHeight="1" x14ac:dyDescent="0.2">
      <c r="A59" s="11"/>
      <c r="B59" s="1062" t="s">
        <v>1455</v>
      </c>
      <c r="C59" s="1013" t="str">
        <f xml:space="preserve"> IF(ISBLANK(data_nome_estrutura),"",data_nome_estrutura)</f>
        <v>WSI 152.2547-RD-4042-X Rev. 2</v>
      </c>
      <c r="D59" s="1013"/>
      <c r="E59" s="1013"/>
      <c r="F59" s="1013"/>
      <c r="G59" s="1013"/>
      <c r="H59" s="1046" t="s">
        <v>1456</v>
      </c>
      <c r="I59" s="1046"/>
      <c r="J59" s="1046"/>
      <c r="K59" s="1013" t="s">
        <v>1282</v>
      </c>
      <c r="L59" s="1013" t="s">
        <v>1457</v>
      </c>
      <c r="M59" s="1013"/>
      <c r="N59" s="1015" t="s">
        <v>1458</v>
      </c>
      <c r="O59" s="13"/>
      <c r="P59" s="957"/>
      <c r="Q59" s="932"/>
      <c r="R59" s="932"/>
      <c r="S59" s="932"/>
      <c r="T59" s="932"/>
      <c r="U59" s="932"/>
      <c r="V59" s="932"/>
      <c r="W59" s="932"/>
      <c r="X59" s="932"/>
      <c r="Y59" s="932"/>
      <c r="Z59" s="932"/>
      <c r="AA59" s="932"/>
      <c r="AB59" s="933"/>
      <c r="AC59" s="9"/>
      <c r="AD59" s="15"/>
      <c r="AE59" s="15"/>
      <c r="AF59" s="15"/>
      <c r="AG59" s="15"/>
      <c r="AH59" s="15"/>
      <c r="AI59" s="15"/>
      <c r="AJ59" s="15"/>
      <c r="AK59" s="9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1:50" s="4" customFormat="1" x14ac:dyDescent="0.2">
      <c r="A60" s="11"/>
      <c r="B60" s="1062"/>
      <c r="C60" s="1013"/>
      <c r="D60" s="1013"/>
      <c r="E60" s="1013"/>
      <c r="F60" s="1013"/>
      <c r="G60" s="1013"/>
      <c r="H60" s="1046"/>
      <c r="I60" s="1046"/>
      <c r="J60" s="1046"/>
      <c r="K60" s="1013"/>
      <c r="L60" s="1013"/>
      <c r="M60" s="1013"/>
      <c r="N60" s="1015"/>
      <c r="O60" s="13"/>
      <c r="P60" s="957"/>
      <c r="Q60" s="932"/>
      <c r="R60" s="932"/>
      <c r="S60" s="932"/>
      <c r="T60" s="932"/>
      <c r="U60" s="932"/>
      <c r="V60" s="932"/>
      <c r="W60" s="932"/>
      <c r="X60" s="932"/>
      <c r="Y60" s="932"/>
      <c r="Z60" s="932"/>
      <c r="AA60" s="932"/>
      <c r="AB60" s="933"/>
      <c r="AC60" s="9"/>
      <c r="AD60" s="15"/>
      <c r="AE60" s="15"/>
      <c r="AF60" s="15"/>
      <c r="AG60" s="15"/>
      <c r="AH60" s="15"/>
      <c r="AI60" s="15"/>
      <c r="AJ60" s="15"/>
      <c r="AK60" s="9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1:50" s="4" customFormat="1" ht="12.75" customHeight="1" x14ac:dyDescent="0.2">
      <c r="A61" s="11"/>
      <c r="B61" s="1062" t="s">
        <v>1459</v>
      </c>
      <c r="C61" s="1013" t="str">
        <f xml:space="preserve">  IF(ISBLANK(data_nome_vertebra),"",data_nome_vertebra)</f>
        <v>CB-BR1522543-00-01 Rev. 1</v>
      </c>
      <c r="D61" s="1013"/>
      <c r="E61" s="1013"/>
      <c r="F61" s="1013"/>
      <c r="G61" s="1013"/>
      <c r="H61" s="1046" t="s">
        <v>1460</v>
      </c>
      <c r="I61" s="1046"/>
      <c r="J61" s="1046"/>
      <c r="K61" s="1013" t="s">
        <v>1282</v>
      </c>
      <c r="L61" s="1013">
        <v>0.5</v>
      </c>
      <c r="M61" s="1013"/>
      <c r="N61" s="1015" t="s">
        <v>1461</v>
      </c>
      <c r="O61" s="13"/>
      <c r="P61" s="957"/>
      <c r="Q61" s="932"/>
      <c r="R61" s="932"/>
      <c r="S61" s="932"/>
      <c r="T61" s="932"/>
      <c r="U61" s="932"/>
      <c r="V61" s="932"/>
      <c r="W61" s="932"/>
      <c r="X61" s="932"/>
      <c r="Y61" s="932"/>
      <c r="Z61" s="932"/>
      <c r="AA61" s="932"/>
      <c r="AB61" s="933"/>
      <c r="AC61" s="9"/>
      <c r="AD61" s="15"/>
      <c r="AE61" s="15"/>
      <c r="AF61" s="15"/>
      <c r="AG61" s="15"/>
      <c r="AH61" s="15"/>
      <c r="AI61" s="15"/>
      <c r="AJ61" s="15"/>
      <c r="AK61" s="9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1:50" s="4" customFormat="1" x14ac:dyDescent="0.2">
      <c r="A62" s="11"/>
      <c r="B62" s="1062"/>
      <c r="C62" s="1013"/>
      <c r="D62" s="1013"/>
      <c r="E62" s="1013"/>
      <c r="F62" s="1013"/>
      <c r="G62" s="1013"/>
      <c r="H62" s="1046"/>
      <c r="I62" s="1046"/>
      <c r="J62" s="1046"/>
      <c r="K62" s="1013"/>
      <c r="L62" s="1013"/>
      <c r="M62" s="1013"/>
      <c r="N62" s="1015"/>
      <c r="O62" s="13"/>
      <c r="P62" s="957"/>
      <c r="Q62" s="932"/>
      <c r="R62" s="932"/>
      <c r="S62" s="932"/>
      <c r="T62" s="932"/>
      <c r="U62" s="932"/>
      <c r="V62" s="932"/>
      <c r="W62" s="932"/>
      <c r="X62" s="932"/>
      <c r="Y62" s="932"/>
      <c r="Z62" s="932"/>
      <c r="AA62" s="932"/>
      <c r="AB62" s="933"/>
      <c r="AC62" s="9"/>
      <c r="AD62" s="15"/>
      <c r="AE62" s="15"/>
      <c r="AF62" s="15"/>
      <c r="AG62" s="15"/>
      <c r="AH62" s="15"/>
      <c r="AI62" s="15"/>
      <c r="AJ62" s="15"/>
      <c r="AK62" s="9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1:50" s="4" customFormat="1" ht="12.75" customHeight="1" x14ac:dyDescent="0.2">
      <c r="A63" s="11"/>
      <c r="B63" s="1062" t="s">
        <v>1462</v>
      </c>
      <c r="C63" s="1013" t="str">
        <f xml:space="preserve"> IF(ISBLANK(data_nome_conector),"",data_nome_conector)</f>
        <v>CB-EF1522543-00-04 Rev. 2</v>
      </c>
      <c r="D63" s="1013"/>
      <c r="E63" s="1013"/>
      <c r="F63" s="1013"/>
      <c r="G63" s="1013"/>
      <c r="H63" s="1046" t="s">
        <v>1463</v>
      </c>
      <c r="I63" s="1046"/>
      <c r="J63" s="1046"/>
      <c r="K63" s="1013" t="s">
        <v>1441</v>
      </c>
      <c r="L63" s="1013">
        <f>IF(ISBLANK(('MCV e Guindaste'!B8)*10^-3),"",('MCV e Guindaste'!B8)*10^-3)</f>
        <v>3.81</v>
      </c>
      <c r="M63" s="1013"/>
      <c r="N63" s="1015" t="s">
        <v>1461</v>
      </c>
      <c r="O63" s="13"/>
      <c r="P63" s="957"/>
      <c r="Q63" s="932"/>
      <c r="R63" s="932"/>
      <c r="S63" s="932"/>
      <c r="T63" s="932"/>
      <c r="U63" s="932"/>
      <c r="V63" s="932"/>
      <c r="W63" s="932"/>
      <c r="X63" s="932"/>
      <c r="Y63" s="932"/>
      <c r="Z63" s="932"/>
      <c r="AA63" s="932"/>
      <c r="AB63" s="933"/>
      <c r="AC63" s="9"/>
      <c r="AD63" s="15"/>
      <c r="AE63" s="34"/>
      <c r="AF63" s="34"/>
      <c r="AG63" s="34"/>
      <c r="AH63" s="34"/>
      <c r="AI63" s="34"/>
      <c r="AJ63" s="34"/>
      <c r="AK63" s="34"/>
      <c r="AL63" s="22"/>
      <c r="AM63" s="22"/>
      <c r="AN63" s="22"/>
      <c r="AO63" s="22"/>
      <c r="AP63" s="22"/>
      <c r="AQ63" s="22"/>
      <c r="AR63" s="32"/>
      <c r="AS63" s="32"/>
      <c r="AT63" s="32"/>
      <c r="AU63" s="32"/>
      <c r="AV63" s="32"/>
      <c r="AW63" s="32"/>
      <c r="AX63" s="32"/>
    </row>
    <row r="64" spans="1:50" s="4" customFormat="1" x14ac:dyDescent="0.2">
      <c r="A64" s="11"/>
      <c r="B64" s="1062"/>
      <c r="C64" s="1013"/>
      <c r="D64" s="1013"/>
      <c r="E64" s="1013"/>
      <c r="F64" s="1013"/>
      <c r="G64" s="1013"/>
      <c r="H64" s="1046"/>
      <c r="I64" s="1046"/>
      <c r="J64" s="1046"/>
      <c r="K64" s="1013"/>
      <c r="L64" s="1013"/>
      <c r="M64" s="1013"/>
      <c r="N64" s="1015"/>
      <c r="O64" s="13"/>
      <c r="P64" s="957"/>
      <c r="Q64" s="932"/>
      <c r="R64" s="932"/>
      <c r="S64" s="932"/>
      <c r="T64" s="932"/>
      <c r="U64" s="932"/>
      <c r="V64" s="932"/>
      <c r="W64" s="932"/>
      <c r="X64" s="932"/>
      <c r="Y64" s="932"/>
      <c r="Z64" s="932"/>
      <c r="AA64" s="932"/>
      <c r="AB64" s="933"/>
      <c r="AC64" s="9"/>
      <c r="AD64" s="15"/>
      <c r="AE64" s="34"/>
      <c r="AF64" s="34"/>
      <c r="AG64" s="34"/>
      <c r="AH64" s="34"/>
      <c r="AI64" s="34"/>
      <c r="AJ64" s="34"/>
      <c r="AK64" s="34"/>
      <c r="AL64" s="22"/>
      <c r="AM64" s="22"/>
      <c r="AN64" s="22"/>
      <c r="AO64" s="22"/>
      <c r="AP64" s="22"/>
      <c r="AQ64" s="22"/>
      <c r="AR64" s="32"/>
      <c r="AS64" s="32"/>
      <c r="AT64" s="32"/>
      <c r="AU64" s="32"/>
      <c r="AV64" s="32"/>
      <c r="AW64" s="32"/>
      <c r="AX64" s="32"/>
    </row>
    <row r="65" spans="1:51" s="4" customFormat="1" ht="12.75" customHeight="1" x14ac:dyDescent="0.2">
      <c r="A65" s="11"/>
      <c r="B65" s="1062" t="s">
        <v>1464</v>
      </c>
      <c r="C65" s="1013" t="str">
        <f>IF(ISBLANK(data_nome_mcv),"",data_nome_mcv)</f>
        <v>TechnipFMC / D</v>
      </c>
      <c r="D65" s="1013"/>
      <c r="E65" s="1013"/>
      <c r="F65" s="1013"/>
      <c r="G65" s="1013"/>
      <c r="H65" s="1046" t="s">
        <v>1465</v>
      </c>
      <c r="I65" s="1046"/>
      <c r="J65" s="1046"/>
      <c r="K65" s="1013" t="s">
        <v>1441</v>
      </c>
      <c r="L65" s="1013">
        <f>IF(ISBLANK(Values!C27),"",(Values!C27))</f>
        <v>2.86</v>
      </c>
      <c r="M65" s="1013"/>
      <c r="N65" s="1015" t="s">
        <v>1461</v>
      </c>
      <c r="O65" s="13"/>
      <c r="P65" s="957"/>
      <c r="Q65" s="932"/>
      <c r="R65" s="932"/>
      <c r="S65" s="932"/>
      <c r="T65" s="932"/>
      <c r="U65" s="932"/>
      <c r="V65" s="932"/>
      <c r="W65" s="932"/>
      <c r="X65" s="932"/>
      <c r="Y65" s="932"/>
      <c r="Z65" s="932"/>
      <c r="AA65" s="932"/>
      <c r="AB65" s="933"/>
      <c r="AC65" s="9"/>
      <c r="AD65" s="15"/>
      <c r="AE65" s="35"/>
      <c r="AF65" s="35"/>
      <c r="AG65" s="35"/>
      <c r="AH65" s="35"/>
      <c r="AI65" s="35"/>
      <c r="AJ65" s="35"/>
      <c r="AK65" s="35"/>
      <c r="AL65" s="29"/>
      <c r="AM65" s="29"/>
      <c r="AN65" s="29"/>
      <c r="AO65" s="29"/>
      <c r="AP65" s="29"/>
      <c r="AQ65" s="29"/>
      <c r="AR65" s="32"/>
      <c r="AS65" s="32"/>
      <c r="AT65" s="32"/>
      <c r="AU65" s="32"/>
      <c r="AV65" s="32"/>
      <c r="AW65" s="32"/>
      <c r="AX65" s="32"/>
    </row>
    <row r="66" spans="1:51" s="4" customFormat="1" x14ac:dyDescent="0.2">
      <c r="A66" s="11"/>
      <c r="B66" s="1062"/>
      <c r="C66" s="1013"/>
      <c r="D66" s="1013"/>
      <c r="E66" s="1013"/>
      <c r="F66" s="1013"/>
      <c r="G66" s="1013"/>
      <c r="H66" s="1046"/>
      <c r="I66" s="1046"/>
      <c r="J66" s="1046"/>
      <c r="K66" s="1013"/>
      <c r="L66" s="1013"/>
      <c r="M66" s="1013"/>
      <c r="N66" s="1015"/>
      <c r="O66" s="9"/>
      <c r="P66" s="957"/>
      <c r="Q66" s="932"/>
      <c r="R66" s="932"/>
      <c r="S66" s="932"/>
      <c r="T66" s="932"/>
      <c r="U66" s="932"/>
      <c r="V66" s="932"/>
      <c r="W66" s="932"/>
      <c r="X66" s="932"/>
      <c r="Y66" s="932"/>
      <c r="Z66" s="932"/>
      <c r="AA66" s="932"/>
      <c r="AB66" s="933"/>
      <c r="AC66" s="9"/>
      <c r="AD66" s="15"/>
      <c r="AE66" s="35"/>
      <c r="AF66" s="35"/>
      <c r="AG66" s="35"/>
      <c r="AH66" s="35"/>
      <c r="AI66" s="35"/>
      <c r="AJ66" s="35"/>
      <c r="AK66" s="35"/>
      <c r="AL66" s="29"/>
      <c r="AM66" s="29"/>
      <c r="AN66" s="29"/>
      <c r="AO66" s="29"/>
      <c r="AP66" s="29"/>
      <c r="AQ66" s="29"/>
      <c r="AR66" s="32"/>
      <c r="AS66" s="32"/>
      <c r="AT66" s="32"/>
      <c r="AU66" s="32"/>
      <c r="AV66" s="32"/>
      <c r="AW66" s="32"/>
      <c r="AX66" s="32"/>
    </row>
    <row r="67" spans="1:51" s="4" customFormat="1" ht="12.75" customHeight="1" x14ac:dyDescent="0.2">
      <c r="A67" s="11"/>
      <c r="B67" s="1119"/>
      <c r="C67" s="1120"/>
      <c r="D67" s="1120"/>
      <c r="E67" s="1120"/>
      <c r="F67" s="1120"/>
      <c r="G67" s="1120"/>
      <c r="H67" s="1046" t="s">
        <v>1466</v>
      </c>
      <c r="I67" s="1046"/>
      <c r="J67" s="1046"/>
      <c r="K67" s="1013" t="s">
        <v>1441</v>
      </c>
      <c r="L67" s="1069">
        <f>IF(ISBLANK(Values!C13),"",(Values!C13))</f>
        <v>2.5049999999999999</v>
      </c>
      <c r="M67" s="1069"/>
      <c r="N67" s="1015" t="s">
        <v>1461</v>
      </c>
      <c r="O67" s="9"/>
      <c r="P67" s="957"/>
      <c r="Q67" s="932"/>
      <c r="R67" s="932"/>
      <c r="S67" s="932"/>
      <c r="T67" s="932"/>
      <c r="U67" s="932"/>
      <c r="V67" s="932"/>
      <c r="W67" s="932"/>
      <c r="X67" s="932"/>
      <c r="Y67" s="932"/>
      <c r="Z67" s="932"/>
      <c r="AA67" s="932"/>
      <c r="AB67" s="933"/>
      <c r="AC67" s="9"/>
      <c r="AD67" s="15"/>
      <c r="AE67" s="15"/>
      <c r="AF67" s="15"/>
      <c r="AG67" s="15"/>
      <c r="AH67" s="15"/>
      <c r="AI67" s="15"/>
      <c r="AJ67" s="15"/>
      <c r="AK67" s="9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1:51" s="4" customFormat="1" x14ac:dyDescent="0.2">
      <c r="A68" s="11"/>
      <c r="B68" s="1119"/>
      <c r="C68" s="1120"/>
      <c r="D68" s="1120"/>
      <c r="E68" s="1120"/>
      <c r="F68" s="1120"/>
      <c r="G68" s="1120"/>
      <c r="H68" s="1046"/>
      <c r="I68" s="1046"/>
      <c r="J68" s="1046"/>
      <c r="K68" s="1013"/>
      <c r="L68" s="1069"/>
      <c r="M68" s="1069"/>
      <c r="N68" s="1015"/>
      <c r="O68" s="9"/>
      <c r="P68" s="957"/>
      <c r="Q68" s="932"/>
      <c r="R68" s="932"/>
      <c r="S68" s="932"/>
      <c r="T68" s="932"/>
      <c r="U68" s="932"/>
      <c r="V68" s="932"/>
      <c r="W68" s="932"/>
      <c r="X68" s="932"/>
      <c r="Y68" s="932"/>
      <c r="Z68" s="932"/>
      <c r="AA68" s="932"/>
      <c r="AB68" s="933"/>
      <c r="AC68" s="9"/>
      <c r="AD68" s="15"/>
      <c r="AE68" s="15"/>
      <c r="AF68" s="15"/>
      <c r="AG68" s="15"/>
      <c r="AH68" s="15"/>
      <c r="AI68" s="15"/>
      <c r="AJ68" s="15"/>
      <c r="AK68" s="9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1" s="4" customFormat="1" x14ac:dyDescent="0.2">
      <c r="A69" s="11"/>
      <c r="B69" s="1119"/>
      <c r="C69" s="1120"/>
      <c r="D69" s="1120"/>
      <c r="E69" s="1120"/>
      <c r="F69" s="1120"/>
      <c r="G69" s="1120"/>
      <c r="H69" s="1046" t="s">
        <v>1467</v>
      </c>
      <c r="I69" s="1046"/>
      <c r="J69" s="1046"/>
      <c r="K69" s="1013" t="s">
        <v>1441</v>
      </c>
      <c r="L69" s="1069">
        <f>IF(ISBLANK(Values!C28),"N/A",(Values!C28))</f>
        <v>57</v>
      </c>
      <c r="M69" s="1069"/>
      <c r="N69" s="1015" t="s">
        <v>1292</v>
      </c>
      <c r="O69" s="9"/>
      <c r="P69" s="957"/>
      <c r="Q69" s="932"/>
      <c r="R69" s="932"/>
      <c r="S69" s="932"/>
      <c r="T69" s="932"/>
      <c r="U69" s="932"/>
      <c r="V69" s="932"/>
      <c r="W69" s="932"/>
      <c r="X69" s="932"/>
      <c r="Y69" s="932"/>
      <c r="Z69" s="932"/>
      <c r="AA69" s="932"/>
      <c r="AB69" s="933"/>
      <c r="AC69" s="9"/>
      <c r="AD69" s="15"/>
      <c r="AE69" s="15"/>
      <c r="AF69" s="15"/>
      <c r="AG69" s="15"/>
      <c r="AH69" s="15"/>
      <c r="AI69" s="15"/>
      <c r="AJ69" s="15"/>
      <c r="AK69" s="9"/>
    </row>
    <row r="70" spans="1:51" s="4" customFormat="1" x14ac:dyDescent="0.2">
      <c r="A70" s="11"/>
      <c r="B70" s="1119"/>
      <c r="C70" s="1120"/>
      <c r="D70" s="1120"/>
      <c r="E70" s="1120"/>
      <c r="F70" s="1120"/>
      <c r="G70" s="1120"/>
      <c r="H70" s="1046"/>
      <c r="I70" s="1046"/>
      <c r="J70" s="1046"/>
      <c r="K70" s="1013"/>
      <c r="L70" s="1069"/>
      <c r="M70" s="1069"/>
      <c r="N70" s="1015"/>
      <c r="O70" s="9"/>
      <c r="P70" s="957"/>
      <c r="Q70" s="932"/>
      <c r="R70" s="932"/>
      <c r="S70" s="932"/>
      <c r="T70" s="932"/>
      <c r="U70" s="932"/>
      <c r="V70" s="932"/>
      <c r="W70" s="932"/>
      <c r="X70" s="932"/>
      <c r="Y70" s="932"/>
      <c r="Z70" s="932"/>
      <c r="AA70" s="932"/>
      <c r="AB70" s="933"/>
      <c r="AC70" s="9"/>
      <c r="AD70" s="15"/>
      <c r="AE70" s="15"/>
      <c r="AF70" s="15"/>
      <c r="AG70" s="15"/>
      <c r="AH70" s="15"/>
      <c r="AI70" s="15"/>
      <c r="AJ70" s="15"/>
      <c r="AK70" s="9"/>
    </row>
    <row r="71" spans="1:51" s="4" customFormat="1" x14ac:dyDescent="0.2">
      <c r="A71" s="11"/>
      <c r="B71" s="1119"/>
      <c r="C71" s="1120"/>
      <c r="D71" s="1120"/>
      <c r="E71" s="1120"/>
      <c r="F71" s="1120"/>
      <c r="G71" s="1120"/>
      <c r="H71" s="1046" t="s">
        <v>1468</v>
      </c>
      <c r="I71" s="1046"/>
      <c r="J71" s="1046"/>
      <c r="K71" s="1013" t="s">
        <v>1441</v>
      </c>
      <c r="L71" s="1069">
        <f xml:space="preserve"> IF( ISBLANK(Values!C29),"N/A",(Values!C29))</f>
        <v>43</v>
      </c>
      <c r="M71" s="1069"/>
      <c r="N71" s="1015" t="s">
        <v>1295</v>
      </c>
      <c r="O71" s="9"/>
      <c r="P71" s="957"/>
      <c r="Q71" s="932"/>
      <c r="R71" s="932"/>
      <c r="S71" s="932"/>
      <c r="T71" s="932"/>
      <c r="U71" s="932"/>
      <c r="V71" s="932"/>
      <c r="W71" s="932"/>
      <c r="X71" s="932"/>
      <c r="Y71" s="932"/>
      <c r="Z71" s="932"/>
      <c r="AA71" s="932"/>
      <c r="AB71" s="933"/>
      <c r="AC71" s="9"/>
      <c r="AD71" s="15"/>
      <c r="AE71" s="15"/>
      <c r="AF71" s="15"/>
      <c r="AG71" s="15"/>
      <c r="AH71" s="15"/>
      <c r="AI71" s="15"/>
      <c r="AJ71" s="15"/>
      <c r="AK71" s="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</row>
    <row r="72" spans="1:51" s="4" customFormat="1" x14ac:dyDescent="0.2">
      <c r="A72" s="11"/>
      <c r="B72" s="1119"/>
      <c r="C72" s="1120"/>
      <c r="D72" s="1120"/>
      <c r="E72" s="1120"/>
      <c r="F72" s="1120"/>
      <c r="G72" s="1120"/>
      <c r="H72" s="1046"/>
      <c r="I72" s="1046"/>
      <c r="J72" s="1046"/>
      <c r="K72" s="1013"/>
      <c r="L72" s="1069"/>
      <c r="M72" s="1069"/>
      <c r="N72" s="1015"/>
      <c r="O72" s="9"/>
      <c r="P72" s="957"/>
      <c r="Q72" s="932"/>
      <c r="R72" s="932"/>
      <c r="S72" s="932"/>
      <c r="T72" s="932"/>
      <c r="U72" s="932"/>
      <c r="V72" s="932"/>
      <c r="W72" s="932"/>
      <c r="X72" s="932"/>
      <c r="Y72" s="932"/>
      <c r="Z72" s="932"/>
      <c r="AA72" s="932"/>
      <c r="AB72" s="933"/>
      <c r="AC72" s="9"/>
      <c r="AD72" s="15"/>
      <c r="AE72" s="15"/>
      <c r="AF72" s="15"/>
      <c r="AG72" s="15"/>
      <c r="AH72" s="15"/>
      <c r="AI72" s="15"/>
      <c r="AJ72" s="15"/>
      <c r="AK72" s="9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</row>
    <row r="73" spans="1:51" s="4" customFormat="1" ht="13.5" thickBot="1" x14ac:dyDescent="0.25">
      <c r="A73" s="11"/>
      <c r="B73" s="1113" t="s">
        <v>1469</v>
      </c>
      <c r="C73" s="1114"/>
      <c r="D73" s="1114"/>
      <c r="E73" s="1114"/>
      <c r="F73" s="1114"/>
      <c r="G73" s="1114"/>
      <c r="H73" s="1114"/>
      <c r="I73" s="1114"/>
      <c r="J73" s="1114"/>
      <c r="K73" s="1114"/>
      <c r="L73" s="1114"/>
      <c r="M73" s="1114"/>
      <c r="N73" s="1115"/>
      <c r="O73" s="9"/>
      <c r="P73" s="957"/>
      <c r="Q73" s="932"/>
      <c r="R73" s="932"/>
      <c r="S73" s="932"/>
      <c r="T73" s="932"/>
      <c r="U73" s="932"/>
      <c r="V73" s="932"/>
      <c r="W73" s="932"/>
      <c r="X73" s="932"/>
      <c r="Y73" s="932"/>
      <c r="Z73" s="932"/>
      <c r="AA73" s="932"/>
      <c r="AB73" s="933"/>
      <c r="AC73" s="9"/>
      <c r="AD73" s="15"/>
      <c r="AE73" s="15"/>
      <c r="AF73" s="15"/>
      <c r="AG73" s="15"/>
      <c r="AH73" s="15"/>
      <c r="AI73" s="15"/>
      <c r="AJ73" s="15"/>
      <c r="AK73" s="9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</row>
    <row r="74" spans="1:51" s="4" customFormat="1" ht="12.75" customHeight="1" x14ac:dyDescent="0.2">
      <c r="A74" s="11"/>
      <c r="B74" s="1064" t="s">
        <v>1470</v>
      </c>
      <c r="C74" s="1046"/>
      <c r="D74" s="1046"/>
      <c r="E74" s="1046"/>
      <c r="F74" s="1046"/>
      <c r="G74" s="1046"/>
      <c r="H74" s="1046"/>
      <c r="I74" s="1046"/>
      <c r="J74" s="1046"/>
      <c r="K74" s="1046"/>
      <c r="L74" s="1046"/>
      <c r="M74" s="1046"/>
      <c r="N74" s="1065"/>
      <c r="O74" s="9"/>
      <c r="P74" s="957"/>
      <c r="Q74" s="932"/>
      <c r="R74" s="932"/>
      <c r="S74" s="932"/>
      <c r="T74" s="932"/>
      <c r="U74" s="932"/>
      <c r="V74" s="932"/>
      <c r="W74" s="932"/>
      <c r="X74" s="932"/>
      <c r="Y74" s="932"/>
      <c r="Z74" s="932"/>
      <c r="AA74" s="932"/>
      <c r="AB74" s="933"/>
      <c r="AC74" s="9"/>
      <c r="AD74" s="15"/>
      <c r="AE74" s="15"/>
      <c r="AF74" s="15"/>
      <c r="AG74" s="15"/>
      <c r="AH74" s="15"/>
      <c r="AI74" s="15"/>
      <c r="AJ74" s="15"/>
      <c r="AK74" s="9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</row>
    <row r="75" spans="1:51" s="4" customFormat="1" x14ac:dyDescent="0.2">
      <c r="A75" s="11"/>
      <c r="B75" s="1045"/>
      <c r="C75" s="1046"/>
      <c r="D75" s="1046"/>
      <c r="E75" s="1046"/>
      <c r="F75" s="1046"/>
      <c r="G75" s="1046"/>
      <c r="H75" s="1046"/>
      <c r="I75" s="1046"/>
      <c r="J75" s="1046"/>
      <c r="K75" s="1046"/>
      <c r="L75" s="1046"/>
      <c r="M75" s="1046"/>
      <c r="N75" s="1065"/>
      <c r="O75" s="9"/>
      <c r="P75" s="957"/>
      <c r="Q75" s="932"/>
      <c r="R75" s="932"/>
      <c r="S75" s="932"/>
      <c r="T75" s="932"/>
      <c r="U75" s="932"/>
      <c r="V75" s="932"/>
      <c r="W75" s="932"/>
      <c r="X75" s="932"/>
      <c r="Y75" s="932"/>
      <c r="Z75" s="932"/>
      <c r="AA75" s="932"/>
      <c r="AB75" s="933"/>
      <c r="AC75" s="9"/>
      <c r="AD75" s="15"/>
      <c r="AE75" s="15"/>
      <c r="AF75" s="15"/>
      <c r="AG75" s="15"/>
      <c r="AH75" s="15"/>
      <c r="AI75" s="15"/>
      <c r="AJ75" s="15"/>
      <c r="AK75" s="9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</row>
    <row r="76" spans="1:51" s="4" customFormat="1" x14ac:dyDescent="0.2">
      <c r="A76" s="11"/>
      <c r="B76" s="1045"/>
      <c r="C76" s="1046"/>
      <c r="D76" s="1046"/>
      <c r="E76" s="1046"/>
      <c r="F76" s="1046"/>
      <c r="G76" s="1046"/>
      <c r="H76" s="1046"/>
      <c r="I76" s="1046"/>
      <c r="J76" s="1046"/>
      <c r="K76" s="1046"/>
      <c r="L76" s="1046"/>
      <c r="M76" s="1046"/>
      <c r="N76" s="1065"/>
      <c r="O76" s="9"/>
      <c r="P76" s="957"/>
      <c r="Q76" s="932"/>
      <c r="R76" s="932"/>
      <c r="S76" s="932"/>
      <c r="T76" s="932"/>
      <c r="U76" s="932"/>
      <c r="V76" s="932"/>
      <c r="W76" s="932"/>
      <c r="X76" s="932"/>
      <c r="Y76" s="932"/>
      <c r="Z76" s="932"/>
      <c r="AA76" s="932"/>
      <c r="AB76" s="933"/>
      <c r="AC76" s="9"/>
      <c r="AD76" s="15"/>
      <c r="AE76" s="15"/>
      <c r="AF76" s="15"/>
      <c r="AG76" s="15"/>
      <c r="AH76" s="15"/>
      <c r="AI76" s="15"/>
      <c r="AJ76" s="15"/>
      <c r="AK76" s="9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</row>
    <row r="77" spans="1:51" s="4" customFormat="1" x14ac:dyDescent="0.2">
      <c r="A77" s="11"/>
      <c r="B77" s="1045"/>
      <c r="C77" s="1046"/>
      <c r="D77" s="1046"/>
      <c r="E77" s="1046"/>
      <c r="F77" s="1046"/>
      <c r="G77" s="1046"/>
      <c r="H77" s="1046"/>
      <c r="I77" s="1046"/>
      <c r="J77" s="1046"/>
      <c r="K77" s="1046"/>
      <c r="L77" s="1046"/>
      <c r="M77" s="1046"/>
      <c r="N77" s="1065"/>
      <c r="O77" s="9"/>
      <c r="P77" s="941" t="s">
        <v>1471</v>
      </c>
      <c r="Q77" s="942"/>
      <c r="R77" s="942" t="s">
        <v>1416</v>
      </c>
      <c r="S77" s="942"/>
      <c r="T77" s="942" t="s">
        <v>1472</v>
      </c>
      <c r="U77" s="942"/>
      <c r="V77" s="942" t="s">
        <v>1473</v>
      </c>
      <c r="W77" s="942"/>
      <c r="X77" s="942" t="s">
        <v>1474</v>
      </c>
      <c r="Y77" s="942"/>
      <c r="Z77" s="942" t="s">
        <v>1475</v>
      </c>
      <c r="AA77" s="942"/>
      <c r="AB77" s="943"/>
      <c r="AC77" s="9"/>
      <c r="AD77" s="15"/>
      <c r="AE77" s="15"/>
      <c r="AF77" s="15"/>
      <c r="AG77" s="15"/>
      <c r="AH77" s="15"/>
      <c r="AI77" s="15"/>
      <c r="AJ77" s="15"/>
      <c r="AK77" s="9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</row>
    <row r="78" spans="1:51" s="4" customFormat="1" x14ac:dyDescent="0.2">
      <c r="A78" s="11"/>
      <c r="B78" s="1045"/>
      <c r="C78" s="1046"/>
      <c r="D78" s="1046"/>
      <c r="E78" s="1046"/>
      <c r="F78" s="1046"/>
      <c r="G78" s="1046"/>
      <c r="H78" s="1046"/>
      <c r="I78" s="1046"/>
      <c r="J78" s="1046"/>
      <c r="K78" s="1046"/>
      <c r="L78" s="1046"/>
      <c r="M78" s="1046"/>
      <c r="N78" s="1065"/>
      <c r="O78" s="9"/>
      <c r="P78" s="941"/>
      <c r="Q78" s="942"/>
      <c r="R78" s="942"/>
      <c r="S78" s="942"/>
      <c r="T78" s="942"/>
      <c r="U78" s="942"/>
      <c r="V78" s="942"/>
      <c r="W78" s="942"/>
      <c r="X78" s="942"/>
      <c r="Y78" s="942"/>
      <c r="Z78" s="942"/>
      <c r="AA78" s="942"/>
      <c r="AB78" s="943"/>
      <c r="AC78" s="9"/>
      <c r="AD78" s="15"/>
      <c r="AE78" s="15"/>
      <c r="AF78" s="15"/>
      <c r="AG78" s="15"/>
      <c r="AH78" s="15"/>
      <c r="AI78" s="15"/>
      <c r="AJ78" s="15"/>
      <c r="AK78" s="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</row>
    <row r="79" spans="1:51" s="4" customFormat="1" ht="14.25" customHeight="1" thickBot="1" x14ac:dyDescent="0.25">
      <c r="A79" s="11"/>
      <c r="B79" s="1066"/>
      <c r="C79" s="1067"/>
      <c r="D79" s="1067"/>
      <c r="E79" s="1067"/>
      <c r="F79" s="1067"/>
      <c r="G79" s="1067"/>
      <c r="H79" s="1067"/>
      <c r="I79" s="1067"/>
      <c r="J79" s="1067"/>
      <c r="K79" s="1067"/>
      <c r="L79" s="1067"/>
      <c r="M79" s="1067"/>
      <c r="N79" s="1068"/>
      <c r="O79" s="9"/>
      <c r="P79" s="944" t="e">
        <f>IF(ISBLANK(#REF!),"",(#REF!))</f>
        <v>#REF!</v>
      </c>
      <c r="Q79" s="945"/>
      <c r="R79" s="945" t="e">
        <f>IF(#REF!&lt;=L65,_xlfn.CONCAT(L65," ","(*Vértebra Travada)"),#REF!)</f>
        <v>#REF!</v>
      </c>
      <c r="S79" s="945"/>
      <c r="T79" s="945" t="e">
        <f>IF(ISBLANK(#REF!),"",(#REF!))</f>
        <v>#REF!</v>
      </c>
      <c r="U79" s="945"/>
      <c r="V79" s="945" t="e">
        <f>IF(ISBLANK(#REF!),"",(#REF!))</f>
        <v>#REF!</v>
      </c>
      <c r="W79" s="945"/>
      <c r="X79" s="945" t="e">
        <f>IF(ISBLANK(#REF!),"",(#REF!))</f>
        <v>#REF!</v>
      </c>
      <c r="Y79" s="945"/>
      <c r="Z79" s="945" t="e">
        <f>IF(ISBLANK(#REF!),"",(#REF!))</f>
        <v>#REF!</v>
      </c>
      <c r="AA79" s="945"/>
      <c r="AB79" s="948"/>
      <c r="AC79" s="9"/>
      <c r="AD79" s="15"/>
      <c r="AE79" s="15"/>
      <c r="AF79" s="15"/>
      <c r="AG79" s="15"/>
      <c r="AH79" s="15"/>
      <c r="AI79" s="15"/>
      <c r="AJ79" s="15"/>
      <c r="AK79" s="15"/>
      <c r="AL79" s="17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</row>
    <row r="80" spans="1:51" s="4" customFormat="1" ht="14.25" customHeight="1" x14ac:dyDescent="0.2">
      <c r="A80" s="9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9"/>
      <c r="P80" s="944"/>
      <c r="Q80" s="945"/>
      <c r="R80" s="945"/>
      <c r="S80" s="945"/>
      <c r="T80" s="945"/>
      <c r="U80" s="945"/>
      <c r="V80" s="945"/>
      <c r="W80" s="945"/>
      <c r="X80" s="945"/>
      <c r="Y80" s="945"/>
      <c r="Z80" s="945"/>
      <c r="AA80" s="945"/>
      <c r="AB80" s="948"/>
      <c r="AC80" s="9"/>
      <c r="AD80" s="15"/>
      <c r="AE80" s="15"/>
      <c r="AF80" s="15"/>
      <c r="AG80" s="15"/>
      <c r="AH80" s="15"/>
      <c r="AI80" s="15"/>
      <c r="AJ80" s="15"/>
      <c r="AK80" s="15"/>
      <c r="AL80" s="17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</row>
    <row r="81" spans="1:51" s="4" customFormat="1" x14ac:dyDescent="0.2">
      <c r="A81" s="9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9"/>
      <c r="O81" s="9"/>
      <c r="P81" s="950" t="s">
        <v>1476</v>
      </c>
      <c r="Q81" s="951"/>
      <c r="R81" s="951"/>
      <c r="S81" s="951"/>
      <c r="T81" s="951"/>
      <c r="U81" s="951"/>
      <c r="V81" s="951"/>
      <c r="W81" s="951"/>
      <c r="X81" s="951"/>
      <c r="Y81" s="951"/>
      <c r="Z81" s="951"/>
      <c r="AA81" s="951"/>
      <c r="AB81" s="952"/>
      <c r="AC81" s="9"/>
      <c r="AD81" s="15"/>
      <c r="AE81" s="15"/>
      <c r="AF81" s="15"/>
      <c r="AG81" s="15"/>
      <c r="AH81" s="15"/>
      <c r="AI81" s="15"/>
      <c r="AJ81" s="15"/>
      <c r="AK81" s="15"/>
      <c r="AL81" s="17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</row>
    <row r="82" spans="1:51" s="4" customFormat="1" x14ac:dyDescent="0.2">
      <c r="A82" s="9"/>
      <c r="B82" s="953" t="s">
        <v>1477</v>
      </c>
      <c r="C82" s="953"/>
      <c r="D82" s="953"/>
      <c r="E82" s="953"/>
      <c r="F82" s="953"/>
      <c r="G82" s="953"/>
      <c r="H82" s="953"/>
      <c r="I82" s="953"/>
      <c r="J82" s="953"/>
      <c r="K82" s="953"/>
      <c r="L82" s="953"/>
      <c r="M82" s="953"/>
      <c r="N82" s="953"/>
      <c r="O82" s="9"/>
      <c r="P82" s="1121"/>
      <c r="Q82" s="1122"/>
      <c r="R82" s="1122"/>
      <c r="S82" s="1122"/>
      <c r="T82" s="1122"/>
      <c r="U82" s="1122"/>
      <c r="V82" s="1122"/>
      <c r="W82" s="1122"/>
      <c r="X82" s="1122"/>
      <c r="Y82" s="1122"/>
      <c r="Z82" s="1122"/>
      <c r="AA82" s="1122"/>
      <c r="AB82" s="1123"/>
      <c r="AC82" s="9"/>
      <c r="AD82" s="15"/>
      <c r="AE82" s="15"/>
      <c r="AF82" s="15"/>
      <c r="AG82" s="15"/>
      <c r="AH82" s="15"/>
      <c r="AI82" s="15"/>
      <c r="AJ82" s="15"/>
      <c r="AK82" s="15"/>
      <c r="AL82" s="17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</row>
    <row r="83" spans="1:51" s="4" customFormat="1" ht="13.5" thickBot="1" x14ac:dyDescent="0.25">
      <c r="A83" s="9"/>
      <c r="B83" s="953"/>
      <c r="C83" s="953"/>
      <c r="D83" s="953"/>
      <c r="E83" s="953"/>
      <c r="F83" s="953"/>
      <c r="G83" s="953"/>
      <c r="H83" s="953"/>
      <c r="I83" s="953"/>
      <c r="J83" s="953"/>
      <c r="K83" s="953"/>
      <c r="L83" s="953"/>
      <c r="M83" s="953"/>
      <c r="N83" s="953"/>
      <c r="O83" s="9"/>
      <c r="P83" s="1121"/>
      <c r="Q83" s="1122"/>
      <c r="R83" s="1122"/>
      <c r="S83" s="1122"/>
      <c r="T83" s="1122"/>
      <c r="U83" s="1122"/>
      <c r="V83" s="1122"/>
      <c r="W83" s="1122"/>
      <c r="X83" s="1122"/>
      <c r="Y83" s="1122"/>
      <c r="Z83" s="1122"/>
      <c r="AA83" s="1122"/>
      <c r="AB83" s="1123"/>
      <c r="AC83" s="9"/>
      <c r="AD83" s="9"/>
      <c r="AE83" s="9"/>
      <c r="AF83" s="9"/>
      <c r="AG83" s="9"/>
      <c r="AH83" s="9"/>
      <c r="AI83" s="9"/>
      <c r="AJ83" s="9"/>
      <c r="AK83" s="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</row>
    <row r="84" spans="1:51" s="4" customFormat="1" ht="13.5" customHeight="1" x14ac:dyDescent="0.2">
      <c r="A84" s="9"/>
      <c r="B84" s="1133" t="s">
        <v>1478</v>
      </c>
      <c r="C84" s="1134"/>
      <c r="D84" s="1134"/>
      <c r="E84" s="1134"/>
      <c r="F84" s="1134"/>
      <c r="G84" s="1134"/>
      <c r="H84" s="1134"/>
      <c r="I84" s="1134"/>
      <c r="J84" s="1134"/>
      <c r="K84" s="1134"/>
      <c r="L84" s="1134"/>
      <c r="M84" s="1134"/>
      <c r="N84" s="1135"/>
      <c r="O84" s="9"/>
      <c r="P84" s="1121"/>
      <c r="Q84" s="1122"/>
      <c r="R84" s="1122"/>
      <c r="S84" s="1122"/>
      <c r="T84" s="1122"/>
      <c r="U84" s="1122"/>
      <c r="V84" s="1122"/>
      <c r="W84" s="1122"/>
      <c r="X84" s="1122"/>
      <c r="Y84" s="1122"/>
      <c r="Z84" s="1122"/>
      <c r="AA84" s="1122"/>
      <c r="AB84" s="1123"/>
      <c r="AC84" s="9"/>
      <c r="AD84" s="9"/>
      <c r="AE84" s="9"/>
      <c r="AF84" s="9"/>
      <c r="AG84" s="9"/>
      <c r="AH84" s="9"/>
      <c r="AI84" s="9"/>
      <c r="AJ84" s="9"/>
      <c r="AK84" s="9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</row>
    <row r="85" spans="1:51" s="4" customFormat="1" ht="12.75" customHeight="1" x14ac:dyDescent="0.2">
      <c r="A85" s="9"/>
      <c r="B85" s="950" t="s">
        <v>1479</v>
      </c>
      <c r="C85" s="951"/>
      <c r="D85" s="951"/>
      <c r="E85" s="951"/>
      <c r="F85" s="951"/>
      <c r="G85" s="951"/>
      <c r="H85" s="951"/>
      <c r="I85" s="951"/>
      <c r="J85" s="951"/>
      <c r="K85" s="951"/>
      <c r="L85" s="951"/>
      <c r="M85" s="951"/>
      <c r="N85" s="952"/>
      <c r="O85" s="9"/>
      <c r="P85" s="1121"/>
      <c r="Q85" s="1122"/>
      <c r="R85" s="1122"/>
      <c r="S85" s="1122"/>
      <c r="T85" s="1122"/>
      <c r="U85" s="1122"/>
      <c r="V85" s="1122"/>
      <c r="W85" s="1122"/>
      <c r="X85" s="1122"/>
      <c r="Y85" s="1122"/>
      <c r="Z85" s="1122"/>
      <c r="AA85" s="1122"/>
      <c r="AB85" s="1123"/>
      <c r="AC85" s="9"/>
      <c r="AD85" s="9"/>
      <c r="AE85" s="9"/>
      <c r="AF85" s="9"/>
      <c r="AG85" s="9"/>
      <c r="AH85" s="9"/>
      <c r="AI85" s="9"/>
      <c r="AJ85" s="9"/>
      <c r="AK85" s="9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</row>
    <row r="86" spans="1:51" s="4" customFormat="1" ht="12.75" customHeight="1" x14ac:dyDescent="0.2">
      <c r="A86" s="9"/>
      <c r="B86" s="1025" t="s">
        <v>1480</v>
      </c>
      <c r="C86" s="1026"/>
      <c r="D86" s="1026"/>
      <c r="E86" s="1026" t="s">
        <v>1481</v>
      </c>
      <c r="F86" s="1026"/>
      <c r="G86" s="1026"/>
      <c r="H86" s="1026" t="s">
        <v>1407</v>
      </c>
      <c r="I86" s="1026"/>
      <c r="J86" s="1026" t="s">
        <v>1482</v>
      </c>
      <c r="K86" s="1026"/>
      <c r="L86" s="1026" t="s">
        <v>1416</v>
      </c>
      <c r="M86" s="1026"/>
      <c r="N86" s="1018"/>
      <c r="O86" s="9"/>
      <c r="P86" s="1121"/>
      <c r="Q86" s="1122"/>
      <c r="R86" s="1122"/>
      <c r="S86" s="1122"/>
      <c r="T86" s="1122"/>
      <c r="U86" s="1122"/>
      <c r="V86" s="1122"/>
      <c r="W86" s="1122"/>
      <c r="X86" s="1122"/>
      <c r="Y86" s="1122"/>
      <c r="Z86" s="1122"/>
      <c r="AA86" s="1122"/>
      <c r="AB86" s="1123"/>
      <c r="AC86" s="9"/>
      <c r="AD86" s="9"/>
      <c r="AE86" s="9"/>
      <c r="AF86" s="9"/>
      <c r="AG86" s="9"/>
      <c r="AH86" s="9"/>
      <c r="AI86" s="9"/>
      <c r="AJ86" s="9"/>
      <c r="AK86" s="9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</row>
    <row r="87" spans="1:51" s="4" customFormat="1" x14ac:dyDescent="0.2">
      <c r="A87" s="9"/>
      <c r="B87" s="1025"/>
      <c r="C87" s="1026"/>
      <c r="D87" s="1026"/>
      <c r="E87" s="1026"/>
      <c r="F87" s="1026"/>
      <c r="G87" s="1026"/>
      <c r="H87" s="1026"/>
      <c r="I87" s="1026"/>
      <c r="J87" s="1026"/>
      <c r="K87" s="1026"/>
      <c r="L87" s="1026"/>
      <c r="M87" s="1026"/>
      <c r="N87" s="1018"/>
      <c r="O87" s="9"/>
      <c r="P87" s="1121"/>
      <c r="Q87" s="1122"/>
      <c r="R87" s="1122"/>
      <c r="S87" s="1122"/>
      <c r="T87" s="1122"/>
      <c r="U87" s="1122"/>
      <c r="V87" s="1122"/>
      <c r="W87" s="1122"/>
      <c r="X87" s="1122"/>
      <c r="Y87" s="1122"/>
      <c r="Z87" s="1122"/>
      <c r="AA87" s="1122"/>
      <c r="AB87" s="1123"/>
      <c r="AC87" s="9"/>
      <c r="AD87" s="9"/>
      <c r="AE87" s="9"/>
      <c r="AF87" s="9"/>
      <c r="AG87" s="9"/>
      <c r="AH87" s="9"/>
      <c r="AI87" s="9"/>
      <c r="AJ87" s="9"/>
      <c r="AK87" s="9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</row>
    <row r="88" spans="1:51" s="4" customFormat="1" ht="12.75" customHeight="1" x14ac:dyDescent="0.2">
      <c r="A88" s="9"/>
      <c r="B88" s="1051" t="e">
        <f>IF(ISBLANK(#REF!),"",(#REF!))</f>
        <v>#REF!</v>
      </c>
      <c r="C88" s="1084"/>
      <c r="D88" s="1084"/>
      <c r="E88" s="1049" t="e">
        <f>IF(ISBLANK(#REF!),"",(#REF!))</f>
        <v>#REF!</v>
      </c>
      <c r="F88" s="1013"/>
      <c r="G88" s="1014"/>
      <c r="H88" s="1084" t="e">
        <f>IF(ISBLANK(#REF!),"",(#REF!))</f>
        <v>#REF!</v>
      </c>
      <c r="I88" s="1084"/>
      <c r="J88" s="1084" t="e">
        <f>IF(ISBLANK(#REF!),"",(#REF!))</f>
        <v>#REF!</v>
      </c>
      <c r="K88" s="1084"/>
      <c r="L88" s="1049" t="e">
        <f>IF(#REF!&lt;=L65,_xlfn.CONCAT(L65," ","(*Vértebra Travada)"),#REF!)</f>
        <v>#REF!</v>
      </c>
      <c r="M88" s="1013"/>
      <c r="N88" s="1015"/>
      <c r="O88" s="1013"/>
      <c r="P88" s="1121"/>
      <c r="Q88" s="1122"/>
      <c r="R88" s="1122"/>
      <c r="S88" s="1122"/>
      <c r="T88" s="1122"/>
      <c r="U88" s="1122"/>
      <c r="V88" s="1122"/>
      <c r="W88" s="1122"/>
      <c r="X88" s="1122"/>
      <c r="Y88" s="1122"/>
      <c r="Z88" s="1122"/>
      <c r="AA88" s="1122"/>
      <c r="AB88" s="1123"/>
      <c r="AC88" s="9"/>
      <c r="AD88" s="9"/>
      <c r="AE88" s="9"/>
      <c r="AF88" s="9"/>
      <c r="AG88" s="9"/>
      <c r="AH88" s="9"/>
      <c r="AI88" s="9"/>
      <c r="AJ88" s="9"/>
      <c r="AK88" s="9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</row>
    <row r="89" spans="1:51" s="4" customFormat="1" ht="12.75" customHeight="1" x14ac:dyDescent="0.2">
      <c r="A89" s="9"/>
      <c r="B89" s="1050"/>
      <c r="C89" s="1085"/>
      <c r="D89" s="1085"/>
      <c r="E89" s="1049"/>
      <c r="F89" s="1013"/>
      <c r="G89" s="1014"/>
      <c r="H89" s="1085"/>
      <c r="I89" s="1085"/>
      <c r="J89" s="1085"/>
      <c r="K89" s="1085"/>
      <c r="L89" s="1049"/>
      <c r="M89" s="1013"/>
      <c r="N89" s="1015"/>
      <c r="O89" s="1013"/>
      <c r="P89" s="1121"/>
      <c r="Q89" s="1122"/>
      <c r="R89" s="1122"/>
      <c r="S89" s="1122"/>
      <c r="T89" s="1122"/>
      <c r="U89" s="1122"/>
      <c r="V89" s="1122"/>
      <c r="W89" s="1122"/>
      <c r="X89" s="1122"/>
      <c r="Y89" s="1122"/>
      <c r="Z89" s="1122"/>
      <c r="AA89" s="1122"/>
      <c r="AB89" s="1123"/>
      <c r="AC89" s="9"/>
      <c r="AD89" s="9"/>
      <c r="AE89" s="9"/>
      <c r="AF89" s="9"/>
      <c r="AG89" s="9"/>
      <c r="AH89" s="9"/>
      <c r="AI89" s="9"/>
      <c r="AJ89" s="9"/>
      <c r="AK89" s="9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</row>
    <row r="90" spans="1:51" s="4" customFormat="1" x14ac:dyDescent="0.2">
      <c r="A90" s="9"/>
      <c r="B90" s="950" t="s">
        <v>1483</v>
      </c>
      <c r="C90" s="951"/>
      <c r="D90" s="951"/>
      <c r="E90" s="951"/>
      <c r="F90" s="951"/>
      <c r="G90" s="951"/>
      <c r="H90" s="951"/>
      <c r="I90" s="951"/>
      <c r="J90" s="951"/>
      <c r="K90" s="951"/>
      <c r="L90" s="951"/>
      <c r="M90" s="951"/>
      <c r="N90" s="952"/>
      <c r="O90" s="9"/>
      <c r="P90" s="1121"/>
      <c r="Q90" s="1122"/>
      <c r="R90" s="1122"/>
      <c r="S90" s="1122"/>
      <c r="T90" s="1122"/>
      <c r="U90" s="1122"/>
      <c r="V90" s="1122"/>
      <c r="W90" s="1122"/>
      <c r="X90" s="1122"/>
      <c r="Y90" s="1122"/>
      <c r="Z90" s="1122"/>
      <c r="AA90" s="1122"/>
      <c r="AB90" s="1123"/>
      <c r="AC90" s="9"/>
      <c r="AD90" s="9"/>
      <c r="AE90" s="9"/>
      <c r="AF90" s="9"/>
      <c r="AG90" s="9"/>
      <c r="AH90" s="9"/>
      <c r="AI90" s="9"/>
      <c r="AJ90" s="9"/>
      <c r="AK90" s="9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</row>
    <row r="91" spans="1:51" s="4" customFormat="1" ht="12.75" customHeight="1" x14ac:dyDescent="0.2">
      <c r="A91" s="9"/>
      <c r="B91" s="1025" t="s">
        <v>1404</v>
      </c>
      <c r="C91" s="1026"/>
      <c r="D91" s="1026"/>
      <c r="E91" s="1026" t="s">
        <v>1484</v>
      </c>
      <c r="F91" s="1026"/>
      <c r="G91" s="1026"/>
      <c r="H91" s="1026"/>
      <c r="I91" s="1026" t="s">
        <v>1485</v>
      </c>
      <c r="J91" s="1026"/>
      <c r="K91" s="1026"/>
      <c r="L91" s="1026" t="s">
        <v>1406</v>
      </c>
      <c r="M91" s="1026"/>
      <c r="N91" s="1018"/>
      <c r="O91" s="9"/>
      <c r="P91" s="1121"/>
      <c r="Q91" s="1122"/>
      <c r="R91" s="1122"/>
      <c r="S91" s="1122"/>
      <c r="T91" s="1122"/>
      <c r="U91" s="1122"/>
      <c r="V91" s="1122"/>
      <c r="W91" s="1122"/>
      <c r="X91" s="1122"/>
      <c r="Y91" s="1122"/>
      <c r="Z91" s="1122"/>
      <c r="AA91" s="1122"/>
      <c r="AB91" s="1123"/>
      <c r="AC91" s="9"/>
      <c r="AD91" s="9"/>
      <c r="AE91" s="9"/>
      <c r="AF91" s="9"/>
      <c r="AG91" s="9"/>
      <c r="AH91" s="9"/>
      <c r="AI91" s="9"/>
      <c r="AJ91" s="9"/>
      <c r="AK91" s="9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</row>
    <row r="92" spans="1:51" s="4" customFormat="1" x14ac:dyDescent="0.2">
      <c r="A92" s="9"/>
      <c r="B92" s="1025"/>
      <c r="C92" s="1026"/>
      <c r="D92" s="1026"/>
      <c r="E92" s="1026"/>
      <c r="F92" s="1026"/>
      <c r="G92" s="1026"/>
      <c r="H92" s="1026"/>
      <c r="I92" s="1026"/>
      <c r="J92" s="1026"/>
      <c r="K92" s="1026"/>
      <c r="L92" s="1026"/>
      <c r="M92" s="1026"/>
      <c r="N92" s="1018"/>
      <c r="O92" s="9"/>
      <c r="P92" s="1121"/>
      <c r="Q92" s="1122"/>
      <c r="R92" s="1122"/>
      <c r="S92" s="1122"/>
      <c r="T92" s="1122"/>
      <c r="U92" s="1122"/>
      <c r="V92" s="1122"/>
      <c r="W92" s="1122"/>
      <c r="X92" s="1122"/>
      <c r="Y92" s="1122"/>
      <c r="Z92" s="1122"/>
      <c r="AA92" s="1122"/>
      <c r="AB92" s="1123"/>
      <c r="AC92" s="9"/>
      <c r="AD92" s="9"/>
      <c r="AE92" s="9"/>
      <c r="AF92" s="9"/>
      <c r="AG92" s="9"/>
      <c r="AH92" s="9"/>
      <c r="AI92" s="9"/>
      <c r="AJ92" s="9"/>
      <c r="AK92" s="9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</row>
    <row r="93" spans="1:51" s="4" customFormat="1" x14ac:dyDescent="0.2">
      <c r="A93" s="9"/>
      <c r="B93" s="1088" t="e">
        <f>IF(ISBLANK(#REF!),"",(#REF!))</f>
        <v>#REF!</v>
      </c>
      <c r="C93" s="1084"/>
      <c r="D93" s="1084"/>
      <c r="E93" s="1084" t="e">
        <f>_xlfn.CONCAT("[",#REF!,";",#REF!,"]")</f>
        <v>#REF!</v>
      </c>
      <c r="F93" s="1084"/>
      <c r="G93" s="1084"/>
      <c r="H93" s="1084"/>
      <c r="I93" s="1082" t="e">
        <f>IF(ISBLANK(#REF!),"",(#REF!))</f>
        <v>#REF!</v>
      </c>
      <c r="J93" s="1084"/>
      <c r="K93" s="1084"/>
      <c r="L93" s="1082" t="e">
        <f>IF(ISBLANK(#REF!),"",(#REF!))</f>
        <v>#REF!</v>
      </c>
      <c r="M93" s="1084"/>
      <c r="N93" s="1086"/>
      <c r="O93" s="9"/>
      <c r="P93" s="1121"/>
      <c r="Q93" s="1122"/>
      <c r="R93" s="1122"/>
      <c r="S93" s="1122"/>
      <c r="T93" s="1122"/>
      <c r="U93" s="1122"/>
      <c r="V93" s="1122"/>
      <c r="W93" s="1122"/>
      <c r="X93" s="1122"/>
      <c r="Y93" s="1122"/>
      <c r="Z93" s="1122"/>
      <c r="AA93" s="1122"/>
      <c r="AB93" s="1123"/>
      <c r="AC93" s="9"/>
      <c r="AD93" s="9"/>
      <c r="AE93" s="9"/>
      <c r="AF93" s="9"/>
      <c r="AG93" s="9"/>
      <c r="AH93" s="9"/>
      <c r="AI93" s="9"/>
      <c r="AJ93" s="9"/>
      <c r="AK93" s="9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</row>
    <row r="94" spans="1:51" s="4" customFormat="1" ht="12.75" customHeight="1" x14ac:dyDescent="0.2">
      <c r="A94" s="9"/>
      <c r="B94" s="1050"/>
      <c r="C94" s="1085"/>
      <c r="D94" s="1085"/>
      <c r="E94" s="1085"/>
      <c r="F94" s="1085"/>
      <c r="G94" s="1085"/>
      <c r="H94" s="1085"/>
      <c r="I94" s="1085"/>
      <c r="J94" s="1085"/>
      <c r="K94" s="1085"/>
      <c r="L94" s="1085"/>
      <c r="M94" s="1085"/>
      <c r="N94" s="1087"/>
      <c r="O94" s="9"/>
      <c r="P94" s="1121"/>
      <c r="Q94" s="1122"/>
      <c r="R94" s="1122"/>
      <c r="S94" s="1122"/>
      <c r="T94" s="1122"/>
      <c r="U94" s="1122"/>
      <c r="V94" s="1122"/>
      <c r="W94" s="1122"/>
      <c r="X94" s="1122"/>
      <c r="Y94" s="1122"/>
      <c r="Z94" s="1122"/>
      <c r="AA94" s="1122"/>
      <c r="AB94" s="1123"/>
      <c r="AC94" s="9"/>
      <c r="AD94" s="9"/>
      <c r="AE94" s="9"/>
      <c r="AF94" s="9"/>
      <c r="AG94" s="9"/>
      <c r="AH94" s="9"/>
      <c r="AI94" s="9"/>
      <c r="AJ94" s="9"/>
      <c r="AK94" s="9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</row>
    <row r="95" spans="1:51" s="4" customFormat="1" ht="12.75" customHeight="1" x14ac:dyDescent="0.2">
      <c r="A95" s="9"/>
      <c r="B95" s="950" t="s">
        <v>1486</v>
      </c>
      <c r="C95" s="951"/>
      <c r="D95" s="951"/>
      <c r="E95" s="951"/>
      <c r="F95" s="951"/>
      <c r="G95" s="951"/>
      <c r="H95" s="951"/>
      <c r="I95" s="951"/>
      <c r="J95" s="951"/>
      <c r="K95" s="951"/>
      <c r="L95" s="951"/>
      <c r="M95" s="951"/>
      <c r="N95" s="952"/>
      <c r="O95" s="9"/>
      <c r="P95" s="1121"/>
      <c r="Q95" s="1122"/>
      <c r="R95" s="1122"/>
      <c r="S95" s="1122"/>
      <c r="T95" s="1122"/>
      <c r="U95" s="1122"/>
      <c r="V95" s="1122"/>
      <c r="W95" s="1122"/>
      <c r="X95" s="1122"/>
      <c r="Y95" s="1122"/>
      <c r="Z95" s="1122"/>
      <c r="AA95" s="1122"/>
      <c r="AB95" s="1123"/>
      <c r="AC95" s="9"/>
      <c r="AD95" s="9"/>
      <c r="AE95" s="9"/>
      <c r="AF95" s="9"/>
      <c r="AG95" s="9"/>
      <c r="AH95" s="9"/>
      <c r="AI95" s="9"/>
      <c r="AJ95" s="9"/>
      <c r="AK95" s="9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</row>
    <row r="96" spans="1:51" s="4" customFormat="1" ht="12.75" customHeight="1" x14ac:dyDescent="0.2">
      <c r="A96" s="9"/>
      <c r="B96" s="1116" t="s">
        <v>1414</v>
      </c>
      <c r="C96" s="1117"/>
      <c r="D96" s="1117"/>
      <c r="E96" s="1117"/>
      <c r="F96" s="1117"/>
      <c r="G96" s="1117"/>
      <c r="H96" s="1117"/>
      <c r="I96" s="1117" t="s">
        <v>1415</v>
      </c>
      <c r="J96" s="1117"/>
      <c r="K96" s="1117"/>
      <c r="L96" s="1117"/>
      <c r="M96" s="1117"/>
      <c r="N96" s="1118"/>
      <c r="O96" s="9"/>
      <c r="P96" s="1121"/>
      <c r="Q96" s="1122"/>
      <c r="R96" s="1122"/>
      <c r="S96" s="1122"/>
      <c r="T96" s="1122"/>
      <c r="U96" s="1122"/>
      <c r="V96" s="1122"/>
      <c r="W96" s="1122"/>
      <c r="X96" s="1122"/>
      <c r="Y96" s="1122"/>
      <c r="Z96" s="1122"/>
      <c r="AA96" s="1122"/>
      <c r="AB96" s="1123"/>
      <c r="AC96" s="9"/>
      <c r="AD96" s="9"/>
      <c r="AE96" s="9"/>
      <c r="AF96" s="9"/>
      <c r="AG96" s="9"/>
      <c r="AH96" s="9"/>
      <c r="AI96" s="9"/>
      <c r="AJ96" s="9"/>
      <c r="AK96" s="9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</row>
    <row r="97" spans="1:51" s="4" customFormat="1" ht="12.75" customHeight="1" x14ac:dyDescent="0.2">
      <c r="A97" s="9"/>
      <c r="B97" s="1021" t="e">
        <f>IF(ISBLANK(#REF!),"",(#REF!))</f>
        <v>#REF!</v>
      </c>
      <c r="C97" s="1020"/>
      <c r="D97" s="1020"/>
      <c r="E97" s="1020"/>
      <c r="F97" s="1020"/>
      <c r="G97" s="1020"/>
      <c r="H97" s="1020"/>
      <c r="I97" s="1020" t="e">
        <f>IF(ISBLANK(#REF!),"",(#REF!))</f>
        <v>#REF!</v>
      </c>
      <c r="J97" s="1020"/>
      <c r="K97" s="1020"/>
      <c r="L97" s="1020"/>
      <c r="M97" s="1020"/>
      <c r="N97" s="1024"/>
      <c r="O97" s="9"/>
      <c r="P97" s="1121"/>
      <c r="Q97" s="1122"/>
      <c r="R97" s="1122"/>
      <c r="S97" s="1122"/>
      <c r="T97" s="1122"/>
      <c r="U97" s="1122"/>
      <c r="V97" s="1122"/>
      <c r="W97" s="1122"/>
      <c r="X97" s="1122"/>
      <c r="Y97" s="1122"/>
      <c r="Z97" s="1122"/>
      <c r="AA97" s="1122"/>
      <c r="AB97" s="1123"/>
      <c r="AC97" s="9"/>
      <c r="AD97" s="9"/>
      <c r="AE97" s="9"/>
      <c r="AF97" s="9"/>
      <c r="AG97" s="9"/>
      <c r="AH97" s="9"/>
      <c r="AI97" s="9"/>
      <c r="AJ97" s="9"/>
      <c r="AK97" s="9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</row>
    <row r="98" spans="1:51" s="4" customFormat="1" ht="12.75" customHeight="1" x14ac:dyDescent="0.2">
      <c r="A98" s="9"/>
      <c r="B98" s="1021"/>
      <c r="C98" s="1020"/>
      <c r="D98" s="1020"/>
      <c r="E98" s="1020"/>
      <c r="F98" s="1020"/>
      <c r="G98" s="1020"/>
      <c r="H98" s="1020"/>
      <c r="I98" s="1020"/>
      <c r="J98" s="1020"/>
      <c r="K98" s="1020"/>
      <c r="L98" s="1020"/>
      <c r="M98" s="1020"/>
      <c r="N98" s="1024"/>
      <c r="O98" s="9"/>
      <c r="P98" s="1121"/>
      <c r="Q98" s="1122"/>
      <c r="R98" s="1122"/>
      <c r="S98" s="1122"/>
      <c r="T98" s="1122"/>
      <c r="U98" s="1122"/>
      <c r="V98" s="1122"/>
      <c r="W98" s="1122"/>
      <c r="X98" s="1122"/>
      <c r="Y98" s="1122"/>
      <c r="Z98" s="1122"/>
      <c r="AA98" s="1122"/>
      <c r="AB98" s="1123"/>
      <c r="AC98" s="9"/>
      <c r="AD98" s="35"/>
      <c r="AE98" s="35"/>
      <c r="AF98" s="35"/>
      <c r="AG98" s="35"/>
      <c r="AH98" s="35"/>
      <c r="AI98" s="35"/>
      <c r="AJ98" s="35"/>
      <c r="AK98" s="35"/>
      <c r="AL98" s="29"/>
      <c r="AM98" s="29"/>
      <c r="AN98" s="29"/>
      <c r="AO98" s="29"/>
      <c r="AP98" s="29"/>
      <c r="AQ98" s="22"/>
      <c r="AR98" s="22"/>
      <c r="AS98" s="22"/>
      <c r="AT98" s="22"/>
      <c r="AU98" s="22"/>
      <c r="AV98" s="22"/>
      <c r="AW98" s="22"/>
      <c r="AX98" s="22"/>
      <c r="AY98" s="22"/>
    </row>
    <row r="99" spans="1:51" s="4" customFormat="1" ht="12.75" customHeight="1" x14ac:dyDescent="0.2">
      <c r="A99" s="9"/>
      <c r="B99" s="950" t="s">
        <v>1487</v>
      </c>
      <c r="C99" s="951"/>
      <c r="D99" s="951"/>
      <c r="E99" s="951"/>
      <c r="F99" s="951"/>
      <c r="G99" s="951"/>
      <c r="H99" s="951"/>
      <c r="I99" s="951"/>
      <c r="J99" s="951"/>
      <c r="K99" s="951"/>
      <c r="L99" s="951"/>
      <c r="M99" s="951"/>
      <c r="N99" s="952"/>
      <c r="O99" s="9"/>
      <c r="P99" s="1121"/>
      <c r="Q99" s="1122"/>
      <c r="R99" s="1122"/>
      <c r="S99" s="1122"/>
      <c r="T99" s="1122"/>
      <c r="U99" s="1122"/>
      <c r="V99" s="1122"/>
      <c r="W99" s="1122"/>
      <c r="X99" s="1122"/>
      <c r="Y99" s="1122"/>
      <c r="Z99" s="1122"/>
      <c r="AA99" s="1122"/>
      <c r="AB99" s="1123"/>
      <c r="AC99" s="9"/>
      <c r="AD99" s="35"/>
      <c r="AE99" s="35"/>
      <c r="AF99" s="35"/>
      <c r="AG99" s="35"/>
      <c r="AH99" s="35"/>
      <c r="AI99" s="35"/>
      <c r="AJ99" s="35"/>
      <c r="AK99" s="35"/>
      <c r="AL99" s="29"/>
      <c r="AM99" s="29"/>
      <c r="AN99" s="29"/>
      <c r="AO99" s="29"/>
      <c r="AP99" s="22"/>
      <c r="AQ99" s="22"/>
      <c r="AR99" s="22"/>
      <c r="AS99" s="22"/>
      <c r="AT99" s="22"/>
      <c r="AU99" s="22"/>
      <c r="AV99" s="22"/>
      <c r="AW99" s="22"/>
      <c r="AX99" s="22"/>
      <c r="AY99" s="22"/>
    </row>
    <row r="100" spans="1:51" s="4" customFormat="1" ht="12.75" customHeight="1" x14ac:dyDescent="0.2">
      <c r="A100" s="9"/>
      <c r="B100" s="1116" t="s">
        <v>1396</v>
      </c>
      <c r="C100" s="1117"/>
      <c r="D100" s="1117"/>
      <c r="E100" s="1117"/>
      <c r="F100" s="1117" t="s">
        <v>1488</v>
      </c>
      <c r="G100" s="1117"/>
      <c r="H100" s="1117"/>
      <c r="I100" s="1117"/>
      <c r="J100" s="1117"/>
      <c r="K100" s="1117" t="s">
        <v>1489</v>
      </c>
      <c r="L100" s="1117"/>
      <c r="M100" s="1117"/>
      <c r="N100" s="1118"/>
      <c r="O100" s="9"/>
      <c r="P100" s="1121"/>
      <c r="Q100" s="1122"/>
      <c r="R100" s="1122"/>
      <c r="S100" s="1122"/>
      <c r="T100" s="1122"/>
      <c r="U100" s="1122"/>
      <c r="V100" s="1122"/>
      <c r="W100" s="1122"/>
      <c r="X100" s="1122"/>
      <c r="Y100" s="1122"/>
      <c r="Z100" s="1122"/>
      <c r="AA100" s="1122"/>
      <c r="AB100" s="1123"/>
      <c r="AC100" s="9"/>
      <c r="AD100" s="35"/>
      <c r="AE100" s="35"/>
      <c r="AF100" s="35"/>
      <c r="AG100" s="35"/>
      <c r="AH100" s="35"/>
      <c r="AI100" s="35"/>
      <c r="AJ100" s="35"/>
      <c r="AK100" s="35"/>
      <c r="AL100" s="29"/>
      <c r="AM100" s="29"/>
      <c r="AN100" s="29"/>
      <c r="AO100" s="29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</row>
    <row r="101" spans="1:51" s="4" customFormat="1" ht="12.75" customHeight="1" x14ac:dyDescent="0.2">
      <c r="A101" s="9"/>
      <c r="B101" s="1019" t="e">
        <f>IF(ISBLANK(#REF!),"",(#REF!))</f>
        <v>#REF!</v>
      </c>
      <c r="C101" s="1022"/>
      <c r="D101" s="1022"/>
      <c r="E101" s="1022"/>
      <c r="F101" s="1020" t="e">
        <f>IF(ISBLANK(#REF!),"",(#REF!))</f>
        <v>#REF!</v>
      </c>
      <c r="G101" s="1020"/>
      <c r="H101" s="1020"/>
      <c r="I101" s="1020"/>
      <c r="J101" s="1020"/>
      <c r="K101" s="1020" t="e">
        <f>IF(ISBLANK(#REF!),"",(#REF!))</f>
        <v>#REF!</v>
      </c>
      <c r="L101" s="1020"/>
      <c r="M101" s="1020"/>
      <c r="N101" s="1024"/>
      <c r="O101" s="9"/>
      <c r="P101" s="1121"/>
      <c r="Q101" s="1122"/>
      <c r="R101" s="1122"/>
      <c r="S101" s="1122"/>
      <c r="T101" s="1122"/>
      <c r="U101" s="1122"/>
      <c r="V101" s="1122"/>
      <c r="W101" s="1122"/>
      <c r="X101" s="1122"/>
      <c r="Y101" s="1122"/>
      <c r="Z101" s="1122"/>
      <c r="AA101" s="1122"/>
      <c r="AB101" s="1123"/>
      <c r="AC101" s="9"/>
      <c r="AD101" s="35"/>
      <c r="AE101" s="35"/>
      <c r="AF101" s="35"/>
      <c r="AG101" s="35"/>
      <c r="AH101" s="35"/>
      <c r="AI101" s="35"/>
      <c r="AJ101" s="35"/>
      <c r="AK101" s="35"/>
      <c r="AL101" s="29"/>
      <c r="AM101" s="29"/>
      <c r="AN101" s="29"/>
      <c r="AO101" s="29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</row>
    <row r="102" spans="1:51" s="4" customFormat="1" ht="12.75" customHeight="1" x14ac:dyDescent="0.2">
      <c r="A102" s="9"/>
      <c r="B102" s="1019"/>
      <c r="C102" s="1022"/>
      <c r="D102" s="1022"/>
      <c r="E102" s="1022"/>
      <c r="F102" s="1020"/>
      <c r="G102" s="1020"/>
      <c r="H102" s="1020"/>
      <c r="I102" s="1020"/>
      <c r="J102" s="1020"/>
      <c r="K102" s="1020"/>
      <c r="L102" s="1020"/>
      <c r="M102" s="1020"/>
      <c r="N102" s="1024"/>
      <c r="O102" s="9"/>
      <c r="P102" s="1121"/>
      <c r="Q102" s="1122"/>
      <c r="R102" s="1122"/>
      <c r="S102" s="1122"/>
      <c r="T102" s="1122"/>
      <c r="U102" s="1122"/>
      <c r="V102" s="1122"/>
      <c r="W102" s="1122"/>
      <c r="X102" s="1122"/>
      <c r="Y102" s="1122"/>
      <c r="Z102" s="1122"/>
      <c r="AA102" s="1122"/>
      <c r="AB102" s="1123"/>
      <c r="AC102" s="9"/>
      <c r="AD102" s="36"/>
      <c r="AE102" s="34"/>
      <c r="AF102" s="36"/>
      <c r="AG102" s="34"/>
      <c r="AH102" s="36"/>
      <c r="AI102" s="34"/>
      <c r="AJ102" s="36"/>
      <c r="AK102" s="34"/>
      <c r="AL102" s="31"/>
      <c r="AM102" s="22"/>
      <c r="AN102" s="31"/>
      <c r="AO102" s="22"/>
      <c r="AP102" s="31"/>
      <c r="AQ102" s="22"/>
      <c r="AR102" s="22"/>
      <c r="AS102" s="22"/>
      <c r="AT102" s="22"/>
      <c r="AU102" s="22"/>
      <c r="AV102" s="22"/>
      <c r="AW102" s="22"/>
      <c r="AX102" s="22"/>
      <c r="AY102" s="22"/>
    </row>
    <row r="103" spans="1:51" s="4" customFormat="1" ht="12.75" customHeight="1" thickBot="1" x14ac:dyDescent="0.25">
      <c r="A103" s="9"/>
      <c r="B103" s="950" t="s">
        <v>1490</v>
      </c>
      <c r="C103" s="951"/>
      <c r="D103" s="951"/>
      <c r="E103" s="951"/>
      <c r="F103" s="951"/>
      <c r="G103" s="951"/>
      <c r="H103" s="951"/>
      <c r="I103" s="951"/>
      <c r="J103" s="951"/>
      <c r="K103" s="951"/>
      <c r="L103" s="951"/>
      <c r="M103" s="951"/>
      <c r="N103" s="952"/>
      <c r="O103" s="9"/>
      <c r="P103" s="1124"/>
      <c r="Q103" s="1125"/>
      <c r="R103" s="1125"/>
      <c r="S103" s="1125"/>
      <c r="T103" s="1125"/>
      <c r="U103" s="1125"/>
      <c r="V103" s="1125"/>
      <c r="W103" s="1125"/>
      <c r="X103" s="1125"/>
      <c r="Y103" s="1125"/>
      <c r="Z103" s="1125"/>
      <c r="AA103" s="1125"/>
      <c r="AB103" s="1126"/>
      <c r="AC103" s="9"/>
      <c r="AD103" s="34"/>
      <c r="AE103" s="34"/>
      <c r="AF103" s="34"/>
      <c r="AG103" s="34"/>
      <c r="AH103" s="34"/>
      <c r="AI103" s="34"/>
      <c r="AJ103" s="34"/>
      <c r="AK103" s="34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</row>
    <row r="104" spans="1:51" s="4" customFormat="1" x14ac:dyDescent="0.2">
      <c r="A104" s="9"/>
      <c r="B104" s="1127"/>
      <c r="C104" s="1128"/>
      <c r="D104" s="1128"/>
      <c r="E104" s="1128"/>
      <c r="F104" s="1128"/>
      <c r="G104" s="1128"/>
      <c r="H104" s="1128"/>
      <c r="I104" s="1128"/>
      <c r="J104" s="1128"/>
      <c r="K104" s="1128"/>
      <c r="L104" s="1128"/>
      <c r="M104" s="1128"/>
      <c r="N104" s="1129"/>
      <c r="O104" s="9"/>
      <c r="P104" s="941" t="s">
        <v>1471</v>
      </c>
      <c r="Q104" s="942"/>
      <c r="R104" s="942" t="s">
        <v>1416</v>
      </c>
      <c r="S104" s="942"/>
      <c r="T104" s="942" t="s">
        <v>1472</v>
      </c>
      <c r="U104" s="942"/>
      <c r="V104" s="942" t="s">
        <v>1473</v>
      </c>
      <c r="W104" s="942"/>
      <c r="X104" s="942" t="s">
        <v>1474</v>
      </c>
      <c r="Y104" s="942"/>
      <c r="Z104" s="942" t="s">
        <v>1475</v>
      </c>
      <c r="AA104" s="942"/>
      <c r="AB104" s="943"/>
      <c r="AC104" s="9"/>
      <c r="AD104" s="35"/>
      <c r="AE104" s="35"/>
      <c r="AF104" s="35"/>
      <c r="AG104" s="35"/>
      <c r="AH104" s="35"/>
      <c r="AI104" s="35"/>
      <c r="AJ104" s="35"/>
      <c r="AK104" s="35"/>
      <c r="AL104" s="29"/>
      <c r="AM104" s="29"/>
      <c r="AN104" s="29"/>
      <c r="AO104" s="29"/>
      <c r="AP104" s="29"/>
      <c r="AQ104" s="22"/>
      <c r="AR104" s="22"/>
      <c r="AS104" s="22"/>
      <c r="AT104" s="22"/>
      <c r="AU104" s="22"/>
      <c r="AV104" s="22"/>
      <c r="AW104" s="22"/>
      <c r="AX104" s="22"/>
      <c r="AY104" s="22"/>
    </row>
    <row r="105" spans="1:51" s="4" customFormat="1" x14ac:dyDescent="0.2">
      <c r="A105" s="9"/>
      <c r="B105" s="1127"/>
      <c r="C105" s="1128"/>
      <c r="D105" s="1128"/>
      <c r="E105" s="1128"/>
      <c r="F105" s="1128"/>
      <c r="G105" s="1128"/>
      <c r="H105" s="1128"/>
      <c r="I105" s="1128"/>
      <c r="J105" s="1128"/>
      <c r="K105" s="1128"/>
      <c r="L105" s="1128"/>
      <c r="M105" s="1128"/>
      <c r="N105" s="1129"/>
      <c r="O105" s="13"/>
      <c r="P105" s="941"/>
      <c r="Q105" s="942"/>
      <c r="R105" s="942"/>
      <c r="S105" s="942"/>
      <c r="T105" s="942"/>
      <c r="U105" s="942"/>
      <c r="V105" s="942"/>
      <c r="W105" s="942"/>
      <c r="X105" s="942"/>
      <c r="Y105" s="942"/>
      <c r="Z105" s="942"/>
      <c r="AA105" s="942"/>
      <c r="AB105" s="943"/>
      <c r="AC105" s="9"/>
      <c r="AD105" s="9"/>
      <c r="AE105" s="9"/>
      <c r="AF105" s="9"/>
      <c r="AG105" s="9"/>
      <c r="AH105" s="9"/>
      <c r="AI105" s="9"/>
      <c r="AJ105" s="9"/>
      <c r="AK105" s="9"/>
      <c r="AQ105" s="22"/>
      <c r="AR105" s="22"/>
      <c r="AS105" s="22"/>
      <c r="AT105" s="22"/>
      <c r="AU105" s="22"/>
      <c r="AV105" s="22"/>
      <c r="AW105" s="22"/>
      <c r="AX105" s="22"/>
      <c r="AY105" s="22"/>
    </row>
    <row r="106" spans="1:51" s="4" customFormat="1" x14ac:dyDescent="0.2">
      <c r="A106" s="9"/>
      <c r="B106" s="1127"/>
      <c r="C106" s="1128"/>
      <c r="D106" s="1128"/>
      <c r="E106" s="1128"/>
      <c r="F106" s="1128"/>
      <c r="G106" s="1128"/>
      <c r="H106" s="1128"/>
      <c r="I106" s="1128"/>
      <c r="J106" s="1128"/>
      <c r="K106" s="1128"/>
      <c r="L106" s="1128"/>
      <c r="M106" s="1128"/>
      <c r="N106" s="1129"/>
      <c r="O106" s="9"/>
      <c r="P106" s="944" t="e">
        <f>IF(ISBLANK(#REF!),"",(#REF!))</f>
        <v>#REF!</v>
      </c>
      <c r="Q106" s="945"/>
      <c r="R106" s="945" t="e">
        <f>IF(#REF!&lt;=L65,_xlfn.CONCAT(L65," ","(*Vértebra Travada)"),#REF!)</f>
        <v>#REF!</v>
      </c>
      <c r="S106" s="945"/>
      <c r="T106" s="945" t="e">
        <f>IF(ISBLANK(#REF!),"",(#REF!))</f>
        <v>#REF!</v>
      </c>
      <c r="U106" s="945"/>
      <c r="V106" s="945" t="e">
        <f>IF(ISBLANK(#REF!),"",(#REF!))</f>
        <v>#REF!</v>
      </c>
      <c r="W106" s="945"/>
      <c r="X106" s="945" t="e">
        <f>IF(ISBLANK(#REF!),"",(#REF!))</f>
        <v>#REF!</v>
      </c>
      <c r="Y106" s="945"/>
      <c r="Z106" s="945" t="e">
        <f>IF(ISBLANK(#REF!),"",(#REF!))</f>
        <v>#REF!</v>
      </c>
      <c r="AA106" s="945"/>
      <c r="AB106" s="948"/>
      <c r="AC106" s="9"/>
      <c r="AD106" s="37"/>
      <c r="AE106" s="37"/>
      <c r="AF106" s="37"/>
      <c r="AG106" s="37"/>
      <c r="AH106" s="37"/>
      <c r="AI106" s="37"/>
      <c r="AJ106" s="37"/>
      <c r="AK106" s="37"/>
      <c r="AL106" s="32"/>
      <c r="AM106" s="32"/>
      <c r="AN106" s="32"/>
      <c r="AO106" s="32"/>
      <c r="AQ106" s="22"/>
      <c r="AR106" s="22"/>
      <c r="AS106" s="22"/>
      <c r="AT106" s="22"/>
      <c r="AU106" s="22"/>
      <c r="AV106" s="22"/>
      <c r="AW106" s="22"/>
      <c r="AX106" s="22"/>
      <c r="AY106" s="22"/>
    </row>
    <row r="107" spans="1:51" s="4" customFormat="1" ht="12.75" customHeight="1" thickBot="1" x14ac:dyDescent="0.25">
      <c r="A107" s="9"/>
      <c r="B107" s="1127"/>
      <c r="C107" s="1128"/>
      <c r="D107" s="1128"/>
      <c r="E107" s="1128"/>
      <c r="F107" s="1128"/>
      <c r="G107" s="1128"/>
      <c r="H107" s="1128"/>
      <c r="I107" s="1128"/>
      <c r="J107" s="1128"/>
      <c r="K107" s="1128"/>
      <c r="L107" s="1128"/>
      <c r="M107" s="1128"/>
      <c r="N107" s="1129"/>
      <c r="O107" s="9"/>
      <c r="P107" s="946"/>
      <c r="Q107" s="947"/>
      <c r="R107" s="947"/>
      <c r="S107" s="947"/>
      <c r="T107" s="947"/>
      <c r="U107" s="947"/>
      <c r="V107" s="947"/>
      <c r="W107" s="947"/>
      <c r="X107" s="947"/>
      <c r="Y107" s="947"/>
      <c r="Z107" s="947"/>
      <c r="AA107" s="947"/>
      <c r="AB107" s="949"/>
      <c r="AC107" s="9"/>
      <c r="AD107" s="37"/>
      <c r="AE107" s="37"/>
      <c r="AF107" s="37"/>
      <c r="AG107" s="37"/>
      <c r="AH107" s="37"/>
      <c r="AI107" s="37"/>
      <c r="AJ107" s="37"/>
      <c r="AK107" s="37"/>
      <c r="AL107" s="32"/>
      <c r="AM107" s="32"/>
      <c r="AN107" s="32"/>
      <c r="AO107" s="32"/>
    </row>
    <row r="108" spans="1:51" s="4" customFormat="1" ht="12.75" customHeight="1" x14ac:dyDescent="0.2">
      <c r="A108" s="9"/>
      <c r="B108" s="1127"/>
      <c r="C108" s="1128"/>
      <c r="D108" s="1128"/>
      <c r="E108" s="1128"/>
      <c r="F108" s="1128"/>
      <c r="G108" s="1128"/>
      <c r="H108" s="1128"/>
      <c r="I108" s="1128"/>
      <c r="J108" s="1128"/>
      <c r="K108" s="1128"/>
      <c r="L108" s="1128"/>
      <c r="M108" s="1128"/>
      <c r="N108" s="1129"/>
      <c r="O108" s="9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9"/>
      <c r="AD108" s="37"/>
      <c r="AE108" s="37"/>
      <c r="AF108" s="37"/>
      <c r="AG108" s="37"/>
      <c r="AH108" s="37"/>
      <c r="AI108" s="37"/>
      <c r="AJ108" s="37"/>
      <c r="AK108" s="37"/>
      <c r="AL108" s="32"/>
      <c r="AM108" s="32"/>
      <c r="AN108" s="32"/>
      <c r="AO108" s="32"/>
    </row>
    <row r="109" spans="1:51" s="4" customFormat="1" ht="12.75" customHeight="1" x14ac:dyDescent="0.2">
      <c r="A109" s="9"/>
      <c r="B109" s="1127"/>
      <c r="C109" s="1128"/>
      <c r="D109" s="1128"/>
      <c r="E109" s="1128"/>
      <c r="F109" s="1128"/>
      <c r="G109" s="1128"/>
      <c r="H109" s="1128"/>
      <c r="I109" s="1128"/>
      <c r="J109" s="1128"/>
      <c r="K109" s="1128"/>
      <c r="L109" s="1128"/>
      <c r="M109" s="1128"/>
      <c r="N109" s="1129"/>
      <c r="O109" s="9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9"/>
      <c r="AD109" s="37"/>
      <c r="AE109" s="37"/>
      <c r="AF109" s="37"/>
      <c r="AG109" s="37"/>
      <c r="AH109" s="37"/>
      <c r="AI109" s="37"/>
      <c r="AJ109" s="37"/>
      <c r="AK109" s="37"/>
      <c r="AL109" s="32"/>
      <c r="AM109" s="32"/>
      <c r="AN109" s="32"/>
      <c r="AO109" s="32"/>
    </row>
    <row r="110" spans="1:51" s="4" customFormat="1" ht="12.75" customHeight="1" x14ac:dyDescent="0.2">
      <c r="A110" s="9"/>
      <c r="B110" s="1127"/>
      <c r="C110" s="1128"/>
      <c r="D110" s="1128"/>
      <c r="E110" s="1128"/>
      <c r="F110" s="1128"/>
      <c r="G110" s="1128"/>
      <c r="H110" s="1128"/>
      <c r="I110" s="1128"/>
      <c r="J110" s="1128"/>
      <c r="K110" s="1128"/>
      <c r="L110" s="1128"/>
      <c r="M110" s="1128"/>
      <c r="N110" s="1129"/>
      <c r="O110" s="9"/>
      <c r="P110" s="1136" t="s">
        <v>1491</v>
      </c>
      <c r="Q110" s="1137"/>
      <c r="R110" s="1137"/>
      <c r="S110" s="1137"/>
      <c r="T110" s="1137"/>
      <c r="U110" s="1137"/>
      <c r="V110" s="1137"/>
      <c r="W110" s="1137"/>
      <c r="X110" s="1137"/>
      <c r="Y110" s="1137"/>
      <c r="Z110" s="1137"/>
      <c r="AA110" s="1137"/>
      <c r="AB110" s="1137"/>
      <c r="AC110" s="9"/>
      <c r="AD110" s="37"/>
      <c r="AE110" s="37"/>
      <c r="AF110" s="37"/>
      <c r="AG110" s="37"/>
      <c r="AH110" s="37"/>
      <c r="AI110" s="37"/>
      <c r="AJ110" s="37"/>
      <c r="AK110" s="37"/>
      <c r="AL110" s="32"/>
      <c r="AM110" s="32"/>
      <c r="AN110" s="32"/>
      <c r="AO110" s="32"/>
    </row>
    <row r="111" spans="1:51" s="4" customFormat="1" ht="12.75" customHeight="1" thickBot="1" x14ac:dyDescent="0.25">
      <c r="A111" s="9"/>
      <c r="B111" s="1127"/>
      <c r="C111" s="1128"/>
      <c r="D111" s="1128"/>
      <c r="E111" s="1128"/>
      <c r="F111" s="1128"/>
      <c r="G111" s="1128"/>
      <c r="H111" s="1128"/>
      <c r="I111" s="1128"/>
      <c r="J111" s="1128"/>
      <c r="K111" s="1128"/>
      <c r="L111" s="1128"/>
      <c r="M111" s="1128"/>
      <c r="N111" s="1129"/>
      <c r="O111" s="9"/>
      <c r="P111" s="1137"/>
      <c r="Q111" s="1137"/>
      <c r="R111" s="1137"/>
      <c r="S111" s="1137"/>
      <c r="T111" s="1137"/>
      <c r="U111" s="1137"/>
      <c r="V111" s="1137"/>
      <c r="W111" s="1137"/>
      <c r="X111" s="1137"/>
      <c r="Y111" s="1137"/>
      <c r="Z111" s="1137"/>
      <c r="AA111" s="1137"/>
      <c r="AB111" s="1137"/>
      <c r="AC111" s="9"/>
      <c r="AD111" s="37"/>
      <c r="AE111" s="37"/>
      <c r="AF111" s="37"/>
      <c r="AG111" s="37"/>
      <c r="AH111" s="37"/>
      <c r="AI111" s="37"/>
      <c r="AJ111" s="37"/>
      <c r="AK111" s="37"/>
      <c r="AL111" s="32"/>
      <c r="AM111" s="32"/>
      <c r="AN111" s="32"/>
      <c r="AO111" s="32"/>
    </row>
    <row r="112" spans="1:51" s="4" customFormat="1" ht="12.75" customHeight="1" x14ac:dyDescent="0.2">
      <c r="A112" s="9"/>
      <c r="B112" s="1127"/>
      <c r="C112" s="1128"/>
      <c r="D112" s="1128"/>
      <c r="E112" s="1128"/>
      <c r="F112" s="1128"/>
      <c r="G112" s="1128"/>
      <c r="H112" s="1128"/>
      <c r="I112" s="1128"/>
      <c r="J112" s="1128"/>
      <c r="K112" s="1128"/>
      <c r="L112" s="1128"/>
      <c r="M112" s="1128"/>
      <c r="N112" s="1129"/>
      <c r="O112" s="9"/>
      <c r="P112" s="918" t="s">
        <v>1492</v>
      </c>
      <c r="Q112" s="919"/>
      <c r="R112" s="919"/>
      <c r="S112" s="919"/>
      <c r="T112" s="919"/>
      <c r="U112" s="919"/>
      <c r="V112" s="919"/>
      <c r="W112" s="919"/>
      <c r="X112" s="919"/>
      <c r="Y112" s="919"/>
      <c r="Z112" s="919"/>
      <c r="AA112" s="919"/>
      <c r="AB112" s="920"/>
      <c r="AC112" s="9"/>
      <c r="AD112" s="37"/>
      <c r="AE112" s="37"/>
      <c r="AF112" s="37"/>
      <c r="AG112" s="37"/>
      <c r="AH112" s="37"/>
      <c r="AI112" s="37"/>
      <c r="AJ112" s="37"/>
      <c r="AK112" s="37"/>
      <c r="AL112" s="32"/>
      <c r="AM112" s="32"/>
      <c r="AN112" s="32"/>
      <c r="AO112" s="32"/>
    </row>
    <row r="113" spans="1:44" s="4" customFormat="1" ht="12.75" customHeight="1" x14ac:dyDescent="0.2">
      <c r="A113" s="9"/>
      <c r="B113" s="1127"/>
      <c r="C113" s="1128"/>
      <c r="D113" s="1128"/>
      <c r="E113" s="1128"/>
      <c r="F113" s="1128"/>
      <c r="G113" s="1128"/>
      <c r="H113" s="1128"/>
      <c r="I113" s="1128"/>
      <c r="J113" s="1128"/>
      <c r="K113" s="1128"/>
      <c r="L113" s="1128"/>
      <c r="M113" s="1128"/>
      <c r="N113" s="1129"/>
      <c r="O113" s="9"/>
      <c r="P113" s="921"/>
      <c r="Q113" s="922"/>
      <c r="R113" s="922"/>
      <c r="S113" s="922"/>
      <c r="T113" s="922"/>
      <c r="U113" s="922"/>
      <c r="V113" s="922"/>
      <c r="W113" s="922"/>
      <c r="X113" s="922"/>
      <c r="Y113" s="922"/>
      <c r="Z113" s="922"/>
      <c r="AA113" s="922"/>
      <c r="AB113" s="923"/>
      <c r="AC113" s="9"/>
      <c r="AD113" s="37"/>
      <c r="AE113" s="37"/>
      <c r="AF113" s="37"/>
      <c r="AG113" s="37"/>
      <c r="AH113" s="37"/>
      <c r="AI113" s="37"/>
      <c r="AJ113" s="37"/>
      <c r="AK113" s="37"/>
      <c r="AL113" s="32"/>
      <c r="AM113" s="32"/>
      <c r="AN113" s="32"/>
      <c r="AO113" s="32"/>
    </row>
    <row r="114" spans="1:44" s="4" customFormat="1" ht="18.75" customHeight="1" x14ac:dyDescent="0.2">
      <c r="A114" s="9"/>
      <c r="B114" s="1127"/>
      <c r="C114" s="1128"/>
      <c r="D114" s="1128"/>
      <c r="E114" s="1128"/>
      <c r="F114" s="1128"/>
      <c r="G114" s="1128"/>
      <c r="H114" s="1128"/>
      <c r="I114" s="1128"/>
      <c r="J114" s="1128"/>
      <c r="K114" s="1128"/>
      <c r="L114" s="1128"/>
      <c r="M114" s="1128"/>
      <c r="N114" s="1129"/>
      <c r="O114" s="9"/>
      <c r="P114" s="921"/>
      <c r="Q114" s="922"/>
      <c r="R114" s="922"/>
      <c r="S114" s="922"/>
      <c r="T114" s="922"/>
      <c r="U114" s="922"/>
      <c r="V114" s="922"/>
      <c r="W114" s="922"/>
      <c r="X114" s="922"/>
      <c r="Y114" s="922"/>
      <c r="Z114" s="922"/>
      <c r="AA114" s="922"/>
      <c r="AB114" s="923"/>
      <c r="AC114" s="9"/>
      <c r="AD114" s="37"/>
      <c r="AE114" s="37"/>
      <c r="AF114" s="37"/>
      <c r="AG114" s="37"/>
      <c r="AH114" s="37"/>
      <c r="AI114" s="37"/>
      <c r="AJ114" s="37"/>
      <c r="AK114" s="37"/>
      <c r="AL114" s="32"/>
      <c r="AM114" s="32"/>
      <c r="AN114" s="32"/>
      <c r="AO114" s="32"/>
    </row>
    <row r="115" spans="1:44" s="4" customFormat="1" ht="12.75" customHeight="1" x14ac:dyDescent="0.2">
      <c r="A115" s="9"/>
      <c r="B115" s="1127"/>
      <c r="C115" s="1128"/>
      <c r="D115" s="1128"/>
      <c r="E115" s="1128"/>
      <c r="F115" s="1128"/>
      <c r="G115" s="1128"/>
      <c r="H115" s="1128"/>
      <c r="I115" s="1128"/>
      <c r="J115" s="1128"/>
      <c r="K115" s="1128"/>
      <c r="L115" s="1128"/>
      <c r="M115" s="1128"/>
      <c r="N115" s="1129"/>
      <c r="O115" s="9"/>
      <c r="P115" s="921"/>
      <c r="Q115" s="922"/>
      <c r="R115" s="922"/>
      <c r="S115" s="922"/>
      <c r="T115" s="922"/>
      <c r="U115" s="922"/>
      <c r="V115" s="922"/>
      <c r="W115" s="922"/>
      <c r="X115" s="922"/>
      <c r="Y115" s="922"/>
      <c r="Z115" s="922"/>
      <c r="AA115" s="922"/>
      <c r="AB115" s="923"/>
      <c r="AC115" s="9"/>
      <c r="AD115" s="37"/>
      <c r="AE115" s="27"/>
      <c r="AF115" s="27"/>
      <c r="AG115" s="27"/>
      <c r="AH115" s="27"/>
      <c r="AI115" s="27"/>
      <c r="AJ115" s="27"/>
      <c r="AK115" s="23"/>
      <c r="AL115" s="23"/>
      <c r="AM115" s="23"/>
      <c r="AN115" s="23"/>
      <c r="AO115" s="23"/>
      <c r="AP115" s="23"/>
      <c r="AQ115" s="23"/>
    </row>
    <row r="116" spans="1:44" s="4" customFormat="1" ht="12.75" customHeight="1" x14ac:dyDescent="0.2">
      <c r="A116" s="9"/>
      <c r="B116" s="1127"/>
      <c r="C116" s="1128"/>
      <c r="D116" s="1128"/>
      <c r="E116" s="1128"/>
      <c r="F116" s="1128"/>
      <c r="G116" s="1128"/>
      <c r="H116" s="1128"/>
      <c r="I116" s="1128"/>
      <c r="J116" s="1128"/>
      <c r="K116" s="1128"/>
      <c r="L116" s="1128"/>
      <c r="M116" s="1128"/>
      <c r="N116" s="1129"/>
      <c r="O116" s="9"/>
      <c r="P116" s="924" t="s">
        <v>1493</v>
      </c>
      <c r="Q116" s="925"/>
      <c r="R116" s="925"/>
      <c r="S116" s="925"/>
      <c r="T116" s="925"/>
      <c r="U116" s="925"/>
      <c r="V116" s="925"/>
      <c r="W116" s="925"/>
      <c r="X116" s="925"/>
      <c r="Y116" s="925"/>
      <c r="Z116" s="925"/>
      <c r="AA116" s="925"/>
      <c r="AB116" s="926"/>
      <c r="AC116" s="9"/>
      <c r="AD116" s="37"/>
      <c r="AE116" s="9"/>
      <c r="AF116" s="9"/>
      <c r="AG116" s="9"/>
      <c r="AH116" s="9"/>
      <c r="AI116" s="9"/>
      <c r="AJ116" s="9"/>
    </row>
    <row r="117" spans="1:44" s="4" customFormat="1" ht="12.75" customHeight="1" x14ac:dyDescent="0.2">
      <c r="A117" s="9"/>
      <c r="B117" s="1127"/>
      <c r="C117" s="1128"/>
      <c r="D117" s="1128"/>
      <c r="E117" s="1128"/>
      <c r="F117" s="1128"/>
      <c r="G117" s="1128"/>
      <c r="H117" s="1128"/>
      <c r="I117" s="1128"/>
      <c r="J117" s="1128"/>
      <c r="K117" s="1128"/>
      <c r="L117" s="1128"/>
      <c r="M117" s="1128"/>
      <c r="N117" s="1129"/>
      <c r="O117" s="9"/>
      <c r="P117" s="924"/>
      <c r="Q117" s="925"/>
      <c r="R117" s="925"/>
      <c r="S117" s="925"/>
      <c r="T117" s="925"/>
      <c r="U117" s="925"/>
      <c r="V117" s="925"/>
      <c r="W117" s="925"/>
      <c r="X117" s="925"/>
      <c r="Y117" s="925"/>
      <c r="Z117" s="925"/>
      <c r="AA117" s="925"/>
      <c r="AB117" s="926"/>
      <c r="AC117" s="9"/>
      <c r="AD117" s="37"/>
      <c r="AE117" s="20"/>
      <c r="AF117" s="20"/>
      <c r="AG117" s="20"/>
      <c r="AH117" s="20"/>
      <c r="AI117" s="20"/>
      <c r="AJ117" s="20"/>
      <c r="AK117" s="8"/>
      <c r="AL117" s="8"/>
      <c r="AM117" s="8"/>
      <c r="AN117" s="8"/>
      <c r="AO117" s="8"/>
      <c r="AP117" s="8"/>
    </row>
    <row r="118" spans="1:44" s="4" customFormat="1" ht="12.75" customHeight="1" x14ac:dyDescent="0.2">
      <c r="A118" s="9"/>
      <c r="B118" s="1127"/>
      <c r="C118" s="1128"/>
      <c r="D118" s="1128"/>
      <c r="E118" s="1128"/>
      <c r="F118" s="1128"/>
      <c r="G118" s="1128"/>
      <c r="H118" s="1128"/>
      <c r="I118" s="1128"/>
      <c r="J118" s="1128"/>
      <c r="K118" s="1128"/>
      <c r="L118" s="1128"/>
      <c r="M118" s="1128"/>
      <c r="N118" s="1129"/>
      <c r="O118" s="9"/>
      <c r="P118" s="924"/>
      <c r="Q118" s="925"/>
      <c r="R118" s="925"/>
      <c r="S118" s="925"/>
      <c r="T118" s="925"/>
      <c r="U118" s="925"/>
      <c r="V118" s="925"/>
      <c r="W118" s="925"/>
      <c r="X118" s="925"/>
      <c r="Y118" s="925"/>
      <c r="Z118" s="925"/>
      <c r="AA118" s="925"/>
      <c r="AB118" s="926"/>
      <c r="AC118" s="9"/>
      <c r="AD118" s="37"/>
      <c r="AE118" s="20"/>
      <c r="AF118" s="20"/>
      <c r="AG118" s="20"/>
      <c r="AH118" s="20"/>
      <c r="AI118" s="20"/>
      <c r="AJ118" s="20"/>
      <c r="AK118" s="8"/>
      <c r="AL118" s="8"/>
      <c r="AM118" s="8"/>
      <c r="AN118" s="8"/>
      <c r="AO118" s="8"/>
      <c r="AP118" s="8"/>
    </row>
    <row r="119" spans="1:44" s="4" customFormat="1" ht="13.5" customHeight="1" x14ac:dyDescent="0.2">
      <c r="A119" s="9"/>
      <c r="B119" s="1127"/>
      <c r="C119" s="1128"/>
      <c r="D119" s="1128"/>
      <c r="E119" s="1128"/>
      <c r="F119" s="1128"/>
      <c r="G119" s="1128"/>
      <c r="H119" s="1128"/>
      <c r="I119" s="1128"/>
      <c r="J119" s="1128"/>
      <c r="K119" s="1128"/>
      <c r="L119" s="1128"/>
      <c r="M119" s="1128"/>
      <c r="N119" s="1129"/>
      <c r="O119" s="9"/>
      <c r="P119" s="42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43"/>
      <c r="AC119" s="9"/>
      <c r="AD119" s="37"/>
      <c r="AE119" s="20"/>
      <c r="AF119" s="20"/>
      <c r="AG119" s="20"/>
      <c r="AH119" s="20"/>
      <c r="AI119" s="20"/>
      <c r="AJ119" s="20"/>
      <c r="AK119" s="8"/>
      <c r="AL119" s="8"/>
      <c r="AM119" s="8"/>
      <c r="AN119" s="8"/>
      <c r="AO119" s="8"/>
      <c r="AP119" s="8"/>
    </row>
    <row r="120" spans="1:44" s="4" customFormat="1" ht="12.75" customHeight="1" x14ac:dyDescent="0.2">
      <c r="A120" s="9"/>
      <c r="B120" s="1127"/>
      <c r="C120" s="1128"/>
      <c r="D120" s="1128"/>
      <c r="E120" s="1128"/>
      <c r="F120" s="1128"/>
      <c r="G120" s="1128"/>
      <c r="H120" s="1128"/>
      <c r="I120" s="1128"/>
      <c r="J120" s="1128"/>
      <c r="K120" s="1128"/>
      <c r="L120" s="1128"/>
      <c r="M120" s="1128"/>
      <c r="N120" s="1129"/>
      <c r="O120" s="9"/>
      <c r="P120" s="927" t="s">
        <v>1494</v>
      </c>
      <c r="Q120" s="922"/>
      <c r="R120" s="922"/>
      <c r="S120" s="922"/>
      <c r="T120" s="922"/>
      <c r="U120" s="922"/>
      <c r="V120" s="922"/>
      <c r="W120" s="922"/>
      <c r="X120" s="922"/>
      <c r="Y120" s="922"/>
      <c r="Z120" s="922"/>
      <c r="AA120" s="922"/>
      <c r="AB120" s="923"/>
      <c r="AC120" s="9"/>
      <c r="AD120" s="37"/>
      <c r="AE120" s="20"/>
      <c r="AF120" s="20"/>
      <c r="AG120" s="20"/>
      <c r="AH120" s="20"/>
      <c r="AI120" s="20"/>
      <c r="AJ120" s="20"/>
      <c r="AK120" s="8"/>
      <c r="AL120" s="8"/>
      <c r="AM120" s="8"/>
      <c r="AN120" s="8"/>
      <c r="AO120" s="8"/>
      <c r="AP120" s="8"/>
      <c r="AR120" s="25"/>
    </row>
    <row r="121" spans="1:44" s="4" customFormat="1" ht="13.5" thickBot="1" x14ac:dyDescent="0.25">
      <c r="A121" s="9"/>
      <c r="B121" s="1130"/>
      <c r="C121" s="1131"/>
      <c r="D121" s="1131"/>
      <c r="E121" s="1131"/>
      <c r="F121" s="1131"/>
      <c r="G121" s="1131"/>
      <c r="H121" s="1131"/>
      <c r="I121" s="1131"/>
      <c r="J121" s="1131"/>
      <c r="K121" s="1131"/>
      <c r="L121" s="1131"/>
      <c r="M121" s="1131"/>
      <c r="N121" s="1132"/>
      <c r="O121" s="9"/>
      <c r="P121" s="921"/>
      <c r="Q121" s="922"/>
      <c r="R121" s="922"/>
      <c r="S121" s="922"/>
      <c r="T121" s="922"/>
      <c r="U121" s="922"/>
      <c r="V121" s="922"/>
      <c r="W121" s="922"/>
      <c r="X121" s="922"/>
      <c r="Y121" s="922"/>
      <c r="Z121" s="922"/>
      <c r="AA121" s="922"/>
      <c r="AB121" s="923"/>
      <c r="AC121" s="9"/>
      <c r="AD121" s="37"/>
      <c r="AE121" s="20"/>
      <c r="AF121" s="20"/>
      <c r="AG121" s="20"/>
      <c r="AH121" s="20"/>
      <c r="AI121" s="20"/>
      <c r="AJ121" s="20"/>
      <c r="AK121" s="8"/>
      <c r="AL121" s="8"/>
      <c r="AM121" s="8"/>
      <c r="AN121" s="8"/>
      <c r="AO121" s="8"/>
      <c r="AP121" s="8"/>
      <c r="AR121" s="25"/>
    </row>
    <row r="122" spans="1:44" s="4" customFormat="1" x14ac:dyDescent="0.2">
      <c r="A122" s="11"/>
      <c r="B122" s="1110"/>
      <c r="C122" s="1111"/>
      <c r="D122" s="1111"/>
      <c r="E122" s="1111"/>
      <c r="F122" s="1111"/>
      <c r="G122" s="1111"/>
      <c r="H122" s="1111"/>
      <c r="I122" s="1111"/>
      <c r="J122" s="1111"/>
      <c r="K122" s="1111"/>
      <c r="L122" s="1111"/>
      <c r="M122" s="1111"/>
      <c r="N122" s="1112"/>
      <c r="O122" s="9"/>
      <c r="P122" s="921"/>
      <c r="Q122" s="922"/>
      <c r="R122" s="922"/>
      <c r="S122" s="922"/>
      <c r="T122" s="922"/>
      <c r="U122" s="922"/>
      <c r="V122" s="922"/>
      <c r="W122" s="922"/>
      <c r="X122" s="922"/>
      <c r="Y122" s="922"/>
      <c r="Z122" s="922"/>
      <c r="AA122" s="922"/>
      <c r="AB122" s="923"/>
      <c r="AC122" s="9"/>
      <c r="AD122" s="37"/>
      <c r="AE122" s="20"/>
      <c r="AF122" s="20"/>
      <c r="AG122" s="20"/>
      <c r="AH122" s="20"/>
      <c r="AI122" s="20"/>
      <c r="AJ122" s="20"/>
      <c r="AK122" s="8"/>
      <c r="AL122" s="8"/>
      <c r="AM122" s="8"/>
      <c r="AN122" s="8"/>
      <c r="AO122" s="8"/>
      <c r="AP122" s="8"/>
      <c r="AR122" s="26"/>
    </row>
    <row r="123" spans="1:44" s="4" customFormat="1" ht="12.75" customHeight="1" x14ac:dyDescent="0.2">
      <c r="A123" s="11"/>
      <c r="B123" s="1062"/>
      <c r="C123" s="1013"/>
      <c r="D123" s="1013"/>
      <c r="E123" s="1013"/>
      <c r="F123" s="1013"/>
      <c r="G123" s="1013"/>
      <c r="H123" s="1013"/>
      <c r="I123" s="1013"/>
      <c r="J123" s="1013"/>
      <c r="K123" s="1013"/>
      <c r="L123" s="1013"/>
      <c r="M123" s="1013"/>
      <c r="N123" s="1015"/>
      <c r="O123" s="9"/>
      <c r="P123" s="921"/>
      <c r="Q123" s="922"/>
      <c r="R123" s="922"/>
      <c r="S123" s="922"/>
      <c r="T123" s="922"/>
      <c r="U123" s="922"/>
      <c r="V123" s="922"/>
      <c r="W123" s="922"/>
      <c r="X123" s="922"/>
      <c r="Y123" s="922"/>
      <c r="Z123" s="922"/>
      <c r="AA123" s="922"/>
      <c r="AB123" s="923"/>
      <c r="AC123" s="9"/>
      <c r="AD123" s="37"/>
      <c r="AE123" s="20"/>
      <c r="AF123" s="20"/>
      <c r="AG123" s="20"/>
      <c r="AH123" s="20"/>
      <c r="AI123" s="20"/>
      <c r="AJ123" s="20"/>
      <c r="AK123" s="8"/>
      <c r="AL123" s="8"/>
      <c r="AM123" s="8"/>
      <c r="AN123" s="8"/>
      <c r="AO123" s="8"/>
      <c r="AP123" s="8"/>
      <c r="AR123" s="26"/>
    </row>
    <row r="124" spans="1:44" s="4" customFormat="1" ht="13.5" thickBot="1" x14ac:dyDescent="0.25">
      <c r="A124" s="11"/>
      <c r="B124" s="1062"/>
      <c r="C124" s="1013"/>
      <c r="D124" s="1013"/>
      <c r="E124" s="1013"/>
      <c r="F124" s="1013"/>
      <c r="G124" s="1013"/>
      <c r="H124" s="1013"/>
      <c r="I124" s="1013"/>
      <c r="J124" s="1013"/>
      <c r="K124" s="1013"/>
      <c r="L124" s="1013"/>
      <c r="M124" s="1013"/>
      <c r="N124" s="1015"/>
      <c r="O124" s="9"/>
      <c r="P124" s="928"/>
      <c r="Q124" s="929"/>
      <c r="R124" s="929"/>
      <c r="S124" s="929"/>
      <c r="T124" s="929"/>
      <c r="U124" s="929"/>
      <c r="V124" s="929"/>
      <c r="W124" s="929"/>
      <c r="X124" s="929"/>
      <c r="Y124" s="929"/>
      <c r="Z124" s="929"/>
      <c r="AA124" s="929"/>
      <c r="AB124" s="930"/>
      <c r="AC124" s="9"/>
      <c r="AD124" s="37"/>
      <c r="AE124" s="20"/>
      <c r="AF124" s="20"/>
      <c r="AG124" s="20"/>
      <c r="AH124" s="20"/>
      <c r="AI124" s="20"/>
      <c r="AJ124" s="20"/>
      <c r="AK124" s="8"/>
      <c r="AL124" s="8"/>
      <c r="AM124" s="8"/>
      <c r="AN124" s="8"/>
      <c r="AO124" s="8"/>
      <c r="AP124" s="8"/>
      <c r="AR124" s="26"/>
    </row>
    <row r="125" spans="1:44" s="4" customFormat="1" x14ac:dyDescent="0.2">
      <c r="A125" s="11"/>
      <c r="B125" s="1062"/>
      <c r="C125" s="1013"/>
      <c r="D125" s="1013"/>
      <c r="E125" s="1013"/>
      <c r="F125" s="1013"/>
      <c r="G125" s="1013"/>
      <c r="H125" s="1013"/>
      <c r="I125" s="1013"/>
      <c r="J125" s="1013"/>
      <c r="K125" s="1013"/>
      <c r="L125" s="1013"/>
      <c r="M125" s="1013"/>
      <c r="N125" s="1015"/>
      <c r="O125" s="9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9"/>
      <c r="AD125" s="37"/>
      <c r="AE125" s="20"/>
      <c r="AF125" s="20"/>
      <c r="AG125" s="20"/>
      <c r="AH125" s="20"/>
      <c r="AI125" s="20"/>
      <c r="AJ125" s="20"/>
      <c r="AK125" s="8"/>
      <c r="AL125" s="8"/>
      <c r="AM125" s="8"/>
      <c r="AN125" s="8"/>
      <c r="AO125" s="8"/>
      <c r="AP125" s="8"/>
      <c r="AR125" s="23"/>
    </row>
    <row r="126" spans="1:44" s="4" customFormat="1" x14ac:dyDescent="0.2">
      <c r="A126" s="11"/>
      <c r="B126" s="1062"/>
      <c r="C126" s="1013"/>
      <c r="D126" s="1013"/>
      <c r="E126" s="1013"/>
      <c r="F126" s="1013"/>
      <c r="G126" s="1013"/>
      <c r="H126" s="1013"/>
      <c r="I126" s="1013"/>
      <c r="J126" s="1013"/>
      <c r="K126" s="1013"/>
      <c r="L126" s="1013"/>
      <c r="M126" s="1013"/>
      <c r="N126" s="1015"/>
      <c r="O126" s="9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9"/>
      <c r="AD126" s="37"/>
      <c r="AE126" s="20"/>
      <c r="AF126" s="20"/>
      <c r="AG126" s="20"/>
      <c r="AH126" s="20"/>
      <c r="AI126" s="20"/>
      <c r="AJ126" s="20"/>
      <c r="AK126" s="8"/>
      <c r="AL126" s="8"/>
      <c r="AM126" s="8"/>
      <c r="AN126" s="8"/>
      <c r="AO126" s="8"/>
      <c r="AP126" s="8"/>
      <c r="AR126" s="29"/>
    </row>
    <row r="127" spans="1:44" s="4" customFormat="1" ht="12.75" customHeight="1" x14ac:dyDescent="0.2">
      <c r="A127" s="11"/>
      <c r="B127" s="1062"/>
      <c r="C127" s="1013"/>
      <c r="D127" s="1013"/>
      <c r="E127" s="1013"/>
      <c r="F127" s="1013"/>
      <c r="G127" s="1013"/>
      <c r="H127" s="1013"/>
      <c r="I127" s="1013"/>
      <c r="J127" s="1013"/>
      <c r="K127" s="1013"/>
      <c r="L127" s="1013"/>
      <c r="M127" s="1013"/>
      <c r="N127" s="1015"/>
      <c r="O127" s="9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9"/>
      <c r="AD127" s="9"/>
      <c r="AE127" s="20"/>
      <c r="AF127" s="20"/>
      <c r="AG127" s="20"/>
      <c r="AH127" s="20"/>
      <c r="AI127" s="20"/>
      <c r="AJ127" s="20"/>
      <c r="AK127" s="8"/>
      <c r="AL127" s="8"/>
      <c r="AM127" s="8"/>
      <c r="AN127" s="8"/>
      <c r="AO127" s="8"/>
      <c r="AP127" s="8"/>
      <c r="AR127" s="29"/>
    </row>
    <row r="128" spans="1:44" s="4" customFormat="1" ht="12.75" customHeight="1" x14ac:dyDescent="0.2">
      <c r="A128" s="11"/>
      <c r="B128" s="1062"/>
      <c r="C128" s="1013"/>
      <c r="D128" s="1013"/>
      <c r="E128" s="1013"/>
      <c r="F128" s="1013"/>
      <c r="G128" s="1013"/>
      <c r="H128" s="1013"/>
      <c r="I128" s="1013"/>
      <c r="J128" s="1013"/>
      <c r="K128" s="1013"/>
      <c r="L128" s="1013"/>
      <c r="M128" s="1013"/>
      <c r="N128" s="1015"/>
      <c r="O128" s="9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9"/>
      <c r="AD128" s="9"/>
      <c r="AE128" s="20"/>
      <c r="AF128" s="20"/>
      <c r="AG128" s="20"/>
      <c r="AH128" s="20"/>
      <c r="AI128" s="20"/>
      <c r="AJ128" s="20"/>
      <c r="AK128" s="8"/>
      <c r="AL128" s="8"/>
      <c r="AM128" s="8"/>
      <c r="AN128" s="8"/>
      <c r="AO128" s="8"/>
      <c r="AP128" s="8"/>
      <c r="AR128" s="40"/>
    </row>
    <row r="129" spans="1:44" s="4" customFormat="1" ht="12.75" customHeight="1" x14ac:dyDescent="0.2">
      <c r="A129" s="11"/>
      <c r="B129" s="1062"/>
      <c r="C129" s="1013"/>
      <c r="D129" s="1013"/>
      <c r="E129" s="1013"/>
      <c r="F129" s="1013"/>
      <c r="G129" s="1013"/>
      <c r="H129" s="1013"/>
      <c r="I129" s="1013"/>
      <c r="J129" s="1013"/>
      <c r="K129" s="1013"/>
      <c r="L129" s="1013"/>
      <c r="M129" s="1013"/>
      <c r="N129" s="1015"/>
      <c r="O129" s="9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9"/>
      <c r="AD129" s="35"/>
      <c r="AE129" s="20"/>
      <c r="AF129" s="20"/>
      <c r="AG129" s="20"/>
      <c r="AH129" s="20"/>
      <c r="AI129" s="20"/>
      <c r="AJ129" s="20"/>
      <c r="AK129" s="8"/>
      <c r="AL129" s="8"/>
      <c r="AM129" s="8"/>
      <c r="AN129" s="8"/>
      <c r="AO129" s="8"/>
      <c r="AP129" s="8"/>
      <c r="AR129" s="40"/>
    </row>
    <row r="130" spans="1:44" s="4" customFormat="1" ht="12.75" customHeight="1" x14ac:dyDescent="0.2">
      <c r="A130" s="11"/>
      <c r="B130" s="1062"/>
      <c r="C130" s="1013"/>
      <c r="D130" s="1013"/>
      <c r="E130" s="1013"/>
      <c r="F130" s="1013"/>
      <c r="G130" s="1013"/>
      <c r="H130" s="1013"/>
      <c r="I130" s="1013"/>
      <c r="J130" s="1013"/>
      <c r="K130" s="1013"/>
      <c r="L130" s="1013"/>
      <c r="M130" s="1013"/>
      <c r="N130" s="1015"/>
      <c r="O130" s="9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9"/>
      <c r="AD130" s="38"/>
      <c r="AE130" s="20"/>
      <c r="AF130" s="20"/>
      <c r="AG130" s="20"/>
      <c r="AH130" s="20"/>
      <c r="AI130" s="20"/>
      <c r="AJ130" s="20"/>
      <c r="AK130" s="8"/>
      <c r="AL130" s="8"/>
      <c r="AM130" s="8"/>
      <c r="AN130" s="8"/>
      <c r="AO130" s="8"/>
      <c r="AP130" s="8"/>
      <c r="AR130" s="40"/>
    </row>
    <row r="131" spans="1:44" s="4" customFormat="1" ht="12.75" customHeight="1" x14ac:dyDescent="0.2">
      <c r="A131" s="11"/>
      <c r="B131" s="1062"/>
      <c r="C131" s="1013"/>
      <c r="D131" s="1013"/>
      <c r="E131" s="1013"/>
      <c r="F131" s="1013"/>
      <c r="G131" s="1013"/>
      <c r="H131" s="1013"/>
      <c r="I131" s="1013"/>
      <c r="J131" s="1013"/>
      <c r="K131" s="1013"/>
      <c r="L131" s="1013"/>
      <c r="M131" s="1013"/>
      <c r="N131" s="1015"/>
      <c r="O131" s="9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9"/>
      <c r="AD131" s="39"/>
      <c r="AE131" s="20"/>
      <c r="AF131" s="20"/>
      <c r="AG131" s="20"/>
      <c r="AH131" s="20"/>
      <c r="AI131" s="20"/>
      <c r="AJ131" s="20"/>
      <c r="AK131" s="8"/>
      <c r="AL131" s="8"/>
      <c r="AM131" s="8"/>
      <c r="AN131" s="8"/>
      <c r="AO131" s="8"/>
      <c r="AP131" s="8"/>
      <c r="AR131" s="40"/>
    </row>
    <row r="132" spans="1:44" s="4" customFormat="1" ht="12.75" customHeight="1" x14ac:dyDescent="0.2">
      <c r="A132" s="11"/>
      <c r="B132" s="1062"/>
      <c r="C132" s="1013"/>
      <c r="D132" s="1013"/>
      <c r="E132" s="1013"/>
      <c r="F132" s="1013"/>
      <c r="G132" s="1013"/>
      <c r="H132" s="1013"/>
      <c r="I132" s="1013"/>
      <c r="J132" s="1013"/>
      <c r="K132" s="1013"/>
      <c r="L132" s="1013"/>
      <c r="M132" s="1013"/>
      <c r="N132" s="1015"/>
      <c r="O132" s="9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9"/>
      <c r="AD132" s="39"/>
      <c r="AE132" s="20"/>
      <c r="AF132" s="20"/>
      <c r="AG132" s="20"/>
      <c r="AH132" s="20"/>
      <c r="AI132" s="20"/>
      <c r="AJ132" s="20"/>
      <c r="AK132" s="8"/>
      <c r="AL132" s="8"/>
      <c r="AM132" s="8"/>
      <c r="AN132" s="8"/>
      <c r="AO132" s="8"/>
      <c r="AP132" s="8"/>
      <c r="AR132" s="40"/>
    </row>
    <row r="133" spans="1:44" s="4" customFormat="1" ht="12.75" customHeight="1" x14ac:dyDescent="0.2">
      <c r="A133" s="11"/>
      <c r="B133" s="1062"/>
      <c r="C133" s="1013"/>
      <c r="D133" s="1013"/>
      <c r="E133" s="1013"/>
      <c r="F133" s="1013"/>
      <c r="G133" s="1013"/>
      <c r="H133" s="1013"/>
      <c r="I133" s="1013"/>
      <c r="J133" s="1013"/>
      <c r="K133" s="1013"/>
      <c r="L133" s="1013"/>
      <c r="M133" s="1013"/>
      <c r="N133" s="1015"/>
      <c r="O133" s="9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9"/>
      <c r="AD133" s="28"/>
      <c r="AE133" s="20"/>
      <c r="AF133" s="20"/>
      <c r="AG133" s="20"/>
      <c r="AH133" s="20"/>
      <c r="AI133" s="20"/>
      <c r="AJ133" s="20"/>
      <c r="AK133" s="8"/>
      <c r="AL133" s="8"/>
      <c r="AM133" s="8"/>
      <c r="AN133" s="8"/>
      <c r="AO133" s="8"/>
      <c r="AP133" s="8"/>
      <c r="AR133" s="40"/>
    </row>
    <row r="134" spans="1:44" s="4" customFormat="1" ht="12.75" customHeight="1" x14ac:dyDescent="0.2">
      <c r="A134" s="11"/>
      <c r="B134" s="1062"/>
      <c r="C134" s="1013"/>
      <c r="D134" s="1013"/>
      <c r="E134" s="1013"/>
      <c r="F134" s="1013"/>
      <c r="G134" s="1013"/>
      <c r="H134" s="1013"/>
      <c r="I134" s="1013"/>
      <c r="J134" s="1013"/>
      <c r="K134" s="1013"/>
      <c r="L134" s="1013"/>
      <c r="M134" s="1013"/>
      <c r="N134" s="1015"/>
      <c r="O134" s="9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9"/>
      <c r="AD134" s="28"/>
      <c r="AE134" s="20"/>
      <c r="AF134" s="20"/>
      <c r="AG134" s="20"/>
      <c r="AH134" s="20"/>
      <c r="AI134" s="20"/>
      <c r="AJ134" s="20"/>
      <c r="AK134" s="8"/>
      <c r="AL134" s="8"/>
      <c r="AM134" s="8"/>
      <c r="AN134" s="8"/>
      <c r="AO134" s="8"/>
      <c r="AP134" s="8"/>
      <c r="AR134" s="40"/>
    </row>
    <row r="135" spans="1:44" s="4" customFormat="1" ht="12.75" customHeight="1" x14ac:dyDescent="0.2">
      <c r="A135" s="11"/>
      <c r="B135" s="1062"/>
      <c r="C135" s="1013"/>
      <c r="D135" s="1013"/>
      <c r="E135" s="1013"/>
      <c r="F135" s="1013"/>
      <c r="G135" s="1013"/>
      <c r="H135" s="1013"/>
      <c r="I135" s="1013"/>
      <c r="J135" s="1013"/>
      <c r="K135" s="1013"/>
      <c r="L135" s="1013"/>
      <c r="M135" s="1013"/>
      <c r="N135" s="1015"/>
      <c r="O135" s="9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9"/>
      <c r="AD135" s="28"/>
      <c r="AE135" s="20"/>
      <c r="AF135" s="20"/>
      <c r="AG135" s="20"/>
      <c r="AH135" s="20"/>
      <c r="AI135" s="20"/>
      <c r="AJ135" s="20"/>
      <c r="AK135" s="8"/>
      <c r="AL135" s="8"/>
      <c r="AM135" s="8"/>
      <c r="AN135" s="8"/>
      <c r="AO135" s="8"/>
      <c r="AP135" s="8"/>
      <c r="AR135" s="40"/>
    </row>
    <row r="136" spans="1:44" s="4" customFormat="1" ht="12.75" customHeight="1" x14ac:dyDescent="0.2">
      <c r="A136" s="11"/>
      <c r="B136" s="1062"/>
      <c r="C136" s="1013"/>
      <c r="D136" s="1013"/>
      <c r="E136" s="1013"/>
      <c r="F136" s="1013"/>
      <c r="G136" s="1013"/>
      <c r="H136" s="1013"/>
      <c r="I136" s="1013"/>
      <c r="J136" s="1013"/>
      <c r="K136" s="1013"/>
      <c r="L136" s="1013"/>
      <c r="M136" s="1013"/>
      <c r="N136" s="1015"/>
      <c r="O136" s="9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9"/>
      <c r="AD136" s="27"/>
      <c r="AE136" s="20"/>
      <c r="AF136" s="20"/>
      <c r="AG136" s="20"/>
      <c r="AH136" s="20"/>
      <c r="AI136" s="20"/>
      <c r="AJ136" s="20"/>
      <c r="AK136" s="8"/>
      <c r="AL136" s="8"/>
      <c r="AM136" s="8"/>
      <c r="AN136" s="8"/>
      <c r="AO136" s="8"/>
      <c r="AP136" s="8"/>
      <c r="AR136" s="40"/>
    </row>
    <row r="137" spans="1:44" s="4" customFormat="1" ht="12.75" customHeight="1" x14ac:dyDescent="0.2">
      <c r="A137" s="11"/>
      <c r="B137" s="1062"/>
      <c r="C137" s="1013"/>
      <c r="D137" s="1013"/>
      <c r="E137" s="1013"/>
      <c r="F137" s="1013"/>
      <c r="G137" s="1013"/>
      <c r="H137" s="1013"/>
      <c r="I137" s="1013"/>
      <c r="J137" s="1013"/>
      <c r="K137" s="1013"/>
      <c r="L137" s="1013"/>
      <c r="M137" s="1013"/>
      <c r="N137" s="1015"/>
      <c r="O137" s="9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9"/>
      <c r="AD137" s="21"/>
      <c r="AE137" s="20"/>
      <c r="AF137" s="20"/>
      <c r="AG137" s="20"/>
      <c r="AH137" s="20"/>
      <c r="AI137" s="20"/>
      <c r="AJ137" s="20"/>
      <c r="AK137" s="8"/>
      <c r="AL137" s="8"/>
      <c r="AM137" s="8"/>
      <c r="AN137" s="8"/>
      <c r="AO137" s="8"/>
      <c r="AP137" s="8"/>
      <c r="AR137" s="40"/>
    </row>
    <row r="138" spans="1:44" s="4" customFormat="1" ht="12.75" customHeight="1" x14ac:dyDescent="0.2">
      <c r="A138" s="11"/>
      <c r="B138" s="1062"/>
      <c r="C138" s="1013"/>
      <c r="D138" s="1013"/>
      <c r="E138" s="1013"/>
      <c r="F138" s="1013"/>
      <c r="G138" s="1013"/>
      <c r="H138" s="1013"/>
      <c r="I138" s="1013"/>
      <c r="J138" s="1013"/>
      <c r="K138" s="1013"/>
      <c r="L138" s="1013"/>
      <c r="M138" s="1013"/>
      <c r="N138" s="1015"/>
      <c r="O138" s="9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9"/>
      <c r="AD138" s="21"/>
      <c r="AE138" s="9"/>
      <c r="AF138" s="9"/>
      <c r="AG138" s="9"/>
      <c r="AH138" s="9"/>
      <c r="AI138" s="9"/>
      <c r="AJ138" s="9"/>
      <c r="AR138" s="40"/>
    </row>
    <row r="139" spans="1:44" s="4" customFormat="1" ht="12.75" customHeight="1" x14ac:dyDescent="0.2">
      <c r="A139" s="11"/>
      <c r="B139" s="1062"/>
      <c r="C139" s="1013"/>
      <c r="D139" s="1013"/>
      <c r="E139" s="1013"/>
      <c r="F139" s="1013"/>
      <c r="G139" s="1013"/>
      <c r="H139" s="1013"/>
      <c r="I139" s="1013"/>
      <c r="J139" s="1013"/>
      <c r="K139" s="1013"/>
      <c r="L139" s="1013"/>
      <c r="M139" s="1013"/>
      <c r="N139" s="1015"/>
      <c r="O139" s="9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9"/>
      <c r="AD139" s="21"/>
      <c r="AE139" s="9"/>
      <c r="AF139" s="9"/>
      <c r="AG139" s="9"/>
      <c r="AH139" s="9"/>
      <c r="AI139" s="9"/>
      <c r="AJ139" s="9"/>
      <c r="AR139" s="40"/>
    </row>
    <row r="140" spans="1:44" s="4" customFormat="1" ht="13.5" customHeight="1" x14ac:dyDescent="0.2">
      <c r="A140" s="11"/>
      <c r="B140" s="1062"/>
      <c r="C140" s="1013"/>
      <c r="D140" s="1013"/>
      <c r="E140" s="1013"/>
      <c r="F140" s="1013"/>
      <c r="G140" s="1013"/>
      <c r="H140" s="1013"/>
      <c r="I140" s="1013"/>
      <c r="J140" s="1013"/>
      <c r="K140" s="1013"/>
      <c r="L140" s="1013"/>
      <c r="M140" s="1013"/>
      <c r="N140" s="1015"/>
      <c r="O140" s="9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9"/>
      <c r="AD140" s="27"/>
      <c r="AE140" s="27"/>
      <c r="AF140" s="27"/>
      <c r="AG140" s="27"/>
      <c r="AH140" s="27"/>
      <c r="AI140" s="27"/>
      <c r="AJ140" s="27"/>
      <c r="AK140" s="23"/>
      <c r="AL140" s="23"/>
      <c r="AM140" s="23"/>
      <c r="AN140" s="23"/>
      <c r="AO140" s="23"/>
      <c r="AP140" s="23"/>
      <c r="AQ140" s="23"/>
      <c r="AR140" s="40"/>
    </row>
    <row r="141" spans="1:44" s="4" customFormat="1" ht="12.75" customHeight="1" x14ac:dyDescent="0.2">
      <c r="A141" s="11"/>
      <c r="B141" s="1062"/>
      <c r="C141" s="1013"/>
      <c r="D141" s="1013"/>
      <c r="E141" s="1013"/>
      <c r="F141" s="1013"/>
      <c r="G141" s="1013"/>
      <c r="H141" s="1013"/>
      <c r="I141" s="1013"/>
      <c r="J141" s="1013"/>
      <c r="K141" s="1013"/>
      <c r="L141" s="1013"/>
      <c r="M141" s="1013"/>
      <c r="N141" s="1015"/>
      <c r="O141" s="9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9"/>
      <c r="AD141" s="21"/>
      <c r="AE141" s="28"/>
      <c r="AF141" s="28"/>
      <c r="AG141" s="28"/>
      <c r="AH141" s="28"/>
      <c r="AI141" s="28"/>
      <c r="AJ141" s="28"/>
      <c r="AK141" s="26"/>
      <c r="AL141" s="26"/>
      <c r="AM141" s="26"/>
      <c r="AN141" s="26"/>
      <c r="AO141" s="26"/>
      <c r="AP141" s="26"/>
      <c r="AQ141" s="26"/>
      <c r="AR141" s="24"/>
    </row>
    <row r="142" spans="1:44" s="4" customFormat="1" ht="12.75" customHeight="1" x14ac:dyDescent="0.2">
      <c r="A142" s="11"/>
      <c r="B142" s="1107" t="s">
        <v>1495</v>
      </c>
      <c r="C142" s="1108"/>
      <c r="D142" s="1108"/>
      <c r="E142" s="1108"/>
      <c r="F142" s="1108"/>
      <c r="G142" s="1108"/>
      <c r="H142" s="1108"/>
      <c r="I142" s="1108"/>
      <c r="J142" s="1108"/>
      <c r="K142" s="1108"/>
      <c r="L142" s="1108"/>
      <c r="M142" s="1108"/>
      <c r="N142" s="1109"/>
      <c r="O142" s="9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9"/>
      <c r="AD142" s="21"/>
      <c r="AE142" s="39"/>
      <c r="AF142" s="39"/>
      <c r="AG142" s="39"/>
      <c r="AH142" s="39"/>
      <c r="AI142" s="39"/>
      <c r="AJ142" s="39"/>
      <c r="AK142" s="25"/>
      <c r="AL142" s="25"/>
      <c r="AM142" s="25"/>
      <c r="AN142" s="25"/>
      <c r="AO142" s="25"/>
      <c r="AP142" s="25"/>
      <c r="AQ142" s="25"/>
      <c r="AR142" s="24"/>
    </row>
    <row r="143" spans="1:44" s="4" customFormat="1" ht="12.75" customHeight="1" x14ac:dyDescent="0.2">
      <c r="A143" s="9"/>
      <c r="B143" s="950" t="s">
        <v>1496</v>
      </c>
      <c r="C143" s="951"/>
      <c r="D143" s="951"/>
      <c r="E143" s="951"/>
      <c r="F143" s="951"/>
      <c r="G143" s="951"/>
      <c r="H143" s="951"/>
      <c r="I143" s="951"/>
      <c r="J143" s="951"/>
      <c r="K143" s="951"/>
      <c r="L143" s="951"/>
      <c r="M143" s="951"/>
      <c r="N143" s="952"/>
      <c r="O143" s="9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9"/>
      <c r="AD143" s="21"/>
      <c r="AE143" s="39"/>
      <c r="AF143" s="39"/>
      <c r="AG143" s="39"/>
      <c r="AH143" s="39"/>
      <c r="AI143" s="39"/>
      <c r="AJ143" s="39"/>
      <c r="AK143" s="25"/>
      <c r="AL143" s="25"/>
      <c r="AM143" s="25"/>
      <c r="AN143" s="25"/>
      <c r="AO143" s="25"/>
      <c r="AP143" s="25"/>
      <c r="AQ143" s="25"/>
      <c r="AR143" s="24"/>
    </row>
    <row r="144" spans="1:44" s="4" customFormat="1" ht="12.75" customHeight="1" x14ac:dyDescent="0.2">
      <c r="A144" s="9"/>
      <c r="B144" s="1025" t="s">
        <v>1497</v>
      </c>
      <c r="C144" s="1026"/>
      <c r="D144" s="1026"/>
      <c r="E144" s="1026" t="s">
        <v>1471</v>
      </c>
      <c r="F144" s="1026"/>
      <c r="G144" s="1026"/>
      <c r="H144" s="1026" t="s">
        <v>1416</v>
      </c>
      <c r="I144" s="1026"/>
      <c r="J144" s="1026"/>
      <c r="K144" s="1026" t="s">
        <v>1498</v>
      </c>
      <c r="L144" s="1026"/>
      <c r="M144" s="1026"/>
      <c r="N144" s="1018"/>
      <c r="O144" s="9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9"/>
      <c r="AD144" s="21"/>
      <c r="AE144" s="27"/>
      <c r="AF144" s="27"/>
      <c r="AG144" s="27"/>
      <c r="AH144" s="27"/>
      <c r="AI144" s="27"/>
      <c r="AJ144" s="27"/>
      <c r="AK144" s="23"/>
      <c r="AL144" s="23"/>
      <c r="AM144" s="23"/>
      <c r="AN144" s="23"/>
      <c r="AO144" s="23"/>
      <c r="AP144" s="23"/>
      <c r="AQ144" s="23"/>
      <c r="AR144" s="24"/>
    </row>
    <row r="145" spans="1:44" s="4" customFormat="1" ht="12.75" customHeight="1" x14ac:dyDescent="0.2">
      <c r="A145" s="9"/>
      <c r="B145" s="1025"/>
      <c r="C145" s="1026"/>
      <c r="D145" s="1026"/>
      <c r="E145" s="1026"/>
      <c r="F145" s="1026"/>
      <c r="G145" s="1026"/>
      <c r="H145" s="1026"/>
      <c r="I145" s="1026"/>
      <c r="J145" s="1026"/>
      <c r="K145" s="1026"/>
      <c r="L145" s="1026"/>
      <c r="M145" s="1026"/>
      <c r="N145" s="1018"/>
      <c r="O145" s="9"/>
      <c r="P145" s="223"/>
      <c r="Q145" s="223"/>
      <c r="R145" s="223"/>
      <c r="S145" s="223"/>
      <c r="T145" s="223"/>
      <c r="U145" s="223"/>
      <c r="V145" s="223"/>
      <c r="W145" s="223"/>
      <c r="X145" s="223"/>
      <c r="Y145" s="223"/>
      <c r="Z145" s="223"/>
      <c r="AA145" s="223"/>
      <c r="AB145" s="223"/>
      <c r="AC145" s="9"/>
      <c r="AD145" s="21"/>
      <c r="AE145" s="21"/>
      <c r="AF145" s="21"/>
      <c r="AG145" s="21"/>
      <c r="AH145" s="21"/>
      <c r="AI145" s="21"/>
      <c r="AJ145" s="21"/>
      <c r="AK145" s="24"/>
      <c r="AL145" s="24"/>
      <c r="AM145" s="24"/>
      <c r="AN145" s="24"/>
      <c r="AO145" s="24"/>
      <c r="AP145" s="24"/>
      <c r="AQ145" s="24"/>
      <c r="AR145" s="24"/>
    </row>
    <row r="146" spans="1:44" s="4" customFormat="1" ht="12.75" customHeight="1" x14ac:dyDescent="0.2">
      <c r="A146" s="9"/>
      <c r="B146" s="1088" t="e">
        <f>IF(ISBLANK(#REF!),"",(#REF!))</f>
        <v>#REF!</v>
      </c>
      <c r="C146" s="1084"/>
      <c r="D146" s="1084"/>
      <c r="E146" s="1082" t="e">
        <f>IF(ISBLANK(#REF!),"",(#REF!))</f>
        <v>#REF!</v>
      </c>
      <c r="F146" s="1082"/>
      <c r="G146" s="1082"/>
      <c r="H146" s="1082" t="e">
        <f>IF(#REF!&lt;=L65,_xlfn.CONCAT(L65," ","(*Vértebra Travada)"),#REF!)</f>
        <v>#REF!</v>
      </c>
      <c r="I146" s="1084"/>
      <c r="J146" s="1084"/>
      <c r="K146" s="1084" t="e">
        <f>_xlfn.CONCAT("[",Results!#REF!,";",Results!#REF!,"]")</f>
        <v>#REF!</v>
      </c>
      <c r="L146" s="1084"/>
      <c r="M146" s="1084"/>
      <c r="N146" s="1086"/>
      <c r="O146" s="9"/>
      <c r="P146" s="223"/>
      <c r="Q146" s="223"/>
      <c r="R146" s="223"/>
      <c r="S146" s="223"/>
      <c r="T146" s="223"/>
      <c r="U146" s="223"/>
      <c r="V146" s="223"/>
      <c r="W146" s="223"/>
      <c r="X146" s="223"/>
      <c r="Y146" s="223"/>
      <c r="Z146" s="223"/>
      <c r="AA146" s="223"/>
      <c r="AB146" s="223"/>
      <c r="AC146" s="9"/>
      <c r="AD146" s="21"/>
      <c r="AE146" s="21"/>
      <c r="AF146" s="21"/>
      <c r="AG146" s="21"/>
      <c r="AH146" s="21"/>
      <c r="AI146" s="21"/>
      <c r="AJ146" s="21"/>
      <c r="AK146" s="24"/>
      <c r="AL146" s="24"/>
      <c r="AM146" s="24"/>
      <c r="AN146" s="24"/>
      <c r="AO146" s="24"/>
      <c r="AP146" s="24"/>
      <c r="AQ146" s="24"/>
      <c r="AR146" s="24"/>
    </row>
    <row r="147" spans="1:44" s="4" customFormat="1" ht="12.75" customHeight="1" x14ac:dyDescent="0.2">
      <c r="A147" s="9"/>
      <c r="B147" s="1050"/>
      <c r="C147" s="1085"/>
      <c r="D147" s="1085"/>
      <c r="E147" s="1083"/>
      <c r="F147" s="1083"/>
      <c r="G147" s="1083"/>
      <c r="H147" s="1085"/>
      <c r="I147" s="1085"/>
      <c r="J147" s="1085"/>
      <c r="K147" s="1085"/>
      <c r="L147" s="1085"/>
      <c r="M147" s="1085"/>
      <c r="N147" s="1087"/>
      <c r="O147" s="9"/>
      <c r="P147" s="223"/>
      <c r="Q147" s="223"/>
      <c r="R147" s="223"/>
      <c r="S147" s="223"/>
      <c r="T147" s="223"/>
      <c r="U147" s="223"/>
      <c r="V147" s="223"/>
      <c r="W147" s="223"/>
      <c r="X147" s="223"/>
      <c r="Y147" s="223"/>
      <c r="Z147" s="223"/>
      <c r="AA147" s="223"/>
      <c r="AB147" s="223"/>
      <c r="AC147" s="9"/>
      <c r="AD147" s="21"/>
      <c r="AE147" s="21"/>
      <c r="AF147" s="21"/>
      <c r="AG147" s="21"/>
      <c r="AH147" s="21"/>
      <c r="AI147" s="21"/>
      <c r="AJ147" s="21"/>
      <c r="AK147" s="24"/>
      <c r="AL147" s="24"/>
      <c r="AM147" s="24"/>
      <c r="AN147" s="24"/>
      <c r="AO147" s="24"/>
      <c r="AP147" s="24"/>
      <c r="AQ147" s="24"/>
      <c r="AR147" s="24"/>
    </row>
    <row r="148" spans="1:44" s="4" customFormat="1" ht="12.75" customHeight="1" x14ac:dyDescent="0.2">
      <c r="A148" s="9"/>
      <c r="B148" s="950" t="s">
        <v>1499</v>
      </c>
      <c r="C148" s="951"/>
      <c r="D148" s="951"/>
      <c r="E148" s="951"/>
      <c r="F148" s="951"/>
      <c r="G148" s="951"/>
      <c r="H148" s="951"/>
      <c r="I148" s="951"/>
      <c r="J148" s="951"/>
      <c r="K148" s="951"/>
      <c r="L148" s="951"/>
      <c r="M148" s="951"/>
      <c r="N148" s="952"/>
      <c r="O148" s="9"/>
      <c r="P148" s="223"/>
      <c r="Q148" s="223"/>
      <c r="R148" s="223"/>
      <c r="S148" s="223"/>
      <c r="T148" s="223"/>
      <c r="U148" s="223"/>
      <c r="V148" s="223"/>
      <c r="W148" s="223"/>
      <c r="X148" s="223"/>
      <c r="Y148" s="223"/>
      <c r="Z148" s="223"/>
      <c r="AA148" s="223"/>
      <c r="AB148" s="223"/>
      <c r="AC148" s="9"/>
      <c r="AD148" s="21"/>
      <c r="AE148" s="21"/>
      <c r="AF148" s="21"/>
      <c r="AG148" s="21"/>
      <c r="AH148" s="21"/>
      <c r="AI148" s="21"/>
      <c r="AJ148" s="21"/>
      <c r="AK148" s="24"/>
      <c r="AL148" s="24"/>
      <c r="AM148" s="24"/>
      <c r="AN148" s="24"/>
      <c r="AO148" s="24"/>
      <c r="AP148" s="24"/>
      <c r="AQ148" s="24"/>
      <c r="AR148" s="24"/>
    </row>
    <row r="149" spans="1:44" s="4" customFormat="1" ht="13.5" customHeight="1" x14ac:dyDescent="0.2">
      <c r="A149" s="9"/>
      <c r="B149" s="1025" t="s">
        <v>1500</v>
      </c>
      <c r="C149" s="1026"/>
      <c r="D149" s="1026"/>
      <c r="E149" s="1026" t="s">
        <v>1501</v>
      </c>
      <c r="F149" s="1026"/>
      <c r="G149" s="1026"/>
      <c r="H149" s="1026" t="s">
        <v>1502</v>
      </c>
      <c r="I149" s="1026"/>
      <c r="J149" s="1026"/>
      <c r="K149" s="1026" t="s">
        <v>1489</v>
      </c>
      <c r="L149" s="1026"/>
      <c r="M149" s="1026"/>
      <c r="N149" s="1018"/>
      <c r="O149" s="9"/>
      <c r="P149" s="223"/>
      <c r="Q149" s="223"/>
      <c r="R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9"/>
      <c r="AD149" s="21"/>
      <c r="AE149" s="21"/>
      <c r="AF149" s="21"/>
      <c r="AG149" s="21"/>
      <c r="AH149" s="21"/>
      <c r="AI149" s="21"/>
      <c r="AJ149" s="21"/>
      <c r="AK149" s="24"/>
      <c r="AL149" s="24"/>
      <c r="AM149" s="24"/>
      <c r="AN149" s="24"/>
      <c r="AO149" s="24"/>
      <c r="AP149" s="24"/>
      <c r="AQ149" s="24"/>
      <c r="AR149" s="24"/>
    </row>
    <row r="150" spans="1:44" s="4" customFormat="1" ht="12.75" customHeight="1" x14ac:dyDescent="0.2">
      <c r="A150" s="9"/>
      <c r="B150" s="1025"/>
      <c r="C150" s="1026"/>
      <c r="D150" s="1026"/>
      <c r="E150" s="1026"/>
      <c r="F150" s="1026"/>
      <c r="G150" s="1026"/>
      <c r="H150" s="1026"/>
      <c r="I150" s="1026"/>
      <c r="J150" s="1026"/>
      <c r="K150" s="1026"/>
      <c r="L150" s="1026"/>
      <c r="M150" s="1026"/>
      <c r="N150" s="1018"/>
      <c r="O150" s="9"/>
      <c r="P150" s="223"/>
      <c r="Q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9"/>
      <c r="AD150" s="21"/>
      <c r="AE150" s="21"/>
      <c r="AF150" s="21"/>
      <c r="AG150" s="21"/>
      <c r="AH150" s="21"/>
      <c r="AI150" s="21"/>
      <c r="AJ150" s="21"/>
      <c r="AK150" s="24"/>
      <c r="AL150" s="24"/>
      <c r="AM150" s="24"/>
      <c r="AN150" s="24"/>
      <c r="AO150" s="24"/>
      <c r="AP150" s="24"/>
      <c r="AQ150" s="24"/>
    </row>
    <row r="151" spans="1:44" s="4" customFormat="1" ht="12.75" customHeight="1" x14ac:dyDescent="0.2">
      <c r="A151" s="9"/>
      <c r="B151" s="1025" t="s">
        <v>1503</v>
      </c>
      <c r="C151" s="1026"/>
      <c r="D151" s="1026"/>
      <c r="E151" s="1104" t="e">
        <f>IF(ISBLANK(#REF!),"",(#REF!))</f>
        <v>#REF!</v>
      </c>
      <c r="F151" s="1105"/>
      <c r="G151" s="1106"/>
      <c r="H151" s="1104" t="e">
        <f>IF(ISBLANK(#REF!),"",(#REF!))</f>
        <v>#REF!</v>
      </c>
      <c r="I151" s="1105"/>
      <c r="J151" s="1106"/>
      <c r="K151" s="1105" t="e">
        <f>IF(ISBLANK(#REF!),"",(#REF!))</f>
        <v>#REF!</v>
      </c>
      <c r="L151" s="1027"/>
      <c r="M151" s="1027"/>
      <c r="N151" s="1028"/>
      <c r="O151" s="9"/>
      <c r="P151" s="223"/>
      <c r="Q151" s="223"/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9"/>
      <c r="AD151" s="21"/>
      <c r="AE151" s="21"/>
      <c r="AF151" s="21"/>
      <c r="AG151" s="21"/>
      <c r="AH151" s="21"/>
      <c r="AI151" s="21"/>
      <c r="AJ151" s="21"/>
      <c r="AK151" s="24"/>
      <c r="AL151" s="24"/>
      <c r="AM151" s="24"/>
      <c r="AN151" s="24"/>
      <c r="AO151" s="24"/>
      <c r="AP151" s="24"/>
      <c r="AQ151" s="24"/>
    </row>
    <row r="152" spans="1:44" s="4" customFormat="1" ht="12.75" customHeight="1" x14ac:dyDescent="0.2">
      <c r="A152" s="9"/>
      <c r="B152" s="1025"/>
      <c r="C152" s="1026"/>
      <c r="D152" s="1026"/>
      <c r="E152" s="1072"/>
      <c r="F152" s="1073"/>
      <c r="G152" s="1074"/>
      <c r="H152" s="1072"/>
      <c r="I152" s="1073"/>
      <c r="J152" s="1074"/>
      <c r="K152" s="1078"/>
      <c r="L152" s="1078"/>
      <c r="M152" s="1078"/>
      <c r="N152" s="1079"/>
      <c r="O152" s="9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9"/>
      <c r="AD152" s="21"/>
      <c r="AE152" s="21"/>
      <c r="AF152" s="21"/>
      <c r="AG152" s="21"/>
      <c r="AH152" s="21"/>
      <c r="AI152" s="21"/>
      <c r="AJ152" s="21"/>
      <c r="AK152" s="24"/>
      <c r="AL152" s="24"/>
      <c r="AM152" s="24"/>
      <c r="AN152" s="24"/>
      <c r="AO152" s="24"/>
      <c r="AP152" s="24"/>
      <c r="AQ152" s="24"/>
    </row>
    <row r="153" spans="1:44" s="4" customFormat="1" ht="12.75" customHeight="1" x14ac:dyDescent="0.2">
      <c r="A153" s="9"/>
      <c r="B153" s="1025" t="s">
        <v>1504</v>
      </c>
      <c r="C153" s="1026"/>
      <c r="D153" s="1026"/>
      <c r="E153" s="1072" t="e">
        <f>IF(ISBLANK(#REF!),"",(#REF!))</f>
        <v>#REF!</v>
      </c>
      <c r="F153" s="1073"/>
      <c r="G153" s="1074"/>
      <c r="H153" s="1072" t="e">
        <f>IF(ISBLANK(#REF!),"",(#REF!))</f>
        <v>#REF!</v>
      </c>
      <c r="I153" s="1073"/>
      <c r="J153" s="1074"/>
      <c r="K153" s="1073" t="e">
        <f>IF(ISBLANK(#REF!),"",(#REF!))</f>
        <v>#REF!</v>
      </c>
      <c r="L153" s="1078"/>
      <c r="M153" s="1078"/>
      <c r="N153" s="1079"/>
      <c r="O153" s="9"/>
      <c r="P153" s="224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9"/>
      <c r="AD153" s="21"/>
      <c r="AE153" s="21"/>
      <c r="AF153" s="21"/>
      <c r="AG153" s="21"/>
      <c r="AH153" s="21"/>
      <c r="AI153" s="21"/>
      <c r="AJ153" s="21"/>
      <c r="AK153" s="24"/>
      <c r="AL153" s="24"/>
      <c r="AM153" s="24"/>
      <c r="AN153" s="24"/>
      <c r="AO153" s="24"/>
      <c r="AP153" s="24"/>
      <c r="AQ153" s="24"/>
    </row>
    <row r="154" spans="1:44" s="4" customFormat="1" ht="12.75" customHeight="1" thickBot="1" x14ac:dyDescent="0.25">
      <c r="A154" s="9"/>
      <c r="B154" s="1070"/>
      <c r="C154" s="1071"/>
      <c r="D154" s="1071"/>
      <c r="E154" s="1075"/>
      <c r="F154" s="1076"/>
      <c r="G154" s="1077"/>
      <c r="H154" s="1075"/>
      <c r="I154" s="1076"/>
      <c r="J154" s="1077"/>
      <c r="K154" s="1080"/>
      <c r="L154" s="1080"/>
      <c r="M154" s="1080"/>
      <c r="N154" s="1081"/>
      <c r="O154" s="9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9"/>
      <c r="AD154" s="21"/>
      <c r="AE154" s="21"/>
      <c r="AF154" s="21"/>
      <c r="AG154" s="21"/>
      <c r="AH154" s="21"/>
      <c r="AI154" s="21"/>
      <c r="AJ154" s="21"/>
      <c r="AK154" s="24"/>
      <c r="AL154" s="24"/>
      <c r="AM154" s="24"/>
      <c r="AN154" s="24"/>
      <c r="AO154" s="24"/>
      <c r="AP154" s="24"/>
      <c r="AQ154" s="24"/>
    </row>
    <row r="155" spans="1:44" s="4" customFormat="1" ht="12.75" customHeight="1" x14ac:dyDescent="0.2">
      <c r="A155" s="9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9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9"/>
      <c r="AD155" s="21"/>
      <c r="AE155" s="21"/>
      <c r="AF155" s="21"/>
      <c r="AG155" s="21"/>
      <c r="AH155" s="21"/>
      <c r="AI155" s="21"/>
      <c r="AJ155" s="21"/>
      <c r="AK155" s="24"/>
      <c r="AL155" s="24"/>
      <c r="AM155" s="24"/>
      <c r="AN155" s="24"/>
      <c r="AO155" s="24"/>
      <c r="AP155" s="24"/>
      <c r="AQ155" s="24"/>
    </row>
    <row r="156" spans="1:44" s="4" customFormat="1" ht="12.75" customHeight="1" x14ac:dyDescent="0.2">
      <c r="A156" s="9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9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9"/>
      <c r="AD156" s="21"/>
      <c r="AE156" s="21"/>
      <c r="AF156" s="21"/>
      <c r="AG156" s="21"/>
      <c r="AH156" s="21"/>
      <c r="AI156" s="21"/>
      <c r="AJ156" s="21"/>
      <c r="AK156" s="24"/>
      <c r="AL156" s="24"/>
      <c r="AM156" s="24"/>
      <c r="AN156" s="24"/>
      <c r="AO156" s="24"/>
      <c r="AP156" s="24"/>
      <c r="AQ156" s="24"/>
    </row>
    <row r="157" spans="1:44" ht="12.75" customHeight="1" x14ac:dyDescent="0.2"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P157" s="226"/>
      <c r="Q157" s="226"/>
      <c r="R157" s="226"/>
      <c r="S157" s="226"/>
      <c r="T157" s="226"/>
      <c r="U157" s="226"/>
      <c r="V157" s="226"/>
      <c r="W157" s="226"/>
      <c r="X157" s="226"/>
      <c r="Y157" s="226"/>
      <c r="Z157" s="226"/>
      <c r="AA157" s="226"/>
      <c r="AB157" s="226"/>
      <c r="AD157" s="227"/>
      <c r="AE157" s="227"/>
      <c r="AF157" s="227"/>
      <c r="AG157" s="227"/>
      <c r="AH157" s="227"/>
      <c r="AI157" s="227"/>
      <c r="AJ157" s="227"/>
      <c r="AK157" s="227"/>
      <c r="AL157" s="227"/>
      <c r="AM157" s="227"/>
      <c r="AN157" s="227"/>
      <c r="AO157" s="227"/>
      <c r="AP157" s="227"/>
      <c r="AQ157" s="227"/>
    </row>
    <row r="158" spans="1:44" ht="12.75" customHeight="1" x14ac:dyDescent="0.2"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AD158" s="227"/>
      <c r="AE158" s="227"/>
      <c r="AF158" s="227"/>
      <c r="AG158" s="227"/>
      <c r="AH158" s="227"/>
      <c r="AI158" s="227"/>
      <c r="AJ158" s="227"/>
      <c r="AK158" s="227"/>
      <c r="AL158" s="227"/>
      <c r="AM158" s="227"/>
      <c r="AN158" s="227"/>
      <c r="AO158" s="227"/>
      <c r="AP158" s="227"/>
      <c r="AQ158" s="227"/>
    </row>
    <row r="159" spans="1:44" ht="12.75" customHeight="1" x14ac:dyDescent="0.2">
      <c r="B159" s="227"/>
      <c r="C159" s="227"/>
      <c r="D159" s="227"/>
      <c r="E159" s="227"/>
      <c r="F159" s="227"/>
      <c r="G159" s="227"/>
      <c r="H159" s="227"/>
      <c r="I159" s="227"/>
      <c r="J159" s="227"/>
      <c r="K159" s="227"/>
      <c r="L159" s="227"/>
      <c r="M159" s="227"/>
      <c r="N159" s="227"/>
      <c r="AD159" s="227"/>
      <c r="AE159" s="227"/>
      <c r="AF159" s="227"/>
      <c r="AG159" s="227"/>
      <c r="AH159" s="227"/>
      <c r="AI159" s="227"/>
      <c r="AJ159" s="227"/>
      <c r="AK159" s="227"/>
      <c r="AL159" s="227"/>
      <c r="AM159" s="227"/>
      <c r="AN159" s="227"/>
      <c r="AO159" s="227"/>
      <c r="AP159" s="227"/>
      <c r="AQ159" s="227"/>
    </row>
    <row r="160" spans="1:44" ht="12.75" customHeight="1" x14ac:dyDescent="0.2">
      <c r="B160" s="227"/>
      <c r="C160" s="227"/>
      <c r="D160" s="227"/>
      <c r="E160" s="227"/>
      <c r="F160" s="227"/>
      <c r="G160" s="227"/>
      <c r="H160" s="227"/>
      <c r="I160" s="227"/>
      <c r="J160" s="227"/>
      <c r="K160" s="227"/>
      <c r="L160" s="227"/>
      <c r="M160" s="227"/>
      <c r="N160" s="227"/>
      <c r="AD160" s="227"/>
      <c r="AE160" s="227"/>
      <c r="AF160" s="227"/>
      <c r="AG160" s="227"/>
      <c r="AH160" s="227"/>
      <c r="AI160" s="227"/>
      <c r="AJ160" s="227"/>
      <c r="AK160" s="227"/>
      <c r="AL160" s="227"/>
      <c r="AM160" s="227"/>
      <c r="AN160" s="227"/>
      <c r="AO160" s="227"/>
      <c r="AP160" s="227"/>
      <c r="AQ160" s="227"/>
    </row>
    <row r="161" spans="2:43" ht="12.75" customHeight="1" x14ac:dyDescent="0.2">
      <c r="B161" s="229"/>
      <c r="C161" s="227"/>
      <c r="D161" s="227"/>
      <c r="E161" s="227"/>
      <c r="F161" s="229"/>
      <c r="G161" s="229"/>
      <c r="H161" s="229"/>
      <c r="I161" s="229"/>
      <c r="J161" s="229"/>
      <c r="K161" s="227"/>
      <c r="L161" s="227"/>
      <c r="M161" s="227"/>
      <c r="N161" s="227"/>
      <c r="AD161" s="227"/>
      <c r="AE161" s="227"/>
      <c r="AF161" s="227"/>
      <c r="AG161" s="227"/>
      <c r="AH161" s="227"/>
      <c r="AI161" s="227"/>
      <c r="AJ161" s="227"/>
      <c r="AK161" s="227"/>
      <c r="AL161" s="227"/>
      <c r="AM161" s="227"/>
      <c r="AN161" s="227"/>
      <c r="AO161" s="227"/>
      <c r="AP161" s="227"/>
      <c r="AQ161" s="227"/>
    </row>
    <row r="162" spans="2:43" ht="12.75" customHeight="1" x14ac:dyDescent="0.2">
      <c r="B162" s="227"/>
      <c r="C162" s="227"/>
      <c r="D162" s="227"/>
      <c r="E162" s="227"/>
      <c r="F162" s="229"/>
      <c r="G162" s="229"/>
      <c r="H162" s="229"/>
      <c r="I162" s="229"/>
      <c r="J162" s="227"/>
      <c r="K162" s="227"/>
      <c r="L162" s="227"/>
      <c r="M162" s="227"/>
      <c r="N162" s="227"/>
      <c r="AD162" s="227"/>
      <c r="AE162" s="227"/>
      <c r="AF162" s="227"/>
      <c r="AG162" s="227"/>
      <c r="AH162" s="227"/>
      <c r="AI162" s="227"/>
      <c r="AJ162" s="227"/>
      <c r="AK162" s="227"/>
      <c r="AL162" s="227"/>
      <c r="AM162" s="227"/>
      <c r="AN162" s="227"/>
      <c r="AO162" s="227"/>
      <c r="AP162" s="227"/>
      <c r="AQ162" s="227"/>
    </row>
    <row r="163" spans="2:43" ht="12.75" customHeight="1" x14ac:dyDescent="0.2"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  <c r="Z163" s="230"/>
      <c r="AA163" s="230"/>
      <c r="AB163" s="230"/>
      <c r="AD163" s="227"/>
      <c r="AE163" s="227"/>
      <c r="AF163" s="227"/>
      <c r="AG163" s="227"/>
      <c r="AH163" s="227"/>
      <c r="AI163" s="227"/>
      <c r="AJ163" s="227"/>
      <c r="AK163" s="227"/>
      <c r="AL163" s="227"/>
      <c r="AM163" s="227"/>
      <c r="AN163" s="227"/>
      <c r="AO163" s="227"/>
      <c r="AP163" s="227"/>
      <c r="AQ163" s="227"/>
    </row>
    <row r="164" spans="2:43" ht="12.75" customHeight="1" x14ac:dyDescent="0.2"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E164" s="227"/>
      <c r="AF164" s="227"/>
      <c r="AG164" s="227"/>
      <c r="AH164" s="227"/>
      <c r="AI164" s="227"/>
      <c r="AJ164" s="227"/>
      <c r="AK164" s="227"/>
      <c r="AL164" s="227"/>
      <c r="AM164" s="227"/>
      <c r="AN164" s="227"/>
      <c r="AO164" s="227"/>
      <c r="AP164" s="227"/>
      <c r="AQ164" s="227"/>
    </row>
    <row r="165" spans="2:43" x14ac:dyDescent="0.2">
      <c r="AE165" s="227"/>
      <c r="AF165" s="227"/>
      <c r="AG165" s="227"/>
      <c r="AH165" s="227"/>
      <c r="AI165" s="227"/>
      <c r="AJ165" s="227"/>
      <c r="AK165" s="227"/>
      <c r="AL165" s="227"/>
      <c r="AM165" s="227"/>
      <c r="AN165" s="227"/>
      <c r="AO165" s="227"/>
      <c r="AP165" s="227"/>
      <c r="AQ165" s="227"/>
    </row>
    <row r="166" spans="2:43" x14ac:dyDescent="0.2"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</row>
    <row r="167" spans="2:43" x14ac:dyDescent="0.2">
      <c r="AE167" s="227"/>
      <c r="AF167" s="227"/>
      <c r="AG167" s="227"/>
      <c r="AH167" s="227"/>
      <c r="AI167" s="227"/>
      <c r="AJ167" s="227"/>
      <c r="AK167" s="227"/>
      <c r="AL167" s="227"/>
      <c r="AM167" s="227"/>
      <c r="AN167" s="227"/>
      <c r="AO167" s="227"/>
      <c r="AP167" s="227"/>
      <c r="AQ167" s="227"/>
    </row>
    <row r="168" spans="2:43" x14ac:dyDescent="0.2">
      <c r="AE168" s="227"/>
      <c r="AF168" s="227"/>
      <c r="AG168" s="227"/>
      <c r="AH168" s="227"/>
      <c r="AI168" s="227"/>
      <c r="AJ168" s="227"/>
      <c r="AK168" s="227"/>
      <c r="AL168" s="227"/>
      <c r="AM168" s="227"/>
      <c r="AN168" s="227"/>
      <c r="AO168" s="227"/>
      <c r="AP168" s="227"/>
      <c r="AQ168" s="227"/>
    </row>
    <row r="169" spans="2:43" x14ac:dyDescent="0.2">
      <c r="H169" s="231"/>
      <c r="AE169" s="227"/>
      <c r="AF169" s="227"/>
      <c r="AG169" s="227"/>
      <c r="AH169" s="227"/>
      <c r="AI169" s="227"/>
      <c r="AJ169" s="227"/>
      <c r="AK169" s="227"/>
      <c r="AL169" s="227"/>
      <c r="AM169" s="227"/>
      <c r="AN169" s="227"/>
      <c r="AO169" s="227"/>
      <c r="AP169" s="227"/>
      <c r="AQ169" s="227"/>
    </row>
    <row r="170" spans="2:43" x14ac:dyDescent="0.2">
      <c r="AE170" s="228"/>
      <c r="AF170" s="228"/>
      <c r="AG170" s="228"/>
      <c r="AH170" s="228"/>
      <c r="AI170" s="228"/>
      <c r="AJ170" s="228"/>
      <c r="AK170" s="228"/>
      <c r="AL170" s="228"/>
      <c r="AM170" s="228"/>
      <c r="AN170" s="228"/>
      <c r="AO170" s="228"/>
      <c r="AP170" s="228"/>
      <c r="AQ170" s="228"/>
    </row>
    <row r="171" spans="2:43" x14ac:dyDescent="0.2">
      <c r="AE171" s="232"/>
      <c r="AF171" s="232"/>
      <c r="AG171" s="232"/>
      <c r="AH171" s="232"/>
      <c r="AI171" s="232"/>
      <c r="AJ171" s="232"/>
      <c r="AK171" s="232"/>
      <c r="AL171" s="232"/>
      <c r="AM171" s="232"/>
      <c r="AN171" s="232"/>
      <c r="AO171" s="232"/>
      <c r="AP171" s="232"/>
      <c r="AQ171" s="232"/>
    </row>
    <row r="172" spans="2:43" x14ac:dyDescent="0.2">
      <c r="AE172" s="232"/>
      <c r="AF172" s="232"/>
      <c r="AG172" s="232"/>
      <c r="AH172" s="232"/>
      <c r="AI172" s="232"/>
      <c r="AJ172" s="232"/>
      <c r="AK172" s="232"/>
      <c r="AL172" s="232"/>
      <c r="AM172" s="232"/>
      <c r="AN172" s="232"/>
      <c r="AO172" s="232"/>
      <c r="AP172" s="232"/>
      <c r="AQ172" s="232"/>
    </row>
    <row r="173" spans="2:43" x14ac:dyDescent="0.2">
      <c r="AE173" s="232"/>
      <c r="AF173" s="232"/>
      <c r="AG173" s="232"/>
      <c r="AH173" s="232"/>
      <c r="AI173" s="232"/>
      <c r="AJ173" s="232"/>
      <c r="AK173" s="232"/>
      <c r="AL173" s="232"/>
      <c r="AM173" s="232"/>
      <c r="AN173" s="232"/>
      <c r="AO173" s="232"/>
      <c r="AP173" s="232"/>
      <c r="AQ173" s="232"/>
    </row>
    <row r="174" spans="2:43" x14ac:dyDescent="0.2">
      <c r="AE174" s="232"/>
      <c r="AF174" s="232"/>
      <c r="AG174" s="232"/>
      <c r="AH174" s="232"/>
      <c r="AI174" s="232"/>
      <c r="AJ174" s="232"/>
      <c r="AK174" s="232"/>
      <c r="AL174" s="232"/>
      <c r="AM174" s="232"/>
      <c r="AN174" s="232"/>
      <c r="AO174" s="232"/>
      <c r="AP174" s="232"/>
      <c r="AQ174" s="232"/>
    </row>
    <row r="175" spans="2:43" x14ac:dyDescent="0.2">
      <c r="AE175" s="232"/>
      <c r="AF175" s="232"/>
      <c r="AG175" s="232"/>
      <c r="AH175" s="232"/>
      <c r="AI175" s="232"/>
      <c r="AJ175" s="232"/>
      <c r="AK175" s="232"/>
      <c r="AL175" s="232"/>
      <c r="AM175" s="232"/>
      <c r="AN175" s="232"/>
      <c r="AO175" s="232"/>
      <c r="AP175" s="232"/>
      <c r="AQ175" s="232"/>
    </row>
    <row r="176" spans="2:43" x14ac:dyDescent="0.2">
      <c r="AE176" s="232"/>
      <c r="AF176" s="232"/>
      <c r="AG176" s="232"/>
      <c r="AH176" s="232"/>
      <c r="AI176" s="232"/>
      <c r="AJ176" s="232"/>
      <c r="AK176" s="232"/>
      <c r="AL176" s="232"/>
      <c r="AM176" s="232"/>
      <c r="AN176" s="232"/>
      <c r="AO176" s="232"/>
      <c r="AP176" s="232"/>
      <c r="AQ176" s="232"/>
    </row>
    <row r="177" spans="31:43" x14ac:dyDescent="0.2">
      <c r="AE177" s="232"/>
      <c r="AF177" s="232"/>
      <c r="AG177" s="232"/>
      <c r="AH177" s="232"/>
      <c r="AI177" s="232"/>
      <c r="AJ177" s="232"/>
      <c r="AK177" s="232"/>
      <c r="AL177" s="232"/>
      <c r="AM177" s="232"/>
      <c r="AN177" s="232"/>
      <c r="AO177" s="232"/>
      <c r="AP177" s="232"/>
      <c r="AQ177" s="232"/>
    </row>
    <row r="178" spans="31:43" x14ac:dyDescent="0.2">
      <c r="AE178" s="232"/>
      <c r="AF178" s="232"/>
      <c r="AG178" s="232"/>
      <c r="AH178" s="232"/>
      <c r="AI178" s="232"/>
      <c r="AJ178" s="232"/>
      <c r="AK178" s="232"/>
      <c r="AL178" s="232"/>
      <c r="AM178" s="232"/>
      <c r="AN178" s="232"/>
      <c r="AO178" s="232"/>
      <c r="AP178" s="232"/>
      <c r="AQ178" s="232"/>
    </row>
    <row r="179" spans="31:43" x14ac:dyDescent="0.2">
      <c r="AE179" s="232"/>
      <c r="AF179" s="232"/>
      <c r="AG179" s="232"/>
      <c r="AH179" s="232"/>
      <c r="AI179" s="232"/>
      <c r="AJ179" s="232"/>
      <c r="AK179" s="232"/>
      <c r="AL179" s="232"/>
      <c r="AM179" s="232"/>
      <c r="AN179" s="232"/>
      <c r="AO179" s="232"/>
      <c r="AP179" s="232"/>
      <c r="AQ179" s="232"/>
    </row>
    <row r="180" spans="31:43" x14ac:dyDescent="0.2">
      <c r="AE180" s="232"/>
      <c r="AF180" s="232"/>
      <c r="AG180" s="232"/>
      <c r="AH180" s="232"/>
      <c r="AI180" s="232"/>
      <c r="AJ180" s="232"/>
      <c r="AK180" s="232"/>
      <c r="AL180" s="232"/>
      <c r="AM180" s="232"/>
      <c r="AN180" s="232"/>
      <c r="AO180" s="232"/>
      <c r="AP180" s="232"/>
      <c r="AQ180" s="232"/>
    </row>
    <row r="181" spans="31:43" x14ac:dyDescent="0.2">
      <c r="AE181" s="232"/>
      <c r="AF181" s="232"/>
      <c r="AG181" s="232"/>
      <c r="AH181" s="232"/>
      <c r="AI181" s="232"/>
      <c r="AJ181" s="232"/>
      <c r="AK181" s="232"/>
      <c r="AL181" s="232"/>
      <c r="AM181" s="232"/>
      <c r="AN181" s="232"/>
      <c r="AO181" s="232"/>
      <c r="AP181" s="232"/>
      <c r="AQ181" s="232"/>
    </row>
    <row r="182" spans="31:43" x14ac:dyDescent="0.2">
      <c r="AE182" s="232"/>
      <c r="AF182" s="232"/>
      <c r="AG182" s="232"/>
      <c r="AH182" s="232"/>
      <c r="AI182" s="232"/>
      <c r="AJ182" s="232"/>
      <c r="AK182" s="232"/>
      <c r="AL182" s="232"/>
      <c r="AM182" s="232"/>
      <c r="AN182" s="232"/>
      <c r="AO182" s="232"/>
      <c r="AP182" s="232"/>
      <c r="AQ182" s="232"/>
    </row>
    <row r="183" spans="31:43" x14ac:dyDescent="0.2">
      <c r="AE183" s="232"/>
      <c r="AF183" s="232"/>
      <c r="AG183" s="232"/>
      <c r="AH183" s="232"/>
      <c r="AI183" s="232"/>
      <c r="AJ183" s="232"/>
      <c r="AK183" s="232"/>
      <c r="AL183" s="232"/>
      <c r="AM183" s="232"/>
      <c r="AN183" s="232"/>
      <c r="AO183" s="232"/>
      <c r="AP183" s="232"/>
      <c r="AQ183" s="232"/>
    </row>
    <row r="184" spans="31:43" x14ac:dyDescent="0.2">
      <c r="AE184" s="232"/>
      <c r="AF184" s="232"/>
      <c r="AG184" s="232"/>
      <c r="AH184" s="232"/>
      <c r="AI184" s="232"/>
      <c r="AJ184" s="232"/>
      <c r="AK184" s="232"/>
      <c r="AL184" s="232"/>
      <c r="AM184" s="232"/>
      <c r="AN184" s="232"/>
      <c r="AO184" s="232"/>
      <c r="AP184" s="232"/>
      <c r="AQ184" s="232"/>
    </row>
    <row r="185" spans="31:43" x14ac:dyDescent="0.2">
      <c r="AE185" s="232"/>
      <c r="AF185" s="232"/>
      <c r="AG185" s="232"/>
      <c r="AH185" s="232"/>
      <c r="AI185" s="232"/>
      <c r="AJ185" s="232"/>
      <c r="AK185" s="232"/>
      <c r="AL185" s="232"/>
      <c r="AM185" s="232"/>
      <c r="AN185" s="232"/>
      <c r="AO185" s="232"/>
      <c r="AP185" s="232"/>
      <c r="AQ185" s="232"/>
    </row>
    <row r="186" spans="31:43" x14ac:dyDescent="0.2"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</row>
    <row r="187" spans="31:43" x14ac:dyDescent="0.2"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</row>
    <row r="188" spans="31:43" x14ac:dyDescent="0.2"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</row>
    <row r="189" spans="31:43" x14ac:dyDescent="0.2"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</row>
    <row r="190" spans="31:43" x14ac:dyDescent="0.2"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</row>
    <row r="191" spans="31:43" x14ac:dyDescent="0.2"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</row>
    <row r="192" spans="31:43" x14ac:dyDescent="0.2"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</row>
    <row r="193" spans="31:43" x14ac:dyDescent="0.2">
      <c r="AE193" s="227"/>
      <c r="AF193" s="227"/>
      <c r="AG193" s="227"/>
      <c r="AH193" s="227"/>
      <c r="AI193" s="227"/>
      <c r="AJ193" s="227"/>
      <c r="AK193" s="227"/>
      <c r="AL193" s="227"/>
      <c r="AM193" s="227"/>
      <c r="AN193" s="227"/>
      <c r="AO193" s="227"/>
      <c r="AP193" s="227"/>
      <c r="AQ193" s="227"/>
    </row>
    <row r="194" spans="31:43" x14ac:dyDescent="0.2">
      <c r="AE194" s="227"/>
      <c r="AF194" s="227"/>
      <c r="AG194" s="227"/>
      <c r="AH194" s="227"/>
      <c r="AI194" s="227"/>
      <c r="AJ194" s="227"/>
      <c r="AK194" s="227"/>
      <c r="AL194" s="227"/>
      <c r="AM194" s="227"/>
      <c r="AN194" s="227"/>
      <c r="AO194" s="227"/>
      <c r="AP194" s="227"/>
      <c r="AQ194" s="227"/>
    </row>
    <row r="195" spans="31:43" x14ac:dyDescent="0.2">
      <c r="AE195" s="227"/>
      <c r="AF195" s="227"/>
      <c r="AG195" s="227"/>
      <c r="AH195" s="227"/>
      <c r="AI195" s="227"/>
      <c r="AJ195" s="227"/>
      <c r="AK195" s="227"/>
      <c r="AL195" s="227"/>
      <c r="AM195" s="227"/>
      <c r="AN195" s="227"/>
      <c r="AO195" s="227"/>
      <c r="AP195" s="227"/>
      <c r="AQ195" s="227"/>
    </row>
    <row r="196" spans="31:43" x14ac:dyDescent="0.2">
      <c r="AE196" s="227"/>
      <c r="AF196" s="227"/>
      <c r="AG196" s="227"/>
      <c r="AH196" s="227"/>
      <c r="AI196" s="227"/>
      <c r="AJ196" s="227"/>
      <c r="AK196" s="227"/>
      <c r="AL196" s="227"/>
      <c r="AM196" s="227"/>
      <c r="AN196" s="227"/>
      <c r="AO196" s="227"/>
      <c r="AP196" s="227"/>
      <c r="AQ196" s="227"/>
    </row>
    <row r="197" spans="31:43" x14ac:dyDescent="0.2"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</row>
    <row r="198" spans="31:43" x14ac:dyDescent="0.2">
      <c r="AE198" s="233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3"/>
      <c r="AP198" s="233"/>
      <c r="AQ198" s="233"/>
    </row>
    <row r="199" spans="31:43" x14ac:dyDescent="0.2">
      <c r="AE199" s="232"/>
      <c r="AF199" s="228"/>
      <c r="AG199" s="228"/>
      <c r="AH199" s="228"/>
      <c r="AI199" s="228"/>
      <c r="AJ199" s="228"/>
      <c r="AK199" s="228"/>
      <c r="AL199" s="228"/>
      <c r="AM199" s="228"/>
      <c r="AN199" s="228"/>
      <c r="AO199" s="228"/>
      <c r="AP199" s="228"/>
      <c r="AQ199" s="228"/>
    </row>
    <row r="200" spans="31:43" x14ac:dyDescent="0.2">
      <c r="AE200" s="228"/>
      <c r="AF200" s="228"/>
      <c r="AG200" s="228"/>
      <c r="AH200" s="228"/>
      <c r="AI200" s="228"/>
      <c r="AJ200" s="228"/>
      <c r="AK200" s="228"/>
      <c r="AL200" s="228"/>
      <c r="AM200" s="228"/>
      <c r="AN200" s="228"/>
      <c r="AO200" s="228"/>
      <c r="AP200" s="228"/>
      <c r="AQ200" s="228"/>
    </row>
    <row r="201" spans="31:43" ht="12.75" customHeight="1" x14ac:dyDescent="0.2">
      <c r="AE201" s="234"/>
      <c r="AF201" s="234"/>
      <c r="AG201" s="234"/>
      <c r="AH201" s="234"/>
      <c r="AI201" s="234"/>
      <c r="AJ201" s="234"/>
      <c r="AK201" s="234"/>
      <c r="AL201" s="234"/>
      <c r="AM201" s="234"/>
      <c r="AN201" s="234"/>
      <c r="AO201" s="234"/>
      <c r="AP201" s="234"/>
      <c r="AQ201" s="234"/>
    </row>
    <row r="202" spans="31:43" ht="12.75" customHeight="1" x14ac:dyDescent="0.2">
      <c r="AE202" s="234"/>
      <c r="AF202" s="234"/>
      <c r="AG202" s="234"/>
      <c r="AH202" s="234"/>
      <c r="AI202" s="234"/>
      <c r="AJ202" s="234"/>
      <c r="AK202" s="234"/>
      <c r="AL202" s="234"/>
      <c r="AM202" s="234"/>
      <c r="AN202" s="234"/>
      <c r="AO202" s="234"/>
      <c r="AP202" s="234"/>
      <c r="AQ202" s="234"/>
    </row>
    <row r="203" spans="31:43" ht="12.75" customHeight="1" x14ac:dyDescent="0.2">
      <c r="AE203" s="234"/>
      <c r="AF203" s="234"/>
      <c r="AG203" s="234"/>
      <c r="AH203" s="234"/>
      <c r="AI203" s="234"/>
      <c r="AJ203" s="234"/>
      <c r="AK203" s="234"/>
      <c r="AL203" s="234"/>
      <c r="AM203" s="234"/>
      <c r="AN203" s="234"/>
      <c r="AO203" s="234"/>
      <c r="AP203" s="234"/>
      <c r="AQ203" s="234"/>
    </row>
    <row r="204" spans="31:43" ht="12.75" customHeight="1" x14ac:dyDescent="0.2">
      <c r="AE204" s="234"/>
      <c r="AF204" s="234"/>
      <c r="AG204" s="234"/>
      <c r="AH204" s="234"/>
      <c r="AI204" s="234"/>
      <c r="AJ204" s="234"/>
      <c r="AK204" s="234"/>
      <c r="AL204" s="234"/>
      <c r="AM204" s="234"/>
      <c r="AN204" s="234"/>
      <c r="AO204" s="234"/>
      <c r="AP204" s="234"/>
      <c r="AQ204" s="234"/>
    </row>
    <row r="205" spans="31:43" ht="12.75" customHeight="1" x14ac:dyDescent="0.2">
      <c r="AE205" s="235"/>
      <c r="AF205" s="235"/>
      <c r="AG205" s="235"/>
      <c r="AH205" s="235"/>
      <c r="AI205" s="235"/>
      <c r="AJ205" s="235"/>
      <c r="AK205" s="235"/>
      <c r="AL205" s="235"/>
      <c r="AM205" s="235"/>
      <c r="AN205" s="235"/>
      <c r="AO205" s="235"/>
      <c r="AP205" s="235"/>
      <c r="AQ205" s="235"/>
    </row>
    <row r="206" spans="31:43" ht="12.75" customHeight="1" x14ac:dyDescent="0.2">
      <c r="AE206" s="235"/>
      <c r="AF206" s="235"/>
      <c r="AG206" s="235"/>
      <c r="AH206" s="235"/>
      <c r="AI206" s="235"/>
      <c r="AJ206" s="235"/>
      <c r="AK206" s="235"/>
      <c r="AL206" s="235"/>
      <c r="AM206" s="235"/>
      <c r="AN206" s="235"/>
      <c r="AO206" s="235"/>
      <c r="AP206" s="235"/>
      <c r="AQ206" s="235"/>
    </row>
    <row r="207" spans="31:43" ht="14.25" x14ac:dyDescent="0.2">
      <c r="AE207" s="235"/>
      <c r="AF207" s="235"/>
      <c r="AG207" s="235"/>
      <c r="AH207" s="235"/>
      <c r="AI207" s="235"/>
      <c r="AJ207" s="235"/>
      <c r="AK207" s="235"/>
      <c r="AL207" s="235"/>
      <c r="AM207" s="235"/>
      <c r="AN207" s="235"/>
      <c r="AO207" s="235"/>
      <c r="AP207" s="235"/>
      <c r="AQ207" s="235"/>
    </row>
    <row r="208" spans="31:43" ht="15" x14ac:dyDescent="0.2">
      <c r="AE208" s="236"/>
      <c r="AF208" s="236"/>
      <c r="AG208" s="236"/>
      <c r="AH208" s="236"/>
      <c r="AI208" s="236"/>
      <c r="AJ208" s="236"/>
      <c r="AK208" s="236"/>
      <c r="AL208" s="236"/>
      <c r="AM208" s="236"/>
      <c r="AN208" s="236"/>
      <c r="AO208" s="236"/>
      <c r="AP208" s="236"/>
      <c r="AQ208" s="236"/>
    </row>
    <row r="209" spans="31:43" ht="12.75" customHeight="1" x14ac:dyDescent="0.2">
      <c r="AE209" s="237"/>
      <c r="AF209" s="234"/>
      <c r="AG209" s="234"/>
      <c r="AH209" s="234"/>
      <c r="AI209" s="234"/>
      <c r="AJ209" s="234"/>
      <c r="AK209" s="234"/>
      <c r="AL209" s="234"/>
      <c r="AM209" s="234"/>
      <c r="AN209" s="234"/>
      <c r="AO209" s="234"/>
      <c r="AP209" s="234"/>
      <c r="AQ209" s="234"/>
    </row>
    <row r="210" spans="31:43" ht="12.75" customHeight="1" x14ac:dyDescent="0.2">
      <c r="AE210" s="234"/>
      <c r="AF210" s="234"/>
      <c r="AG210" s="234"/>
      <c r="AH210" s="234"/>
      <c r="AI210" s="234"/>
      <c r="AJ210" s="234"/>
      <c r="AK210" s="234"/>
      <c r="AL210" s="234"/>
      <c r="AM210" s="234"/>
      <c r="AN210" s="234"/>
      <c r="AO210" s="234"/>
      <c r="AP210" s="234"/>
      <c r="AQ210" s="234"/>
    </row>
    <row r="211" spans="31:43" ht="12.75" customHeight="1" x14ac:dyDescent="0.2">
      <c r="AE211" s="234"/>
      <c r="AF211" s="234"/>
      <c r="AG211" s="234"/>
      <c r="AH211" s="234"/>
      <c r="AI211" s="234"/>
      <c r="AJ211" s="234"/>
      <c r="AK211" s="234"/>
      <c r="AL211" s="234"/>
      <c r="AM211" s="234"/>
      <c r="AN211" s="234"/>
      <c r="AO211" s="234"/>
      <c r="AP211" s="234"/>
      <c r="AQ211" s="234"/>
    </row>
    <row r="212" spans="31:43" ht="12.75" customHeight="1" x14ac:dyDescent="0.2">
      <c r="AE212" s="234"/>
      <c r="AF212" s="234"/>
      <c r="AG212" s="234"/>
      <c r="AH212" s="234"/>
      <c r="AI212" s="234"/>
      <c r="AJ212" s="234"/>
      <c r="AK212" s="234"/>
      <c r="AL212" s="234"/>
      <c r="AM212" s="234"/>
      <c r="AN212" s="234"/>
      <c r="AO212" s="234"/>
      <c r="AP212" s="234"/>
      <c r="AQ212" s="234"/>
    </row>
    <row r="213" spans="31:43" ht="12.75" customHeight="1" x14ac:dyDescent="0.2">
      <c r="AE213" s="234"/>
      <c r="AF213" s="234"/>
      <c r="AG213" s="234"/>
      <c r="AH213" s="234"/>
      <c r="AI213" s="234"/>
      <c r="AJ213" s="234"/>
      <c r="AK213" s="234"/>
      <c r="AL213" s="234"/>
      <c r="AM213" s="234"/>
      <c r="AN213" s="234"/>
      <c r="AO213" s="234"/>
      <c r="AP213" s="234"/>
      <c r="AQ213" s="234"/>
    </row>
  </sheetData>
  <mergeCells count="223"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</mergeCells>
  <conditionalFormatting sqref="B97:H98">
    <cfRule type="expression" dxfId="96" priority="50">
      <formula xml:space="preserve"> AND($B$97&gt;0,L69&lt;0)</formula>
    </cfRule>
    <cfRule type="expression" dxfId="95" priority="51">
      <formula xml:space="preserve"> AND($B$97&lt;0,L69&gt;0)</formula>
    </cfRule>
    <cfRule type="expression" dxfId="94" priority="52">
      <formula xml:space="preserve"> ABS($B$97)&gt;ABS($L$69)</formula>
    </cfRule>
  </conditionalFormatting>
  <conditionalFormatting sqref="I97:N98">
    <cfRule type="expression" dxfId="93" priority="47">
      <formula xml:space="preserve"> AND($I$97&gt;0,$L$71&lt;0)</formula>
    </cfRule>
    <cfRule type="expression" dxfId="92" priority="48">
      <formula xml:space="preserve"> AND($I$97&lt;0,$L$71&gt;0)</formula>
    </cfRule>
    <cfRule type="expression" dxfId="91" priority="49">
      <formula xml:space="preserve"> ABS($I$97)&gt;ABS($L$71)</formula>
    </cfRule>
  </conditionalFormatting>
  <conditionalFormatting sqref="K151:N152">
    <cfRule type="expression" dxfId="90" priority="31">
      <formula>"ABS($K$151)&gt;ABS(Esforços!$G$16)"</formula>
    </cfRule>
  </conditionalFormatting>
  <conditionalFormatting sqref="P24:S25">
    <cfRule type="expression" dxfId="89" priority="9">
      <formula xml:space="preserve"> ABS($P$24)&gt;ABS($L$69)</formula>
    </cfRule>
  </conditionalFormatting>
  <conditionalFormatting sqref="T24:X25">
    <cfRule type="expression" dxfId="88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ignoredErrors>
    <ignoredError sqref="E88 B93 I93 L93 E151 H151 K15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AND($F$101&lt;0,Esforços!$G$9&gt;0)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AND($F$101&gt;0,Esforços!$G$9&lt;0)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AND($E$151&gt;0,Esforços!$G$16&lt;0)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AND($E$151&lt;0,Esforços!$G$16&gt;0)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AND($K$151&gt;0,Esforços!$G$15&lt;0)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AND($H$153&lt;0,Esforços!$G$17&gt;0)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AND($H$153&gt;0,Esforços!$G$17&lt;0)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AND($E$153&lt;0,Esforços!$G$19&gt;0)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AND($E$153&gt;0,Esforços!$G$19&lt;0)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/>
  <dimension ref="A1:R263"/>
  <sheetViews>
    <sheetView workbookViewId="0"/>
  </sheetViews>
  <sheetFormatPr defaultColWidth="0" defaultRowHeight="12.75" zeroHeight="1" x14ac:dyDescent="0.2"/>
  <cols>
    <col min="1" max="1" width="1.7109375" style="9" customWidth="1"/>
    <col min="2" max="12" width="9.140625" style="4" customWidth="1"/>
    <col min="13" max="17" width="9.140625" style="9" customWidth="1"/>
    <col min="18" max="18" width="1.7109375" style="9" customWidth="1"/>
    <col min="19" max="16384" width="9.140625" style="4" hidden="1"/>
  </cols>
  <sheetData>
    <row r="1" spans="1:12" x14ac:dyDescent="0.2">
      <c r="A1" s="34"/>
      <c r="B1" s="1195"/>
      <c r="C1" s="1192"/>
      <c r="D1" s="1191" t="str">
        <f xml:space="preserve"> IF(ISBLANK(estudo_edr),"",estudo_edr)</f>
        <v>S55095-RT-5801-IAS-284</v>
      </c>
      <c r="E1" s="1191"/>
      <c r="F1" s="1191"/>
      <c r="G1" s="1191"/>
      <c r="H1" s="1191"/>
      <c r="I1" s="1191"/>
      <c r="J1" s="1191"/>
      <c r="K1" s="1191"/>
      <c r="L1" s="1192"/>
    </row>
    <row r="2" spans="1:12" x14ac:dyDescent="0.2">
      <c r="B2" s="957"/>
      <c r="C2" s="933"/>
      <c r="D2" s="932"/>
      <c r="E2" s="932"/>
      <c r="F2" s="932"/>
      <c r="G2" s="932"/>
      <c r="H2" s="932"/>
      <c r="I2" s="932"/>
      <c r="J2" s="932"/>
      <c r="K2" s="932"/>
      <c r="L2" s="933"/>
    </row>
    <row r="3" spans="1:12" ht="13.5" thickBot="1" x14ac:dyDescent="0.25">
      <c r="B3" s="1196"/>
      <c r="C3" s="1194"/>
      <c r="D3" s="1193"/>
      <c r="E3" s="1193"/>
      <c r="F3" s="1193"/>
      <c r="G3" s="1193"/>
      <c r="H3" s="1193"/>
      <c r="I3" s="1193"/>
      <c r="J3" s="1193"/>
      <c r="K3" s="1193"/>
      <c r="L3" s="1194"/>
    </row>
    <row r="4" spans="1:12" x14ac:dyDescent="0.2"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B5" s="1137" t="s">
        <v>1388</v>
      </c>
      <c r="C5" s="1137"/>
      <c r="D5" s="1137"/>
      <c r="E5" s="1137"/>
      <c r="F5" s="1137"/>
      <c r="G5" s="1137"/>
      <c r="H5" s="1137"/>
      <c r="I5" s="1137"/>
      <c r="J5" s="1137"/>
      <c r="K5" s="1137"/>
      <c r="L5" s="1137"/>
    </row>
    <row r="6" spans="1:12" ht="12.75" customHeight="1" x14ac:dyDescent="0.2">
      <c r="B6" s="1146"/>
      <c r="C6" s="1146"/>
      <c r="D6" s="1146"/>
      <c r="E6" s="1146"/>
      <c r="F6" s="1146"/>
      <c r="G6" s="1146"/>
      <c r="H6" s="1146"/>
      <c r="I6" s="1146"/>
      <c r="J6" s="1146"/>
      <c r="K6" s="1146"/>
      <c r="L6" s="1146"/>
    </row>
    <row r="7" spans="1:12" x14ac:dyDescent="0.2">
      <c r="B7" s="48" t="s">
        <v>1505</v>
      </c>
      <c r="C7" s="1197" t="s">
        <v>1392</v>
      </c>
      <c r="D7" s="1197"/>
      <c r="E7" s="1197" t="s">
        <v>1393</v>
      </c>
      <c r="F7" s="1197"/>
      <c r="G7" s="1198" t="s">
        <v>1394</v>
      </c>
      <c r="H7" s="1198"/>
      <c r="I7" s="1197" t="s">
        <v>1395</v>
      </c>
      <c r="J7" s="1197"/>
      <c r="K7" s="1197" t="s">
        <v>1506</v>
      </c>
      <c r="L7" s="1197"/>
    </row>
    <row r="8" spans="1:12" x14ac:dyDescent="0.2">
      <c r="B8" s="1145">
        <f>estudo_version_report</f>
        <v>0</v>
      </c>
      <c r="C8" s="1199">
        <f ca="1">TODAY()</f>
        <v>45695</v>
      </c>
      <c r="D8" s="1145"/>
      <c r="E8" s="1200" t="str">
        <f>estudo_initials_engineer</f>
        <v>DTW</v>
      </c>
      <c r="F8" s="1200"/>
      <c r="G8" s="1200" t="str">
        <f>estudo_initials_reviewer</f>
        <v>NSI</v>
      </c>
      <c r="H8" s="1200"/>
      <c r="I8" s="1200" t="str">
        <f>estudo_initials_aprover</f>
        <v>CFS</v>
      </c>
      <c r="J8" s="1200"/>
      <c r="K8" s="1145" t="s">
        <v>1507</v>
      </c>
      <c r="L8" s="1145"/>
    </row>
    <row r="9" spans="1:12" x14ac:dyDescent="0.2">
      <c r="B9" s="1145"/>
      <c r="C9" s="1145"/>
      <c r="D9" s="1145"/>
      <c r="E9" s="1200"/>
      <c r="F9" s="1200"/>
      <c r="G9" s="1200"/>
      <c r="H9" s="1200"/>
      <c r="I9" s="1200"/>
      <c r="J9" s="1200"/>
      <c r="K9" s="1145"/>
      <c r="L9" s="1145"/>
    </row>
    <row r="10" spans="1:12" x14ac:dyDescent="0.2">
      <c r="B10" s="1197" t="s">
        <v>1400</v>
      </c>
      <c r="C10" s="1145" t="str">
        <f>_xlfn.CONCAT("ESTUDO DE CVD DE 2ª EXTREMIDADE DA LINHA"," ",estudo_line_type," ","no"," ",estudo_connection_type," ",estudo_well_name)</f>
        <v>ESTUDO DE CVD DE 2ª EXTREMIDADE DA LINHA IA no Manifold MSIAG-03</v>
      </c>
      <c r="D10" s="1145"/>
      <c r="E10" s="1145"/>
      <c r="F10" s="1145"/>
      <c r="G10" s="1145"/>
      <c r="H10" s="1145"/>
      <c r="I10" s="1145"/>
      <c r="J10" s="1145"/>
      <c r="K10" s="1145"/>
      <c r="L10" s="1145"/>
    </row>
    <row r="11" spans="1:12" x14ac:dyDescent="0.2">
      <c r="B11" s="1145"/>
      <c r="C11" s="1145"/>
      <c r="D11" s="1145"/>
      <c r="E11" s="1145"/>
      <c r="F11" s="1145"/>
      <c r="G11" s="1145"/>
      <c r="H11" s="1145"/>
      <c r="I11" s="1145"/>
      <c r="J11" s="1145"/>
      <c r="K11" s="1145"/>
      <c r="L11" s="1145"/>
    </row>
    <row r="12" spans="1:12" x14ac:dyDescent="0.2">
      <c r="B12" s="60" t="s">
        <v>1508</v>
      </c>
      <c r="C12" s="1145" t="str">
        <f xml:space="preserve"> IF(ISBLANK(estudo_requester),"",estudo_requester)</f>
        <v>Carlos Gonçalves</v>
      </c>
      <c r="D12" s="1145"/>
      <c r="E12" s="1145"/>
      <c r="F12" s="1145"/>
      <c r="G12" s="1145"/>
      <c r="H12" s="1145" t="str">
        <f xml:space="preserve"> IF(ISBLANK(estudo_vessel_coordinator),"",estudo_vessel_coordinator)</f>
        <v>Tadeu Porto</v>
      </c>
      <c r="I12" s="1145"/>
      <c r="J12" s="1145"/>
      <c r="K12" s="1145"/>
      <c r="L12" s="1145"/>
    </row>
    <row r="13" spans="1:12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">
      <c r="B14" s="1137" t="s">
        <v>1509</v>
      </c>
      <c r="C14" s="1137"/>
      <c r="D14" s="1137"/>
      <c r="E14" s="1137"/>
      <c r="F14" s="1137"/>
      <c r="G14" s="1137"/>
      <c r="H14" s="1137"/>
      <c r="I14" s="1137"/>
      <c r="J14" s="1137"/>
      <c r="K14" s="1137"/>
      <c r="L14" s="1137"/>
    </row>
    <row r="15" spans="1:12" ht="12.75" customHeight="1" x14ac:dyDescent="0.2">
      <c r="B15" s="1146"/>
      <c r="C15" s="1146"/>
      <c r="D15" s="1146"/>
      <c r="E15" s="1146"/>
      <c r="F15" s="1146"/>
      <c r="G15" s="1146"/>
      <c r="H15" s="1146"/>
      <c r="I15" s="1146"/>
      <c r="J15" s="1146"/>
      <c r="K15" s="1146"/>
      <c r="L15" s="1146"/>
    </row>
    <row r="16" spans="1:12" x14ac:dyDescent="0.2">
      <c r="B16" s="1187" t="s">
        <v>1510</v>
      </c>
      <c r="C16" s="1187"/>
      <c r="D16" s="1187"/>
      <c r="E16" s="1187"/>
      <c r="F16" s="1187"/>
      <c r="G16" s="1187"/>
      <c r="H16" s="1138" t="s">
        <v>1413</v>
      </c>
      <c r="I16" s="1138"/>
      <c r="J16" s="1138"/>
      <c r="K16" s="1138"/>
      <c r="L16" s="1138"/>
    </row>
    <row r="17" spans="2:12" x14ac:dyDescent="0.2">
      <c r="B17" s="7" t="s">
        <v>1511</v>
      </c>
      <c r="C17" s="1145" t="s">
        <v>1512</v>
      </c>
      <c r="D17" s="1145"/>
      <c r="E17" s="1145"/>
      <c r="F17" s="1145"/>
      <c r="G17" s="1145"/>
      <c r="H17" s="7" t="s">
        <v>1419</v>
      </c>
      <c r="I17" s="1145" t="s">
        <v>1420</v>
      </c>
      <c r="J17" s="1145"/>
      <c r="K17" s="1145"/>
      <c r="L17" s="1145"/>
    </row>
    <row r="18" spans="2:12" x14ac:dyDescent="0.2">
      <c r="B18" s="1188" t="s">
        <v>1421</v>
      </c>
      <c r="C18" s="1188"/>
      <c r="D18" s="1145" t="str">
        <f>_xlfn.CONCAT(Results!C4,"  ",Results!C5)</f>
        <v>Manifold  MSIAG-03</v>
      </c>
      <c r="E18" s="1145"/>
      <c r="F18" s="1145"/>
      <c r="G18" s="1145"/>
      <c r="H18" s="7" t="str">
        <f>_xlfn.CONCAT(estudo_line_type,":")</f>
        <v>IA:</v>
      </c>
      <c r="I18" s="1145" t="s">
        <v>1422</v>
      </c>
      <c r="J18" s="1145"/>
      <c r="K18" s="1145"/>
      <c r="L18" s="1145"/>
    </row>
    <row r="19" spans="2:12" x14ac:dyDescent="0.2">
      <c r="B19" s="1188" t="s">
        <v>1513</v>
      </c>
      <c r="C19" s="1188"/>
      <c r="D19" s="1145" t="str">
        <f>_xlfn.CONCAT(Values!C3," ","[m]")</f>
        <v>2301 [m]</v>
      </c>
      <c r="E19" s="1145"/>
      <c r="F19" s="1145"/>
      <c r="G19" s="1145"/>
      <c r="H19" s="7" t="s">
        <v>1514</v>
      </c>
      <c r="I19" s="1145" t="s">
        <v>1425</v>
      </c>
      <c r="J19" s="1145"/>
      <c r="K19" s="1145"/>
      <c r="L19" s="1145"/>
    </row>
    <row r="20" spans="2:12" x14ac:dyDescent="0.2">
      <c r="B20" s="7" t="s">
        <v>1427</v>
      </c>
      <c r="C20" s="7"/>
      <c r="D20" s="1145" t="str">
        <f xml:space="preserve"> IF(ISBLANK(Results!C6)," ",Results!C6)</f>
        <v>Coral do Atlântico</v>
      </c>
      <c r="E20" s="1145"/>
      <c r="F20" s="1145"/>
      <c r="G20" s="1145"/>
      <c r="H20" s="7" t="s">
        <v>1464</v>
      </c>
      <c r="I20" s="1145" t="s">
        <v>1429</v>
      </c>
      <c r="J20" s="1145"/>
      <c r="K20" s="1145"/>
      <c r="L20" s="1145"/>
    </row>
    <row r="21" spans="2:12" x14ac:dyDescent="0.2">
      <c r="B21" s="1189" t="s">
        <v>1430</v>
      </c>
      <c r="C21" s="1190"/>
      <c r="D21" s="1201" t="str">
        <f>IF(ISBLANK(Results!C7),"",Results!C7)</f>
        <v>BERBIGÃO</v>
      </c>
      <c r="E21" s="1202"/>
      <c r="F21" s="1202"/>
      <c r="G21" s="1203"/>
      <c r="H21" s="7" t="s">
        <v>1431</v>
      </c>
      <c r="I21" s="1145" t="s">
        <v>1432</v>
      </c>
      <c r="J21" s="1145"/>
      <c r="K21" s="1145"/>
      <c r="L21" s="1145"/>
    </row>
    <row r="22" spans="2:12" ht="12.75" customHeight="1" x14ac:dyDescent="0.2">
      <c r="B22" s="1189" t="s">
        <v>1515</v>
      </c>
      <c r="C22" s="1190"/>
      <c r="D22" s="1201" t="str">
        <f>_xlfn.CONCAT("ORCAFLEX versão"," ", postproc_orcaflex_version)</f>
        <v>ORCAFLEX versão 0</v>
      </c>
      <c r="E22" s="1202"/>
      <c r="F22" s="1202"/>
      <c r="G22" s="1203"/>
      <c r="H22" s="7" t="s">
        <v>1434</v>
      </c>
      <c r="I22" s="1145" t="s">
        <v>1435</v>
      </c>
      <c r="J22" s="1145"/>
      <c r="K22" s="1145"/>
      <c r="L22" s="1145"/>
    </row>
    <row r="23" spans="2:12" ht="12.75" customHeight="1" x14ac:dyDescent="0.2">
      <c r="B23" s="215"/>
      <c r="C23" s="215"/>
      <c r="D23" s="216"/>
      <c r="E23" s="216"/>
      <c r="F23" s="216"/>
      <c r="G23" s="216"/>
      <c r="H23" s="217"/>
      <c r="I23" s="213"/>
      <c r="J23" s="213"/>
      <c r="K23" s="213"/>
      <c r="L23" s="213"/>
    </row>
    <row r="24" spans="2:12" x14ac:dyDescent="0.2">
      <c r="B24" s="1138" t="s">
        <v>1436</v>
      </c>
      <c r="C24" s="1138"/>
      <c r="D24" s="1138"/>
      <c r="E24" s="1138"/>
      <c r="F24" s="1138"/>
      <c r="G24" s="1138"/>
      <c r="H24" s="1138"/>
      <c r="I24" s="1138"/>
      <c r="J24" s="1138"/>
      <c r="K24" s="1138"/>
      <c r="L24" s="1138"/>
    </row>
    <row r="25" spans="2:12" x14ac:dyDescent="0.2">
      <c r="B25" s="61" t="s">
        <v>1516</v>
      </c>
      <c r="C25" s="1186" t="s">
        <v>1438</v>
      </c>
      <c r="D25" s="1186"/>
      <c r="E25" s="1186"/>
      <c r="F25" s="1186"/>
      <c r="G25" s="62" t="s">
        <v>1517</v>
      </c>
      <c r="H25" s="1186" t="s">
        <v>1518</v>
      </c>
      <c r="I25" s="1186"/>
      <c r="J25" s="1186"/>
      <c r="K25" s="1186"/>
      <c r="L25" s="1186"/>
    </row>
    <row r="26" spans="2:12" x14ac:dyDescent="0.2">
      <c r="B26" s="1145" t="s">
        <v>1441</v>
      </c>
      <c r="C26" s="1184" t="str">
        <f xml:space="preserve"> IF(ISBLANK(estudo_rl_doc),"",estudo_rl_doc)</f>
        <v>RL-3A52.00-1500-94G-PZ9-038</v>
      </c>
      <c r="D26" s="1184"/>
      <c r="E26" s="1184"/>
      <c r="F26" s="1184"/>
      <c r="G26" s="1184">
        <f>estudo_rl_rev</f>
        <v>0</v>
      </c>
      <c r="H26" s="1185" t="str">
        <f xml:space="preserve"> IF(ISBLANK(estudo_rl_titulo),"",estudo_rl_titulo)</f>
        <v>Duto de injeção de água do poço I-SRR-011B da P-68 (Lado Manifold) - Análise de esforços em equip. Sub. (MCV)</v>
      </c>
      <c r="I26" s="1185"/>
      <c r="J26" s="1185"/>
      <c r="K26" s="1185"/>
      <c r="L26" s="1185"/>
    </row>
    <row r="27" spans="2:12" x14ac:dyDescent="0.2">
      <c r="B27" s="1145"/>
      <c r="C27" s="1184"/>
      <c r="D27" s="1184"/>
      <c r="E27" s="1184"/>
      <c r="F27" s="1184"/>
      <c r="G27" s="1184"/>
      <c r="H27" s="1185"/>
      <c r="I27" s="1185"/>
      <c r="J27" s="1185"/>
      <c r="K27" s="1185"/>
      <c r="L27" s="1185"/>
    </row>
    <row r="28" spans="2:12" x14ac:dyDescent="0.2">
      <c r="B28" s="1145" t="s">
        <v>1442</v>
      </c>
      <c r="C28" s="1184" t="str">
        <f xml:space="preserve"> IF(ISBLANK(estudo_rt_doc),"",estudo_rt_doc)</f>
        <v>RT-2517</v>
      </c>
      <c r="D28" s="1184"/>
      <c r="E28" s="1184"/>
      <c r="F28" s="1184"/>
      <c r="G28" s="1184">
        <f>estudo_rt_rev</f>
        <v>0</v>
      </c>
      <c r="H28" s="1185" t="str">
        <f xml:space="preserve"> IF(ISBLANK(estudo_rt_titulo),"",estudo_rt_titulo)</f>
        <v>Estudo de CVD de 1° no Manifold MSIAG-03</v>
      </c>
      <c r="I28" s="1185"/>
      <c r="J28" s="1185"/>
      <c r="K28" s="1185"/>
      <c r="L28" s="1185"/>
    </row>
    <row r="29" spans="2:12" x14ac:dyDescent="0.2">
      <c r="B29" s="1145"/>
      <c r="C29" s="1184"/>
      <c r="D29" s="1184"/>
      <c r="E29" s="1184"/>
      <c r="F29" s="1184"/>
      <c r="G29" s="1184"/>
      <c r="H29" s="1185"/>
      <c r="I29" s="1185"/>
      <c r="J29" s="1185"/>
      <c r="K29" s="1185"/>
      <c r="L29" s="1185"/>
    </row>
    <row r="30" spans="2:12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2:12" x14ac:dyDescent="0.2">
      <c r="B31" s="1137" t="s">
        <v>1519</v>
      </c>
      <c r="C31" s="1137"/>
      <c r="D31" s="1137"/>
      <c r="E31" s="1137"/>
      <c r="F31" s="1137"/>
      <c r="G31" s="1137"/>
      <c r="H31" s="1137"/>
      <c r="I31" s="1137"/>
      <c r="J31" s="1137"/>
      <c r="K31" s="1137"/>
      <c r="L31" s="1137"/>
    </row>
    <row r="32" spans="2:12" ht="12.75" customHeight="1" x14ac:dyDescent="0.2">
      <c r="B32" s="1146"/>
      <c r="C32" s="1146"/>
      <c r="D32" s="1146"/>
      <c r="E32" s="1146"/>
      <c r="F32" s="1146"/>
      <c r="G32" s="1146"/>
      <c r="H32" s="1146"/>
      <c r="I32" s="1146"/>
      <c r="J32" s="1146"/>
      <c r="K32" s="1146"/>
      <c r="L32" s="1146"/>
    </row>
    <row r="33" spans="2:12" x14ac:dyDescent="0.2">
      <c r="B33" s="1138" t="s">
        <v>1444</v>
      </c>
      <c r="C33" s="1138"/>
      <c r="D33" s="1138"/>
      <c r="E33" s="1138"/>
      <c r="F33" s="1138"/>
      <c r="G33" s="1138" t="s">
        <v>1445</v>
      </c>
      <c r="H33" s="1138"/>
      <c r="I33" s="1138"/>
      <c r="J33" s="1138"/>
      <c r="K33" s="1138"/>
      <c r="L33" s="1138"/>
    </row>
    <row r="34" spans="2:12" x14ac:dyDescent="0.2">
      <c r="B34" s="1183" t="s">
        <v>1520</v>
      </c>
      <c r="C34" s="1183"/>
      <c r="D34" s="1183"/>
      <c r="E34" s="1183"/>
      <c r="F34" s="1183"/>
      <c r="G34" s="1183"/>
      <c r="H34" s="1183"/>
      <c r="I34" s="1183"/>
      <c r="J34" s="1183"/>
      <c r="K34" s="1183"/>
      <c r="L34" s="1183"/>
    </row>
    <row r="35" spans="2:12" x14ac:dyDescent="0.2">
      <c r="B35" s="1183"/>
      <c r="C35" s="1183"/>
      <c r="D35" s="1183"/>
      <c r="E35" s="1183"/>
      <c r="F35" s="1183"/>
      <c r="G35" s="1183"/>
      <c r="H35" s="1183"/>
      <c r="I35" s="1183"/>
      <c r="J35" s="1183"/>
      <c r="K35" s="1183"/>
      <c r="L35" s="1183"/>
    </row>
    <row r="36" spans="2:12" x14ac:dyDescent="0.2">
      <c r="B36" s="1183"/>
      <c r="C36" s="1183"/>
      <c r="D36" s="1183"/>
      <c r="E36" s="1183"/>
      <c r="F36" s="1183"/>
      <c r="G36" s="1183"/>
      <c r="H36" s="1183"/>
      <c r="I36" s="1183"/>
      <c r="J36" s="1183"/>
      <c r="K36" s="1183"/>
      <c r="L36" s="1183"/>
    </row>
    <row r="37" spans="2:12" x14ac:dyDescent="0.2">
      <c r="B37" s="1183"/>
      <c r="C37" s="1183"/>
      <c r="D37" s="1183"/>
      <c r="E37" s="1183"/>
      <c r="F37" s="1183"/>
      <c r="G37" s="1183"/>
      <c r="H37" s="1183"/>
      <c r="I37" s="1183"/>
      <c r="J37" s="1183"/>
      <c r="K37" s="1183"/>
      <c r="L37" s="1183"/>
    </row>
    <row r="38" spans="2:12" x14ac:dyDescent="0.2">
      <c r="B38" s="1183"/>
      <c r="C38" s="1183"/>
      <c r="D38" s="1183"/>
      <c r="E38" s="1183"/>
      <c r="F38" s="1183"/>
      <c r="G38" s="1183"/>
      <c r="H38" s="1183"/>
      <c r="I38" s="1183"/>
      <c r="J38" s="1183"/>
      <c r="K38" s="1183"/>
      <c r="L38" s="1183"/>
    </row>
    <row r="39" spans="2:12" x14ac:dyDescent="0.2">
      <c r="B39" s="1183"/>
      <c r="C39" s="1183"/>
      <c r="D39" s="1183"/>
      <c r="E39" s="1183"/>
      <c r="F39" s="1183"/>
      <c r="G39" s="1183"/>
      <c r="H39" s="1183"/>
      <c r="I39" s="1183"/>
      <c r="J39" s="1183"/>
      <c r="K39" s="1183"/>
      <c r="L39" s="1183"/>
    </row>
    <row r="40" spans="2:12" x14ac:dyDescent="0.2">
      <c r="B40" s="1183"/>
      <c r="C40" s="1183"/>
      <c r="D40" s="1183"/>
      <c r="E40" s="1183"/>
      <c r="F40" s="1183"/>
      <c r="G40" s="1183"/>
      <c r="H40" s="1183"/>
      <c r="I40" s="1183"/>
      <c r="J40" s="1183"/>
      <c r="K40" s="1183"/>
      <c r="L40" s="1183"/>
    </row>
    <row r="41" spans="2:12" x14ac:dyDescent="0.2">
      <c r="B41" s="1183"/>
      <c r="C41" s="1183"/>
      <c r="D41" s="1183"/>
      <c r="E41" s="1183"/>
      <c r="F41" s="1183"/>
      <c r="G41" s="1183"/>
      <c r="H41" s="1183"/>
      <c r="I41" s="1183"/>
      <c r="J41" s="1183"/>
      <c r="K41" s="1183"/>
      <c r="L41" s="1183"/>
    </row>
    <row r="42" spans="2:12" x14ac:dyDescent="0.2">
      <c r="B42" s="1183"/>
      <c r="C42" s="1183"/>
      <c r="D42" s="1183"/>
      <c r="E42" s="1183"/>
      <c r="F42" s="1183"/>
      <c r="G42" s="1183"/>
      <c r="H42" s="1183"/>
      <c r="I42" s="1183"/>
      <c r="J42" s="1183"/>
      <c r="K42" s="1183"/>
      <c r="L42" s="1183"/>
    </row>
    <row r="43" spans="2:12" x14ac:dyDescent="0.2">
      <c r="B43" s="1183"/>
      <c r="C43" s="1183"/>
      <c r="D43" s="1183"/>
      <c r="E43" s="1183"/>
      <c r="F43" s="1183"/>
      <c r="G43" s="1183"/>
      <c r="H43" s="1183"/>
      <c r="I43" s="1183"/>
      <c r="J43" s="1183"/>
      <c r="K43" s="1183"/>
      <c r="L43" s="1183"/>
    </row>
    <row r="44" spans="2:12" x14ac:dyDescent="0.2">
      <c r="B44" s="1183"/>
      <c r="C44" s="1183"/>
      <c r="D44" s="1183"/>
      <c r="E44" s="1183"/>
      <c r="F44" s="1183"/>
      <c r="G44" s="1183"/>
      <c r="H44" s="1183"/>
      <c r="I44" s="1183"/>
      <c r="J44" s="1183"/>
      <c r="K44" s="1183"/>
      <c r="L44" s="1183"/>
    </row>
    <row r="45" spans="2:12" x14ac:dyDescent="0.2">
      <c r="B45" s="1183"/>
      <c r="C45" s="1183"/>
      <c r="D45" s="1183"/>
      <c r="E45" s="1183"/>
      <c r="F45" s="1183"/>
      <c r="G45" s="1183"/>
      <c r="H45" s="1183"/>
      <c r="I45" s="1183"/>
      <c r="J45" s="1183"/>
      <c r="K45" s="1183"/>
      <c r="L45" s="1183"/>
    </row>
    <row r="46" spans="2:12" x14ac:dyDescent="0.2">
      <c r="B46" s="1183"/>
      <c r="C46" s="1183"/>
      <c r="D46" s="1183"/>
      <c r="E46" s="1183"/>
      <c r="F46" s="1183"/>
      <c r="G46" s="1183"/>
      <c r="H46" s="1183"/>
      <c r="I46" s="1183"/>
      <c r="J46" s="1183"/>
      <c r="K46" s="1183"/>
      <c r="L46" s="1183"/>
    </row>
    <row r="47" spans="2:12" x14ac:dyDescent="0.2">
      <c r="B47" s="1183"/>
      <c r="C47" s="1183"/>
      <c r="D47" s="1183"/>
      <c r="E47" s="1183"/>
      <c r="F47" s="1183"/>
      <c r="G47" s="1183"/>
      <c r="H47" s="1183"/>
      <c r="I47" s="1183"/>
      <c r="J47" s="1183"/>
      <c r="K47" s="1183"/>
      <c r="L47" s="1183"/>
    </row>
    <row r="48" spans="2:12" x14ac:dyDescent="0.2">
      <c r="B48" s="1183"/>
      <c r="C48" s="1183"/>
      <c r="D48" s="1183"/>
      <c r="E48" s="1183"/>
      <c r="F48" s="1183"/>
      <c r="G48" s="1183"/>
      <c r="H48" s="1183"/>
      <c r="I48" s="1183"/>
      <c r="J48" s="1183"/>
      <c r="K48" s="1183"/>
      <c r="L48" s="1183"/>
    </row>
    <row r="49" spans="2:12" x14ac:dyDescent="0.2">
      <c r="B49" s="1183"/>
      <c r="C49" s="1183"/>
      <c r="D49" s="1183"/>
      <c r="E49" s="1183"/>
      <c r="F49" s="1183"/>
      <c r="G49" s="1183"/>
      <c r="H49" s="1183"/>
      <c r="I49" s="1183"/>
      <c r="J49" s="1183"/>
      <c r="K49" s="1183"/>
      <c r="L49" s="1183"/>
    </row>
    <row r="50" spans="2:12" x14ac:dyDescent="0.2">
      <c r="B50" s="1138" t="s">
        <v>1275</v>
      </c>
      <c r="C50" s="1138"/>
      <c r="D50" s="1138"/>
      <c r="E50" s="1138"/>
      <c r="F50" s="1138"/>
      <c r="G50" s="1138" t="s">
        <v>1521</v>
      </c>
      <c r="H50" s="1138"/>
      <c r="I50" s="1138"/>
      <c r="J50" s="1138"/>
      <c r="K50" s="1138"/>
      <c r="L50" s="1138"/>
    </row>
    <row r="51" spans="2:12" x14ac:dyDescent="0.2">
      <c r="B51" s="62" t="s">
        <v>1450</v>
      </c>
      <c r="C51" s="1144" t="s">
        <v>6</v>
      </c>
      <c r="D51" s="1144"/>
      <c r="E51" s="1144"/>
      <c r="F51" s="1144"/>
      <c r="G51" s="1144" t="s">
        <v>1451</v>
      </c>
      <c r="H51" s="1144"/>
      <c r="I51" s="1144"/>
      <c r="J51" s="62" t="s">
        <v>1452</v>
      </c>
      <c r="K51" s="62" t="s">
        <v>1522</v>
      </c>
      <c r="L51" s="62" t="s">
        <v>1454</v>
      </c>
    </row>
    <row r="52" spans="2:12" x14ac:dyDescent="0.2">
      <c r="B52" s="1145" t="s">
        <v>1455</v>
      </c>
      <c r="C52" s="1145" t="str">
        <f xml:space="preserve"> IF(ISBLANK(data_nome_estrutura),"",data_nome_estrutura)</f>
        <v>WSI 152.2547-RD-4042-X Rev. 2</v>
      </c>
      <c r="D52" s="1145"/>
      <c r="E52" s="1145"/>
      <c r="F52" s="1145"/>
      <c r="G52" s="1183" t="s">
        <v>1456</v>
      </c>
      <c r="H52" s="1183"/>
      <c r="I52" s="1183"/>
      <c r="J52" s="1145" t="s">
        <v>1282</v>
      </c>
      <c r="K52" s="1145" t="s">
        <v>1523</v>
      </c>
      <c r="L52" s="1145" t="s">
        <v>1458</v>
      </c>
    </row>
    <row r="53" spans="2:12" x14ac:dyDescent="0.2">
      <c r="B53" s="1145"/>
      <c r="C53" s="1145"/>
      <c r="D53" s="1145"/>
      <c r="E53" s="1145"/>
      <c r="F53" s="1145"/>
      <c r="G53" s="1183"/>
      <c r="H53" s="1183"/>
      <c r="I53" s="1183"/>
      <c r="J53" s="1145"/>
      <c r="K53" s="1145"/>
      <c r="L53" s="1145"/>
    </row>
    <row r="54" spans="2:12" x14ac:dyDescent="0.2">
      <c r="B54" s="1145" t="s">
        <v>1459</v>
      </c>
      <c r="C54" s="1145" t="str">
        <f xml:space="preserve"> IF(ISBLANK(data_nome_vertebra),"",data_nome_vertebra)</f>
        <v>CB-BR1522543-00-01 Rev. 1</v>
      </c>
      <c r="D54" s="1145"/>
      <c r="E54" s="1145"/>
      <c r="F54" s="1145"/>
      <c r="G54" s="1183" t="s">
        <v>1460</v>
      </c>
      <c r="H54" s="1183"/>
      <c r="I54" s="1183"/>
      <c r="J54" s="1145" t="s">
        <v>1282</v>
      </c>
      <c r="K54" s="1145">
        <v>0.5</v>
      </c>
      <c r="L54" s="1145" t="s">
        <v>1461</v>
      </c>
    </row>
    <row r="55" spans="2:12" x14ac:dyDescent="0.2">
      <c r="B55" s="1145"/>
      <c r="C55" s="1145"/>
      <c r="D55" s="1145"/>
      <c r="E55" s="1145"/>
      <c r="F55" s="1145"/>
      <c r="G55" s="1183"/>
      <c r="H55" s="1183"/>
      <c r="I55" s="1183"/>
      <c r="J55" s="1145"/>
      <c r="K55" s="1145"/>
      <c r="L55" s="1145"/>
    </row>
    <row r="56" spans="2:12" x14ac:dyDescent="0.2">
      <c r="B56" s="1145" t="s">
        <v>1462</v>
      </c>
      <c r="C56" s="1145" t="str">
        <f xml:space="preserve"> IF(ISBLANK(data_nome_conector),"",data_nome_conector)</f>
        <v>CB-EF1522543-00-04 Rev. 2</v>
      </c>
      <c r="D56" s="1145"/>
      <c r="E56" s="1145"/>
      <c r="F56" s="1145"/>
      <c r="G56" s="1183" t="s">
        <v>1463</v>
      </c>
      <c r="H56" s="1183"/>
      <c r="I56" s="1183"/>
      <c r="J56" s="1145" t="s">
        <v>1441</v>
      </c>
      <c r="K56" s="1145">
        <f>IF(ISBLANK(('MCV e Guindaste'!B8)*10^-3),"",('MCV e Guindaste'!B8)*10^-3)</f>
        <v>3.81</v>
      </c>
      <c r="L56" s="1145" t="s">
        <v>1461</v>
      </c>
    </row>
    <row r="57" spans="2:12" x14ac:dyDescent="0.2">
      <c r="B57" s="1145"/>
      <c r="C57" s="1145"/>
      <c r="D57" s="1145"/>
      <c r="E57" s="1145"/>
      <c r="F57" s="1145"/>
      <c r="G57" s="1183"/>
      <c r="H57" s="1183"/>
      <c r="I57" s="1183"/>
      <c r="J57" s="1145"/>
      <c r="K57" s="1145"/>
      <c r="L57" s="1145"/>
    </row>
    <row r="58" spans="2:12" x14ac:dyDescent="0.2">
      <c r="B58" s="1165" t="s">
        <v>1464</v>
      </c>
      <c r="C58" s="1147" t="str">
        <f>IF(ISBLANK(data_nome_mcv),"",data_nome_mcv)</f>
        <v>TechnipFMC / D</v>
      </c>
      <c r="D58" s="964"/>
      <c r="E58" s="964"/>
      <c r="F58" s="965"/>
      <c r="G58" s="1177" t="s">
        <v>1465</v>
      </c>
      <c r="H58" s="1178"/>
      <c r="I58" s="1179"/>
      <c r="J58" s="1165" t="s">
        <v>1441</v>
      </c>
      <c r="K58" s="1165">
        <f>IF(ISBLANK(Values!C27),"",(Values!C27))</f>
        <v>2.86</v>
      </c>
      <c r="L58" s="1165" t="s">
        <v>1461</v>
      </c>
    </row>
    <row r="59" spans="2:12" x14ac:dyDescent="0.2">
      <c r="B59" s="1166"/>
      <c r="C59" s="966"/>
      <c r="D59" s="967"/>
      <c r="E59" s="967"/>
      <c r="F59" s="968"/>
      <c r="G59" s="1180"/>
      <c r="H59" s="1181"/>
      <c r="I59" s="1182"/>
      <c r="J59" s="1166"/>
      <c r="K59" s="1166"/>
      <c r="L59" s="1166"/>
    </row>
    <row r="60" spans="2:12" x14ac:dyDescent="0.2">
      <c r="B60" s="1145"/>
      <c r="C60" s="1145"/>
      <c r="D60" s="1145"/>
      <c r="E60" s="1145"/>
      <c r="F60" s="1145"/>
      <c r="G60" s="1183" t="s">
        <v>1466</v>
      </c>
      <c r="H60" s="1183"/>
      <c r="I60" s="1183"/>
      <c r="J60" s="1145" t="s">
        <v>1441</v>
      </c>
      <c r="K60" s="1148">
        <f>IF(ISBLANK(Values!C13),"",(Values!C13))</f>
        <v>2.5049999999999999</v>
      </c>
      <c r="L60" s="1145" t="s">
        <v>1461</v>
      </c>
    </row>
    <row r="61" spans="2:12" x14ac:dyDescent="0.2">
      <c r="B61" s="1145"/>
      <c r="C61" s="1145"/>
      <c r="D61" s="1145"/>
      <c r="E61" s="1145"/>
      <c r="F61" s="1145"/>
      <c r="G61" s="1183"/>
      <c r="H61" s="1183"/>
      <c r="I61" s="1183"/>
      <c r="J61" s="1145"/>
      <c r="K61" s="1148"/>
      <c r="L61" s="1145"/>
    </row>
    <row r="62" spans="2:12" x14ac:dyDescent="0.2">
      <c r="B62" s="1145"/>
      <c r="C62" s="1145"/>
      <c r="D62" s="1145"/>
      <c r="E62" s="1145"/>
      <c r="F62" s="1145"/>
      <c r="G62" s="1183" t="s">
        <v>1467</v>
      </c>
      <c r="H62" s="1183"/>
      <c r="I62" s="1183"/>
      <c r="J62" s="1145" t="s">
        <v>1441</v>
      </c>
      <c r="K62" s="1145">
        <f>IF(ISBLANK(Values!C28),"N/A",(Values!C28))</f>
        <v>57</v>
      </c>
      <c r="L62" s="1145" t="s">
        <v>1292</v>
      </c>
    </row>
    <row r="63" spans="2:12" x14ac:dyDescent="0.2">
      <c r="B63" s="1145"/>
      <c r="C63" s="1145"/>
      <c r="D63" s="1145"/>
      <c r="E63" s="1145"/>
      <c r="F63" s="1145"/>
      <c r="G63" s="1183"/>
      <c r="H63" s="1183"/>
      <c r="I63" s="1183"/>
      <c r="J63" s="1145"/>
      <c r="K63" s="1145"/>
      <c r="L63" s="1145"/>
    </row>
    <row r="64" spans="2:12" x14ac:dyDescent="0.2">
      <c r="B64" s="1145"/>
      <c r="C64" s="1145"/>
      <c r="D64" s="1145"/>
      <c r="E64" s="1145"/>
      <c r="F64" s="1145"/>
      <c r="G64" s="1183" t="s">
        <v>1468</v>
      </c>
      <c r="H64" s="1183"/>
      <c r="I64" s="1183"/>
      <c r="J64" s="1145" t="s">
        <v>1441</v>
      </c>
      <c r="K64" s="1145">
        <f>IF(ISBLANK(Values!C29),"N/A",(Values!C29))</f>
        <v>43</v>
      </c>
      <c r="L64" s="1145" t="s">
        <v>1295</v>
      </c>
    </row>
    <row r="65" spans="2:12" x14ac:dyDescent="0.2">
      <c r="B65" s="1145"/>
      <c r="C65" s="1145"/>
      <c r="D65" s="1145"/>
      <c r="E65" s="1145"/>
      <c r="F65" s="1145"/>
      <c r="G65" s="1183"/>
      <c r="H65" s="1183"/>
      <c r="I65" s="1183"/>
      <c r="J65" s="1145"/>
      <c r="K65" s="1145"/>
      <c r="L65" s="1145"/>
    </row>
    <row r="66" spans="2:12" x14ac:dyDescent="0.2">
      <c r="B66" s="1138" t="s">
        <v>1524</v>
      </c>
      <c r="C66" s="1138"/>
      <c r="D66" s="1138"/>
      <c r="E66" s="1138"/>
      <c r="F66" s="1138"/>
      <c r="G66" s="1138"/>
      <c r="H66" s="1138"/>
      <c r="I66" s="1138"/>
      <c r="J66" s="1138"/>
      <c r="K66" s="1138"/>
      <c r="L66" s="1138"/>
    </row>
    <row r="67" spans="2:12" x14ac:dyDescent="0.2">
      <c r="B67" s="1176" t="s">
        <v>1525</v>
      </c>
      <c r="C67" s="1176"/>
      <c r="D67" s="1176"/>
      <c r="E67" s="1176"/>
      <c r="F67" s="1176"/>
      <c r="G67" s="1176"/>
      <c r="H67" s="1176"/>
      <c r="I67" s="1176"/>
      <c r="J67" s="1176"/>
      <c r="K67" s="1176"/>
      <c r="L67" s="1176"/>
    </row>
    <row r="68" spans="2:12" x14ac:dyDescent="0.2">
      <c r="B68" s="1176"/>
      <c r="C68" s="1176"/>
      <c r="D68" s="1176"/>
      <c r="E68" s="1176"/>
      <c r="F68" s="1176"/>
      <c r="G68" s="1176"/>
      <c r="H68" s="1176"/>
      <c r="I68" s="1176"/>
      <c r="J68" s="1176"/>
      <c r="K68" s="1176"/>
      <c r="L68" s="1176"/>
    </row>
    <row r="69" spans="2:12" x14ac:dyDescent="0.2">
      <c r="B69" s="1176"/>
      <c r="C69" s="1176"/>
      <c r="D69" s="1176"/>
      <c r="E69" s="1176"/>
      <c r="F69" s="1176"/>
      <c r="G69" s="1176"/>
      <c r="H69" s="1176"/>
      <c r="I69" s="1176"/>
      <c r="J69" s="1176"/>
      <c r="K69" s="1176"/>
      <c r="L69" s="1176"/>
    </row>
    <row r="70" spans="2:12" x14ac:dyDescent="0.2">
      <c r="B70" s="1176"/>
      <c r="C70" s="1176"/>
      <c r="D70" s="1176"/>
      <c r="E70" s="1176"/>
      <c r="F70" s="1176"/>
      <c r="G70" s="1176"/>
      <c r="H70" s="1176"/>
      <c r="I70" s="1176"/>
      <c r="J70" s="1176"/>
      <c r="K70" s="1176"/>
      <c r="L70" s="1176"/>
    </row>
    <row r="71" spans="2:12" x14ac:dyDescent="0.2">
      <c r="B71" s="1176"/>
      <c r="C71" s="1176"/>
      <c r="D71" s="1176"/>
      <c r="E71" s="1176"/>
      <c r="F71" s="1176"/>
      <c r="G71" s="1176"/>
      <c r="H71" s="1176"/>
      <c r="I71" s="1176"/>
      <c r="J71" s="1176"/>
      <c r="K71" s="1176"/>
      <c r="L71" s="1176"/>
    </row>
    <row r="72" spans="2:12" x14ac:dyDescent="0.2">
      <c r="B72" s="1176"/>
      <c r="C72" s="1176"/>
      <c r="D72" s="1176"/>
      <c r="E72" s="1176"/>
      <c r="F72" s="1176"/>
      <c r="G72" s="1176"/>
      <c r="H72" s="1176"/>
      <c r="I72" s="1176"/>
      <c r="J72" s="1176"/>
      <c r="K72" s="1176"/>
      <c r="L72" s="1176"/>
    </row>
    <row r="73" spans="2:12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</row>
    <row r="74" spans="2:12" x14ac:dyDescent="0.2">
      <c r="B74" s="1137" t="s">
        <v>1526</v>
      </c>
      <c r="C74" s="1137"/>
      <c r="D74" s="1137"/>
      <c r="E74" s="1137"/>
      <c r="F74" s="1137"/>
      <c r="G74" s="1137"/>
      <c r="H74" s="1137"/>
      <c r="I74" s="1137"/>
      <c r="J74" s="1137"/>
      <c r="K74" s="1137"/>
      <c r="L74" s="1137"/>
    </row>
    <row r="75" spans="2:12" ht="12.75" customHeight="1" x14ac:dyDescent="0.2">
      <c r="B75" s="1146"/>
      <c r="C75" s="1146"/>
      <c r="D75" s="1146"/>
      <c r="E75" s="1146"/>
      <c r="F75" s="1146"/>
      <c r="G75" s="1146"/>
      <c r="H75" s="1146"/>
      <c r="I75" s="1146"/>
      <c r="J75" s="1146"/>
      <c r="K75" s="1146"/>
      <c r="L75" s="1146"/>
    </row>
    <row r="76" spans="2:12" x14ac:dyDescent="0.2">
      <c r="B76" s="1143" t="s">
        <v>1527</v>
      </c>
      <c r="C76" s="1143"/>
      <c r="D76" s="1143"/>
      <c r="E76" s="1143"/>
      <c r="F76" s="1143"/>
      <c r="G76" s="1143"/>
      <c r="H76" s="1143"/>
      <c r="I76" s="1143"/>
      <c r="J76" s="1143"/>
      <c r="K76" s="1143"/>
      <c r="L76" s="1143"/>
    </row>
    <row r="77" spans="2:12" x14ac:dyDescent="0.2">
      <c r="B77" s="1138" t="s">
        <v>1479</v>
      </c>
      <c r="C77" s="1138"/>
      <c r="D77" s="1138"/>
      <c r="E77" s="1138"/>
      <c r="F77" s="1138"/>
      <c r="G77" s="1138"/>
      <c r="H77" s="1138"/>
      <c r="I77" s="1138"/>
      <c r="J77" s="1138"/>
      <c r="K77" s="1138"/>
      <c r="L77" s="1138"/>
    </row>
    <row r="78" spans="2:12" x14ac:dyDescent="0.2">
      <c r="B78" s="1144" t="s">
        <v>1403</v>
      </c>
      <c r="C78" s="1144"/>
      <c r="D78" s="1144" t="s">
        <v>1481</v>
      </c>
      <c r="E78" s="1144"/>
      <c r="F78" s="1144"/>
      <c r="G78" s="1144" t="s">
        <v>1407</v>
      </c>
      <c r="H78" s="1144"/>
      <c r="I78" s="1144" t="s">
        <v>1482</v>
      </c>
      <c r="J78" s="1144"/>
      <c r="K78" s="1144" t="s">
        <v>1416</v>
      </c>
      <c r="L78" s="1144"/>
    </row>
    <row r="79" spans="2:12" x14ac:dyDescent="0.2">
      <c r="B79" s="1144"/>
      <c r="C79" s="1144"/>
      <c r="D79" s="1144"/>
      <c r="E79" s="1144"/>
      <c r="F79" s="1144"/>
      <c r="G79" s="1144"/>
      <c r="H79" s="1144"/>
      <c r="I79" s="1144"/>
      <c r="J79" s="1144"/>
      <c r="K79" s="1144"/>
      <c r="L79" s="1144"/>
    </row>
    <row r="80" spans="2:12" x14ac:dyDescent="0.2">
      <c r="B80" s="1148" t="str">
        <f>IF(ISBLANK(case2_est_dist_flange_cabrestante),"",(case2_est_dist_flange_cabrestante))</f>
        <v>IGNORAR</v>
      </c>
      <c r="C80" s="1148"/>
      <c r="D80" s="1145" t="str">
        <f>IF(ISBLANK(case2_est_sbed_clear_linha),"",(case2_est_sbed_clear_linha))</f>
        <v>IGNORAR</v>
      </c>
      <c r="E80" s="1145"/>
      <c r="F80" s="1145"/>
      <c r="G80" s="1145">
        <f>IF(ISBLANK(case2_est_inclinacao_mcv),"",(case2_est_inclinacao_mcv))</f>
        <v>0</v>
      </c>
      <c r="H80" s="1145"/>
      <c r="I80" s="1145">
        <f>IF(ISBLANK(case2_est_mbr_linha), "", (case2_est_mbr_linha))</f>
        <v>0</v>
      </c>
      <c r="J80" s="1145"/>
      <c r="K80" s="1145" t="str">
        <f>IF(case2_est_mbr_vert&lt;=K58,_xlfn.CONCAT(K58," ","(*Vértebra Travada)"),case2_est_mbr_vert)</f>
        <v>2,86 (*Vértebra Travada)</v>
      </c>
      <c r="L80" s="1145"/>
    </row>
    <row r="81" spans="2:12" x14ac:dyDescent="0.2">
      <c r="B81" s="1148"/>
      <c r="C81" s="1148"/>
      <c r="D81" s="1145"/>
      <c r="E81" s="1145"/>
      <c r="F81" s="1145"/>
      <c r="G81" s="1145"/>
      <c r="H81" s="1145"/>
      <c r="I81" s="1145"/>
      <c r="J81" s="1145"/>
      <c r="K81" s="1145"/>
      <c r="L81" s="1145"/>
    </row>
    <row r="82" spans="2:12" x14ac:dyDescent="0.2">
      <c r="B82" s="1161" t="s">
        <v>1486</v>
      </c>
      <c r="C82" s="1162"/>
      <c r="D82" s="1162"/>
      <c r="E82" s="1162"/>
      <c r="F82" s="1162"/>
      <c r="G82" s="1162"/>
      <c r="H82" s="1162"/>
      <c r="I82" s="1162"/>
      <c r="J82" s="1162"/>
      <c r="K82" s="1162"/>
      <c r="L82" s="1163"/>
    </row>
    <row r="83" spans="2:12" x14ac:dyDescent="0.2">
      <c r="B83" s="1149" t="s">
        <v>1414</v>
      </c>
      <c r="C83" s="1150"/>
      <c r="D83" s="1150"/>
      <c r="E83" s="1150"/>
      <c r="F83" s="1151"/>
      <c r="G83" s="1152" t="s">
        <v>1415</v>
      </c>
      <c r="H83" s="1153"/>
      <c r="I83" s="1153"/>
      <c r="J83" s="1153"/>
      <c r="K83" s="1153"/>
      <c r="L83" s="1154"/>
    </row>
    <row r="84" spans="2:12" x14ac:dyDescent="0.2">
      <c r="B84" s="1155">
        <f>IF(ISBLANK(case2_est_bm_vert),"",(case2_est_bm_vert))</f>
        <v>0</v>
      </c>
      <c r="C84" s="1156"/>
      <c r="D84" s="1156"/>
      <c r="E84" s="1156"/>
      <c r="F84" s="1157"/>
      <c r="G84" s="1147">
        <f>IF(ISBLANK(case2_est_sf_vert),"",(case2_est_sf_vert))</f>
        <v>0</v>
      </c>
      <c r="H84" s="964"/>
      <c r="I84" s="964"/>
      <c r="J84" s="964"/>
      <c r="K84" s="964"/>
      <c r="L84" s="965"/>
    </row>
    <row r="85" spans="2:12" x14ac:dyDescent="0.2">
      <c r="B85" s="1158"/>
      <c r="C85" s="1159"/>
      <c r="D85" s="1159"/>
      <c r="E85" s="1159"/>
      <c r="F85" s="1160"/>
      <c r="G85" s="966"/>
      <c r="H85" s="967"/>
      <c r="I85" s="967"/>
      <c r="J85" s="967"/>
      <c r="K85" s="967"/>
      <c r="L85" s="968"/>
    </row>
    <row r="86" spans="2:12" x14ac:dyDescent="0.2">
      <c r="B86" s="1138" t="s">
        <v>1487</v>
      </c>
      <c r="C86" s="1138"/>
      <c r="D86" s="1138"/>
      <c r="E86" s="1138"/>
      <c r="F86" s="1138"/>
      <c r="G86" s="1138"/>
      <c r="H86" s="1138"/>
      <c r="I86" s="1138"/>
      <c r="J86" s="1138"/>
      <c r="K86" s="1138"/>
      <c r="L86" s="1138"/>
    </row>
    <row r="87" spans="2:12" x14ac:dyDescent="0.2">
      <c r="B87" s="1144" t="s">
        <v>1396</v>
      </c>
      <c r="C87" s="1144"/>
      <c r="D87" s="1144"/>
      <c r="E87" s="1144"/>
      <c r="F87" s="1144" t="s">
        <v>1488</v>
      </c>
      <c r="G87" s="1144"/>
      <c r="H87" s="1144"/>
      <c r="I87" s="1144" t="s">
        <v>1489</v>
      </c>
      <c r="J87" s="1144"/>
      <c r="K87" s="1144"/>
      <c r="L87" s="1144"/>
    </row>
    <row r="88" spans="2:12" x14ac:dyDescent="0.2">
      <c r="B88" s="1148">
        <f>IF(ISBLANK(case2_est_ey_moment),"",(case2_est_ey_moment))</f>
        <v>0</v>
      </c>
      <c r="C88" s="1148"/>
      <c r="D88" s="1148"/>
      <c r="E88" s="1148"/>
      <c r="F88" s="1145">
        <f>IF(ISBLANK(case2_est_ez_axial),"",(case2_est_ez_axial))</f>
        <v>0</v>
      </c>
      <c r="G88" s="1145"/>
      <c r="H88" s="1145"/>
      <c r="I88" s="1145">
        <f>IF(ISBLANK(case2_est_ex_shear_force),"",(case2_est_ex_shear_force))</f>
        <v>0</v>
      </c>
      <c r="J88" s="1145"/>
      <c r="K88" s="1145"/>
      <c r="L88" s="1145"/>
    </row>
    <row r="89" spans="2:12" x14ac:dyDescent="0.2">
      <c r="B89" s="1148"/>
      <c r="C89" s="1148"/>
      <c r="D89" s="1148"/>
      <c r="E89" s="1148"/>
      <c r="F89" s="1145"/>
      <c r="G89" s="1145"/>
      <c r="H89" s="1145"/>
      <c r="I89" s="1145"/>
      <c r="J89" s="1145"/>
      <c r="K89" s="1145"/>
      <c r="L89" s="1145"/>
    </row>
    <row r="90" spans="2:12" x14ac:dyDescent="0.2">
      <c r="B90" s="1171" t="s">
        <v>1483</v>
      </c>
      <c r="C90" s="1172"/>
      <c r="D90" s="1172"/>
      <c r="E90" s="1172"/>
      <c r="F90" s="1172"/>
      <c r="G90" s="1172"/>
      <c r="H90" s="1172"/>
      <c r="I90" s="1172"/>
      <c r="J90" s="1172"/>
      <c r="K90" s="1172"/>
      <c r="L90" s="1173"/>
    </row>
    <row r="91" spans="2:12" x14ac:dyDescent="0.2">
      <c r="B91" s="1139" t="s">
        <v>1404</v>
      </c>
      <c r="C91" s="1174"/>
      <c r="D91" s="1140"/>
      <c r="E91" s="1139" t="s">
        <v>1484</v>
      </c>
      <c r="F91" s="1174"/>
      <c r="G91" s="1140"/>
      <c r="H91" s="1139" t="s">
        <v>1485</v>
      </c>
      <c r="I91" s="1174"/>
      <c r="J91" s="1140"/>
      <c r="K91" s="1139" t="s">
        <v>1406</v>
      </c>
      <c r="L91" s="1140"/>
    </row>
    <row r="92" spans="2:12" x14ac:dyDescent="0.2">
      <c r="B92" s="1141"/>
      <c r="C92" s="1175"/>
      <c r="D92" s="1142"/>
      <c r="E92" s="1141"/>
      <c r="F92" s="1175"/>
      <c r="G92" s="1142"/>
      <c r="H92" s="1141"/>
      <c r="I92" s="1175"/>
      <c r="J92" s="1142"/>
      <c r="K92" s="1141"/>
      <c r="L92" s="1142"/>
    </row>
    <row r="93" spans="2:12" x14ac:dyDescent="0.2">
      <c r="B93" s="1147" t="str">
        <f>IF(ISBLANK(case2_est_dist_tdp_flange),"",(case2_est_dist_tdp_flange))</f>
        <v>IGNORAR</v>
      </c>
      <c r="C93" s="964"/>
      <c r="D93" s="965"/>
      <c r="E93" s="1147" t="str">
        <f>_xlfn.CONCAT("[",case2_est_position_corc1,";",case2_est_position_corc2,"]")</f>
        <v>[0;0]</v>
      </c>
      <c r="F93" s="964"/>
      <c r="G93" s="965"/>
      <c r="H93" s="1155" t="str">
        <f>IF(ISBLANK(case2_est_comp_susp),"",(case2_est_comp_susp))</f>
        <v>IGNORAR</v>
      </c>
      <c r="I93" s="964"/>
      <c r="J93" s="965"/>
      <c r="K93" s="1155" t="str">
        <f>IF(ISBLANK(case2_est_altura_corc), "", case2_est_altura_corc)</f>
        <v>IGNORAR</v>
      </c>
      <c r="L93" s="965"/>
    </row>
    <row r="94" spans="2:12" x14ac:dyDescent="0.2">
      <c r="B94" s="966"/>
      <c r="C94" s="967"/>
      <c r="D94" s="968"/>
      <c r="E94" s="966"/>
      <c r="F94" s="967"/>
      <c r="G94" s="968"/>
      <c r="H94" s="966"/>
      <c r="I94" s="967"/>
      <c r="J94" s="968"/>
      <c r="K94" s="966"/>
      <c r="L94" s="968"/>
    </row>
    <row r="95" spans="2:12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</row>
    <row r="96" spans="2:12" x14ac:dyDescent="0.2">
      <c r="B96" s="1138" t="s">
        <v>1528</v>
      </c>
      <c r="C96" s="1138"/>
      <c r="D96" s="1138"/>
      <c r="E96" s="1138"/>
      <c r="F96" s="1138"/>
      <c r="G96" s="1138"/>
      <c r="H96" s="1138"/>
      <c r="I96" s="1138"/>
      <c r="J96" s="1138"/>
      <c r="K96" s="1138"/>
      <c r="L96" s="1138"/>
    </row>
    <row r="97" spans="2:12" x14ac:dyDescent="0.2">
      <c r="B97" s="1147"/>
      <c r="C97" s="964"/>
      <c r="D97" s="964"/>
      <c r="E97" s="964"/>
      <c r="F97" s="964"/>
      <c r="G97" s="964"/>
      <c r="H97" s="964"/>
      <c r="I97" s="964"/>
      <c r="J97" s="964"/>
      <c r="K97" s="964"/>
      <c r="L97" s="965"/>
    </row>
    <row r="98" spans="2:12" x14ac:dyDescent="0.2">
      <c r="B98" s="931"/>
      <c r="C98" s="932"/>
      <c r="D98" s="932"/>
      <c r="E98" s="932"/>
      <c r="F98" s="932"/>
      <c r="G98" s="932"/>
      <c r="H98" s="932"/>
      <c r="I98" s="932"/>
      <c r="J98" s="932"/>
      <c r="K98" s="932"/>
      <c r="L98" s="934"/>
    </row>
    <row r="99" spans="2:12" x14ac:dyDescent="0.2">
      <c r="B99" s="931"/>
      <c r="C99" s="932"/>
      <c r="D99" s="932"/>
      <c r="E99" s="932"/>
      <c r="F99" s="932"/>
      <c r="G99" s="932"/>
      <c r="H99" s="932"/>
      <c r="I99" s="932"/>
      <c r="J99" s="932"/>
      <c r="K99" s="932"/>
      <c r="L99" s="934"/>
    </row>
    <row r="100" spans="2:12" x14ac:dyDescent="0.2">
      <c r="B100" s="931"/>
      <c r="C100" s="932"/>
      <c r="D100" s="932"/>
      <c r="E100" s="932"/>
      <c r="F100" s="932"/>
      <c r="G100" s="932"/>
      <c r="H100" s="932"/>
      <c r="I100" s="932"/>
      <c r="J100" s="932"/>
      <c r="K100" s="932"/>
      <c r="L100" s="934"/>
    </row>
    <row r="101" spans="2:12" x14ac:dyDescent="0.2">
      <c r="B101" s="931"/>
      <c r="C101" s="932"/>
      <c r="D101" s="932"/>
      <c r="E101" s="932"/>
      <c r="F101" s="932"/>
      <c r="G101" s="932"/>
      <c r="H101" s="932"/>
      <c r="I101" s="932"/>
      <c r="J101" s="932"/>
      <c r="K101" s="932"/>
      <c r="L101" s="934"/>
    </row>
    <row r="102" spans="2:12" x14ac:dyDescent="0.2">
      <c r="B102" s="931"/>
      <c r="C102" s="932"/>
      <c r="D102" s="932"/>
      <c r="E102" s="932"/>
      <c r="F102" s="932"/>
      <c r="G102" s="932"/>
      <c r="H102" s="932"/>
      <c r="I102" s="932"/>
      <c r="J102" s="932"/>
      <c r="K102" s="932"/>
      <c r="L102" s="934"/>
    </row>
    <row r="103" spans="2:12" x14ac:dyDescent="0.2">
      <c r="B103" s="931"/>
      <c r="C103" s="932"/>
      <c r="D103" s="932"/>
      <c r="E103" s="932"/>
      <c r="F103" s="932"/>
      <c r="G103" s="932"/>
      <c r="H103" s="932"/>
      <c r="I103" s="932"/>
      <c r="J103" s="932"/>
      <c r="K103" s="932"/>
      <c r="L103" s="934"/>
    </row>
    <row r="104" spans="2:12" x14ac:dyDescent="0.2">
      <c r="B104" s="931"/>
      <c r="C104" s="932"/>
      <c r="D104" s="932"/>
      <c r="E104" s="932"/>
      <c r="F104" s="932"/>
      <c r="G104" s="932"/>
      <c r="H104" s="932"/>
      <c r="I104" s="932"/>
      <c r="J104" s="932"/>
      <c r="K104" s="932"/>
      <c r="L104" s="934"/>
    </row>
    <row r="105" spans="2:12" x14ac:dyDescent="0.2">
      <c r="B105" s="931"/>
      <c r="C105" s="932"/>
      <c r="D105" s="932"/>
      <c r="E105" s="932"/>
      <c r="F105" s="932"/>
      <c r="G105" s="932"/>
      <c r="H105" s="932"/>
      <c r="I105" s="932"/>
      <c r="J105" s="932"/>
      <c r="K105" s="932"/>
      <c r="L105" s="934"/>
    </row>
    <row r="106" spans="2:12" x14ac:dyDescent="0.2">
      <c r="B106" s="931"/>
      <c r="C106" s="932"/>
      <c r="D106" s="932"/>
      <c r="E106" s="932"/>
      <c r="F106" s="932"/>
      <c r="G106" s="932"/>
      <c r="H106" s="932"/>
      <c r="I106" s="932"/>
      <c r="J106" s="932"/>
      <c r="K106" s="932"/>
      <c r="L106" s="934"/>
    </row>
    <row r="107" spans="2:12" x14ac:dyDescent="0.2">
      <c r="B107" s="931"/>
      <c r="C107" s="932"/>
      <c r="D107" s="932"/>
      <c r="E107" s="932"/>
      <c r="F107" s="932"/>
      <c r="G107" s="932"/>
      <c r="H107" s="932"/>
      <c r="I107" s="932"/>
      <c r="J107" s="932"/>
      <c r="K107" s="932"/>
      <c r="L107" s="934"/>
    </row>
    <row r="108" spans="2:12" x14ac:dyDescent="0.2">
      <c r="B108" s="931"/>
      <c r="C108" s="932"/>
      <c r="D108" s="932"/>
      <c r="E108" s="932"/>
      <c r="F108" s="932"/>
      <c r="G108" s="932"/>
      <c r="H108" s="932"/>
      <c r="I108" s="932"/>
      <c r="J108" s="932"/>
      <c r="K108" s="932"/>
      <c r="L108" s="934"/>
    </row>
    <row r="109" spans="2:12" x14ac:dyDescent="0.2">
      <c r="B109" s="931"/>
      <c r="C109" s="932"/>
      <c r="D109" s="932"/>
      <c r="E109" s="932"/>
      <c r="F109" s="932"/>
      <c r="G109" s="932"/>
      <c r="H109" s="932"/>
      <c r="I109" s="932"/>
      <c r="J109" s="932"/>
      <c r="K109" s="932"/>
      <c r="L109" s="934"/>
    </row>
    <row r="110" spans="2:12" x14ac:dyDescent="0.2">
      <c r="B110" s="931"/>
      <c r="C110" s="932"/>
      <c r="D110" s="932"/>
      <c r="E110" s="932"/>
      <c r="F110" s="932"/>
      <c r="G110" s="932"/>
      <c r="H110" s="932"/>
      <c r="I110" s="932"/>
      <c r="J110" s="932"/>
      <c r="K110" s="932"/>
      <c r="L110" s="934"/>
    </row>
    <row r="111" spans="2:12" x14ac:dyDescent="0.2">
      <c r="B111" s="931"/>
      <c r="C111" s="932"/>
      <c r="D111" s="932"/>
      <c r="E111" s="932"/>
      <c r="F111" s="932"/>
      <c r="G111" s="932"/>
      <c r="H111" s="932"/>
      <c r="I111" s="932"/>
      <c r="J111" s="932"/>
      <c r="K111" s="932"/>
      <c r="L111" s="934"/>
    </row>
    <row r="112" spans="2:12" x14ac:dyDescent="0.2">
      <c r="B112" s="931"/>
      <c r="C112" s="932"/>
      <c r="D112" s="932"/>
      <c r="E112" s="932"/>
      <c r="F112" s="932"/>
      <c r="G112" s="932"/>
      <c r="H112" s="932"/>
      <c r="I112" s="932"/>
      <c r="J112" s="932"/>
      <c r="K112" s="932"/>
      <c r="L112" s="934"/>
    </row>
    <row r="113" spans="2:12" x14ac:dyDescent="0.2">
      <c r="B113" s="931"/>
      <c r="C113" s="932"/>
      <c r="D113" s="932"/>
      <c r="E113" s="932"/>
      <c r="F113" s="932"/>
      <c r="G113" s="932"/>
      <c r="H113" s="932"/>
      <c r="I113" s="932"/>
      <c r="J113" s="932"/>
      <c r="K113" s="932"/>
      <c r="L113" s="934"/>
    </row>
    <row r="114" spans="2:12" x14ac:dyDescent="0.2">
      <c r="B114" s="931"/>
      <c r="C114" s="932"/>
      <c r="D114" s="932"/>
      <c r="E114" s="932"/>
      <c r="F114" s="932"/>
      <c r="G114" s="932"/>
      <c r="H114" s="932"/>
      <c r="I114" s="932"/>
      <c r="J114" s="932"/>
      <c r="K114" s="932"/>
      <c r="L114" s="934"/>
    </row>
    <row r="115" spans="2:12" x14ac:dyDescent="0.2">
      <c r="B115" s="931"/>
      <c r="C115" s="932"/>
      <c r="D115" s="932"/>
      <c r="E115" s="932"/>
      <c r="F115" s="932"/>
      <c r="G115" s="932"/>
      <c r="H115" s="932"/>
      <c r="I115" s="932"/>
      <c r="J115" s="932"/>
      <c r="K115" s="932"/>
      <c r="L115" s="934"/>
    </row>
    <row r="116" spans="2:12" x14ac:dyDescent="0.2">
      <c r="B116" s="931"/>
      <c r="C116" s="932"/>
      <c r="D116" s="932"/>
      <c r="E116" s="932"/>
      <c r="F116" s="932"/>
      <c r="G116" s="932"/>
      <c r="H116" s="932"/>
      <c r="I116" s="932"/>
      <c r="J116" s="932"/>
      <c r="K116" s="932"/>
      <c r="L116" s="934"/>
    </row>
    <row r="117" spans="2:12" x14ac:dyDescent="0.2">
      <c r="B117" s="931"/>
      <c r="C117" s="932"/>
      <c r="D117" s="932"/>
      <c r="E117" s="932"/>
      <c r="F117" s="932"/>
      <c r="G117" s="932"/>
      <c r="H117" s="932"/>
      <c r="I117" s="932"/>
      <c r="J117" s="932"/>
      <c r="K117" s="932"/>
      <c r="L117" s="934"/>
    </row>
    <row r="118" spans="2:12" x14ac:dyDescent="0.2">
      <c r="B118" s="931"/>
      <c r="C118" s="932"/>
      <c r="D118" s="932"/>
      <c r="E118" s="932"/>
      <c r="F118" s="932"/>
      <c r="G118" s="932"/>
      <c r="H118" s="932"/>
      <c r="I118" s="932"/>
      <c r="J118" s="932"/>
      <c r="K118" s="932"/>
      <c r="L118" s="934"/>
    </row>
    <row r="119" spans="2:12" x14ac:dyDescent="0.2">
      <c r="B119" s="931"/>
      <c r="C119" s="932"/>
      <c r="D119" s="932"/>
      <c r="E119" s="932"/>
      <c r="F119" s="932"/>
      <c r="G119" s="932"/>
      <c r="H119" s="932"/>
      <c r="I119" s="932"/>
      <c r="J119" s="932"/>
      <c r="K119" s="932"/>
      <c r="L119" s="934"/>
    </row>
    <row r="120" spans="2:12" x14ac:dyDescent="0.2">
      <c r="B120" s="931"/>
      <c r="C120" s="932"/>
      <c r="D120" s="932"/>
      <c r="E120" s="932"/>
      <c r="F120" s="932"/>
      <c r="G120" s="932"/>
      <c r="H120" s="932"/>
      <c r="I120" s="932"/>
      <c r="J120" s="932"/>
      <c r="K120" s="932"/>
      <c r="L120" s="934"/>
    </row>
    <row r="121" spans="2:12" x14ac:dyDescent="0.2">
      <c r="B121" s="931"/>
      <c r="C121" s="932"/>
      <c r="D121" s="932"/>
      <c r="E121" s="932"/>
      <c r="F121" s="932"/>
      <c r="G121" s="932"/>
      <c r="H121" s="932"/>
      <c r="I121" s="932"/>
      <c r="J121" s="932"/>
      <c r="K121" s="932"/>
      <c r="L121" s="934"/>
    </row>
    <row r="122" spans="2:12" x14ac:dyDescent="0.2">
      <c r="B122" s="931"/>
      <c r="C122" s="932"/>
      <c r="D122" s="932"/>
      <c r="E122" s="932"/>
      <c r="F122" s="932"/>
      <c r="G122" s="932"/>
      <c r="H122" s="932"/>
      <c r="I122" s="932"/>
      <c r="J122" s="932"/>
      <c r="K122" s="932"/>
      <c r="L122" s="934"/>
    </row>
    <row r="123" spans="2:12" x14ac:dyDescent="0.2">
      <c r="B123" s="931"/>
      <c r="C123" s="932"/>
      <c r="D123" s="932"/>
      <c r="E123" s="932"/>
      <c r="F123" s="932"/>
      <c r="G123" s="932"/>
      <c r="H123" s="932"/>
      <c r="I123" s="932"/>
      <c r="J123" s="932"/>
      <c r="K123" s="932"/>
      <c r="L123" s="934"/>
    </row>
    <row r="124" spans="2:12" x14ac:dyDescent="0.2">
      <c r="B124" s="931"/>
      <c r="C124" s="932"/>
      <c r="D124" s="932"/>
      <c r="E124" s="932"/>
      <c r="F124" s="932"/>
      <c r="G124" s="932"/>
      <c r="H124" s="932"/>
      <c r="I124" s="932"/>
      <c r="J124" s="932"/>
      <c r="K124" s="932"/>
      <c r="L124" s="934"/>
    </row>
    <row r="125" spans="2:12" x14ac:dyDescent="0.2">
      <c r="B125" s="931"/>
      <c r="C125" s="932"/>
      <c r="D125" s="932"/>
      <c r="E125" s="932"/>
      <c r="F125" s="932"/>
      <c r="G125" s="932"/>
      <c r="H125" s="932"/>
      <c r="I125" s="932"/>
      <c r="J125" s="932"/>
      <c r="K125" s="932"/>
      <c r="L125" s="934"/>
    </row>
    <row r="126" spans="2:12" x14ac:dyDescent="0.2">
      <c r="B126" s="931"/>
      <c r="C126" s="932"/>
      <c r="D126" s="932"/>
      <c r="E126" s="932"/>
      <c r="F126" s="932"/>
      <c r="G126" s="932"/>
      <c r="H126" s="932"/>
      <c r="I126" s="932"/>
      <c r="J126" s="932"/>
      <c r="K126" s="932"/>
      <c r="L126" s="934"/>
    </row>
    <row r="127" spans="2:12" x14ac:dyDescent="0.2">
      <c r="B127" s="931"/>
      <c r="C127" s="932"/>
      <c r="D127" s="932"/>
      <c r="E127" s="932"/>
      <c r="F127" s="932"/>
      <c r="G127" s="932"/>
      <c r="H127" s="932"/>
      <c r="I127" s="932"/>
      <c r="J127" s="932"/>
      <c r="K127" s="932"/>
      <c r="L127" s="934"/>
    </row>
    <row r="128" spans="2:12" x14ac:dyDescent="0.2">
      <c r="B128" s="931"/>
      <c r="C128" s="932"/>
      <c r="D128" s="932"/>
      <c r="E128" s="932"/>
      <c r="F128" s="932"/>
      <c r="G128" s="932"/>
      <c r="H128" s="932"/>
      <c r="I128" s="932"/>
      <c r="J128" s="932"/>
      <c r="K128" s="932"/>
      <c r="L128" s="934"/>
    </row>
    <row r="129" spans="2:12" x14ac:dyDescent="0.2">
      <c r="B129" s="931"/>
      <c r="C129" s="932"/>
      <c r="D129" s="932"/>
      <c r="E129" s="932"/>
      <c r="F129" s="932"/>
      <c r="G129" s="932"/>
      <c r="H129" s="932"/>
      <c r="I129" s="932"/>
      <c r="J129" s="932"/>
      <c r="K129" s="932"/>
      <c r="L129" s="934"/>
    </row>
    <row r="130" spans="2:12" x14ac:dyDescent="0.2">
      <c r="B130" s="931"/>
      <c r="C130" s="932"/>
      <c r="D130" s="932"/>
      <c r="E130" s="932"/>
      <c r="F130" s="932"/>
      <c r="G130" s="932"/>
      <c r="H130" s="932"/>
      <c r="I130" s="932"/>
      <c r="J130" s="932"/>
      <c r="K130" s="932"/>
      <c r="L130" s="934"/>
    </row>
    <row r="131" spans="2:12" x14ac:dyDescent="0.2">
      <c r="B131" s="1143" t="s">
        <v>1529</v>
      </c>
      <c r="C131" s="1143"/>
      <c r="D131" s="1143"/>
      <c r="E131" s="1143"/>
      <c r="F131" s="1143"/>
      <c r="G131" s="1143"/>
      <c r="H131" s="1143"/>
      <c r="I131" s="1143"/>
      <c r="J131" s="1143"/>
      <c r="K131" s="1143"/>
      <c r="L131" s="1143"/>
    </row>
    <row r="132" spans="2:12" x14ac:dyDescent="0.2">
      <c r="B132" s="1138" t="s">
        <v>1496</v>
      </c>
      <c r="C132" s="1138"/>
      <c r="D132" s="1138"/>
      <c r="E132" s="1138"/>
      <c r="F132" s="1138"/>
      <c r="G132" s="1138"/>
      <c r="H132" s="1138"/>
      <c r="I132" s="1138"/>
      <c r="J132" s="1138"/>
      <c r="K132" s="1138"/>
      <c r="L132" s="1138"/>
    </row>
    <row r="133" spans="2:12" ht="12.75" customHeight="1" x14ac:dyDescent="0.2">
      <c r="B133" s="1152" t="s">
        <v>1497</v>
      </c>
      <c r="C133" s="1153"/>
      <c r="D133" s="1153" t="s">
        <v>1471</v>
      </c>
      <c r="E133" s="1153"/>
      <c r="F133" s="1153" t="s">
        <v>1416</v>
      </c>
      <c r="G133" s="1153"/>
      <c r="H133" s="1153"/>
      <c r="I133" s="1153" t="s">
        <v>1530</v>
      </c>
      <c r="J133" s="1153"/>
      <c r="K133" s="1153"/>
      <c r="L133" s="1154"/>
    </row>
    <row r="134" spans="2:12" ht="12.75" customHeight="1" x14ac:dyDescent="0.2">
      <c r="B134" s="1148" t="e">
        <f>IF(ISBLANK(#REF!),"",(#REF!))</f>
        <v>#REF!</v>
      </c>
      <c r="C134" s="1148"/>
      <c r="D134" s="1145" t="e">
        <f>IF(ISBLANK(#REF!),"",(#REF!))</f>
        <v>#REF!</v>
      </c>
      <c r="E134" s="1145"/>
      <c r="F134" s="1165" t="e">
        <f>IF(#REF!&lt;=K58,_xlfn.CONCAT(K58," ","(*Vértebra Travada)"),#REF!)</f>
        <v>#REF!</v>
      </c>
      <c r="G134" s="1165"/>
      <c r="H134" s="1165"/>
      <c r="I134" s="1165" t="e">
        <f>_xlfn.CONCAT("[",Results!#REF!,";",Results!#REF!,"]")</f>
        <v>#REF!</v>
      </c>
      <c r="J134" s="1165"/>
      <c r="K134" s="1165"/>
      <c r="L134" s="1165"/>
    </row>
    <row r="135" spans="2:12" x14ac:dyDescent="0.2">
      <c r="B135" s="1148"/>
      <c r="C135" s="1148"/>
      <c r="D135" s="1145"/>
      <c r="E135" s="1145"/>
      <c r="F135" s="1166"/>
      <c r="G135" s="1166"/>
      <c r="H135" s="1166"/>
      <c r="I135" s="1166"/>
      <c r="J135" s="1166"/>
      <c r="K135" s="1166"/>
      <c r="L135" s="1166"/>
    </row>
    <row r="136" spans="2:12" x14ac:dyDescent="0.2">
      <c r="B136" s="1167" t="s">
        <v>1499</v>
      </c>
      <c r="C136" s="1167"/>
      <c r="D136" s="1167"/>
      <c r="E136" s="1167"/>
      <c r="F136" s="1167"/>
      <c r="G136" s="1167"/>
      <c r="H136" s="1167"/>
      <c r="I136" s="1167"/>
      <c r="J136" s="1167"/>
      <c r="K136" s="1167"/>
      <c r="L136" s="1167"/>
    </row>
    <row r="137" spans="2:12" x14ac:dyDescent="0.2">
      <c r="B137" s="1144" t="s">
        <v>1338</v>
      </c>
      <c r="C137" s="1144"/>
      <c r="D137" s="1144" t="s">
        <v>1396</v>
      </c>
      <c r="E137" s="1144"/>
      <c r="F137" s="1144"/>
      <c r="G137" s="1144" t="s">
        <v>1488</v>
      </c>
      <c r="H137" s="1144"/>
      <c r="I137" s="1144"/>
      <c r="J137" s="1144" t="s">
        <v>1489</v>
      </c>
      <c r="K137" s="1144"/>
      <c r="L137" s="1144"/>
    </row>
    <row r="138" spans="2:12" x14ac:dyDescent="0.2">
      <c r="B138" s="1145" t="s">
        <v>1503</v>
      </c>
      <c r="C138" s="1145"/>
      <c r="D138" s="1145" t="e">
        <f>IF(ISBLANK(#REF!),"",(#REF!))</f>
        <v>#REF!</v>
      </c>
      <c r="E138" s="1145"/>
      <c r="F138" s="1145"/>
      <c r="G138" s="1148" t="e">
        <f>IF(ISBLANK(#REF!),"",(#REF!))</f>
        <v>#REF!</v>
      </c>
      <c r="H138" s="1148"/>
      <c r="I138" s="1148"/>
      <c r="J138" s="1145" t="e">
        <f>IF(ISBLANK(#REF!),"",(#REF!))</f>
        <v>#REF!</v>
      </c>
      <c r="K138" s="1145"/>
      <c r="L138" s="1145"/>
    </row>
    <row r="139" spans="2:12" x14ac:dyDescent="0.2">
      <c r="B139" s="1145"/>
      <c r="C139" s="1145"/>
      <c r="D139" s="1145"/>
      <c r="E139" s="1145"/>
      <c r="F139" s="1145"/>
      <c r="G139" s="1148"/>
      <c r="H139" s="1148"/>
      <c r="I139" s="1148"/>
      <c r="J139" s="1145"/>
      <c r="K139" s="1145"/>
      <c r="L139" s="1145"/>
    </row>
    <row r="140" spans="2:12" x14ac:dyDescent="0.2">
      <c r="B140" s="1145" t="s">
        <v>1504</v>
      </c>
      <c r="C140" s="1145"/>
      <c r="D140" s="1148" t="e">
        <f>IF(ISBLANK(#REF!),"",(#REF!))</f>
        <v>#REF!</v>
      </c>
      <c r="E140" s="1148"/>
      <c r="F140" s="1148"/>
      <c r="G140" s="1145" t="e">
        <f>IF(ISBLANK(#REF!),"",(#REF!))</f>
        <v>#REF!</v>
      </c>
      <c r="H140" s="1145"/>
      <c r="I140" s="1145"/>
      <c r="J140" s="1145" t="e">
        <f>IF(ISBLANK(#REF!),"",(#REF!))</f>
        <v>#REF!</v>
      </c>
      <c r="K140" s="1145"/>
      <c r="L140" s="1145"/>
    </row>
    <row r="141" spans="2:12" x14ac:dyDescent="0.2">
      <c r="B141" s="1145"/>
      <c r="C141" s="1145"/>
      <c r="D141" s="1148"/>
      <c r="E141" s="1148"/>
      <c r="F141" s="1148"/>
      <c r="G141" s="1145"/>
      <c r="H141" s="1145"/>
      <c r="I141" s="1145"/>
      <c r="J141" s="1145"/>
      <c r="K141" s="1145"/>
      <c r="L141" s="1145"/>
    </row>
    <row r="142" spans="2:12" x14ac:dyDescent="0.2">
      <c r="B142" s="213"/>
      <c r="C142" s="213"/>
      <c r="D142" s="214"/>
      <c r="E142" s="214"/>
      <c r="F142" s="214"/>
      <c r="G142" s="213"/>
      <c r="H142" s="213"/>
      <c r="I142" s="213"/>
      <c r="J142" s="213"/>
      <c r="K142" s="213"/>
      <c r="L142" s="213"/>
    </row>
    <row r="143" spans="2:12" x14ac:dyDescent="0.2">
      <c r="B143" s="1143" t="s">
        <v>1389</v>
      </c>
      <c r="C143" s="1143"/>
      <c r="D143" s="1143"/>
      <c r="E143" s="1143"/>
      <c r="F143" s="1143"/>
      <c r="G143" s="1143"/>
      <c r="H143" s="1143"/>
      <c r="I143" s="1143"/>
      <c r="J143" s="1143"/>
      <c r="K143" s="1143"/>
      <c r="L143" s="1143"/>
    </row>
    <row r="144" spans="2:12" x14ac:dyDescent="0.2">
      <c r="B144" s="1138" t="s">
        <v>1531</v>
      </c>
      <c r="C144" s="1138"/>
      <c r="D144" s="1138"/>
      <c r="E144" s="1138"/>
      <c r="F144" s="1138"/>
      <c r="G144" s="1138"/>
      <c r="H144" s="1138"/>
      <c r="I144" s="1138"/>
      <c r="J144" s="1138"/>
      <c r="K144" s="1138"/>
      <c r="L144" s="1138"/>
    </row>
    <row r="145" spans="2:12" x14ac:dyDescent="0.2">
      <c r="B145" s="1144" t="s">
        <v>1396</v>
      </c>
      <c r="C145" s="1144"/>
      <c r="D145" s="1144"/>
      <c r="E145" s="1144" t="s">
        <v>1532</v>
      </c>
      <c r="F145" s="1144"/>
      <c r="G145" s="1144"/>
      <c r="H145" s="1144"/>
      <c r="I145" s="1164" t="s">
        <v>1533</v>
      </c>
      <c r="J145" s="1164"/>
      <c r="K145" s="1164"/>
      <c r="L145" s="1164"/>
    </row>
    <row r="146" spans="2:12" x14ac:dyDescent="0.2">
      <c r="B146" s="1148" t="e">
        <f>IF(ISBLANK(Results!#REF!),"",(Results!#REF!))</f>
        <v>#REF!</v>
      </c>
      <c r="C146" s="1148"/>
      <c r="D146" s="1148"/>
      <c r="E146" s="1145" t="e">
        <f>IF(ISBLANK(Results!#REF!),"",(Results!#REF!))</f>
        <v>#REF!</v>
      </c>
      <c r="F146" s="1145"/>
      <c r="G146" s="1145"/>
      <c r="H146" s="1145"/>
      <c r="I146" s="1145" t="e">
        <f>IF(ISBLANK(Results!#REF!),"",(Results!#REF!))</f>
        <v>#REF!</v>
      </c>
      <c r="J146" s="1145"/>
      <c r="K146" s="1145"/>
      <c r="L146" s="1145"/>
    </row>
    <row r="147" spans="2:12" x14ac:dyDescent="0.2">
      <c r="B147" s="1148"/>
      <c r="C147" s="1148"/>
      <c r="D147" s="1148"/>
      <c r="E147" s="1145"/>
      <c r="F147" s="1145"/>
      <c r="G147" s="1145"/>
      <c r="H147" s="1145"/>
      <c r="I147" s="1145"/>
      <c r="J147" s="1145"/>
      <c r="K147" s="1145"/>
      <c r="L147" s="1145"/>
    </row>
    <row r="148" spans="2:12" x14ac:dyDescent="0.2">
      <c r="B148" s="214"/>
      <c r="C148" s="214"/>
      <c r="D148" s="214"/>
      <c r="E148" s="213"/>
      <c r="F148" s="213"/>
      <c r="G148" s="213"/>
      <c r="H148" s="213"/>
      <c r="I148" s="213"/>
      <c r="J148" s="213"/>
      <c r="K148" s="213"/>
      <c r="L148" s="213"/>
    </row>
    <row r="149" spans="2:12" ht="12.75" customHeight="1" x14ac:dyDescent="0.2">
      <c r="B149" s="1168" t="s">
        <v>1534</v>
      </c>
      <c r="C149" s="1169"/>
      <c r="D149" s="1169"/>
      <c r="E149" s="1169"/>
      <c r="F149" s="1169"/>
      <c r="G149" s="1169"/>
      <c r="H149" s="1169"/>
      <c r="I149" s="1169"/>
      <c r="J149" s="1169"/>
      <c r="K149" s="1169"/>
      <c r="L149" s="1170"/>
    </row>
    <row r="150" spans="2:12" x14ac:dyDescent="0.2">
      <c r="B150" s="1171" t="s">
        <v>1483</v>
      </c>
      <c r="C150" s="1172"/>
      <c r="D150" s="1172"/>
      <c r="E150" s="1172"/>
      <c r="F150" s="1172"/>
      <c r="G150" s="1172"/>
      <c r="H150" s="1172"/>
      <c r="I150" s="1172"/>
      <c r="J150" s="1172"/>
      <c r="K150" s="1172"/>
      <c r="L150" s="1173"/>
    </row>
    <row r="151" spans="2:12" x14ac:dyDescent="0.2">
      <c r="B151" s="1139" t="s">
        <v>1403</v>
      </c>
      <c r="C151" s="1174"/>
      <c r="D151" s="1140"/>
      <c r="E151" s="1139" t="s">
        <v>1535</v>
      </c>
      <c r="F151" s="1174"/>
      <c r="G151" s="1140"/>
      <c r="H151" s="1139" t="s">
        <v>1485</v>
      </c>
      <c r="I151" s="1174"/>
      <c r="J151" s="1140"/>
      <c r="K151" s="1139" t="s">
        <v>1406</v>
      </c>
      <c r="L151" s="1140"/>
    </row>
    <row r="152" spans="2:12" x14ac:dyDescent="0.2">
      <c r="B152" s="1141"/>
      <c r="C152" s="1175"/>
      <c r="D152" s="1142"/>
      <c r="E152" s="1141"/>
      <c r="F152" s="1175"/>
      <c r="G152" s="1142"/>
      <c r="H152" s="1141"/>
      <c r="I152" s="1175"/>
      <c r="J152" s="1142"/>
      <c r="K152" s="1141"/>
      <c r="L152" s="1142"/>
    </row>
    <row r="153" spans="2:12" x14ac:dyDescent="0.2">
      <c r="B153" s="1147" t="e">
        <f>IF(ISBLANK(#REF!),"",(#REF!))</f>
        <v>#REF!</v>
      </c>
      <c r="C153" s="964"/>
      <c r="D153" s="965"/>
      <c r="E153" s="1147" t="e">
        <f>IF(ISBLANK(#REF!),"",(#REF!))</f>
        <v>#REF!</v>
      </c>
      <c r="F153" s="964"/>
      <c r="G153" s="965"/>
      <c r="H153" s="1147" t="e">
        <f>IF(ISBLANK(#REF!),"",(#REF!))</f>
        <v>#REF!</v>
      </c>
      <c r="I153" s="964"/>
      <c r="J153" s="965"/>
      <c r="K153" s="1147" t="e">
        <f>IF(ISBLANK(#REF!),"",(#REF!))</f>
        <v>#REF!</v>
      </c>
      <c r="L153" s="965"/>
    </row>
    <row r="154" spans="2:12" x14ac:dyDescent="0.2">
      <c r="B154" s="966"/>
      <c r="C154" s="967"/>
      <c r="D154" s="968"/>
      <c r="E154" s="966"/>
      <c r="F154" s="967"/>
      <c r="G154" s="968"/>
      <c r="H154" s="966"/>
      <c r="I154" s="967"/>
      <c r="J154" s="968"/>
      <c r="K154" s="966"/>
      <c r="L154" s="968"/>
    </row>
    <row r="155" spans="2:12" x14ac:dyDescent="0.2">
      <c r="B155" s="1144" t="s">
        <v>1536</v>
      </c>
      <c r="C155" s="1144"/>
      <c r="D155" s="1144"/>
      <c r="E155" s="1144"/>
      <c r="F155" s="1144" t="s">
        <v>1537</v>
      </c>
      <c r="G155" s="1144"/>
      <c r="H155" s="1144"/>
      <c r="I155" s="1144"/>
      <c r="J155" s="1144" t="s">
        <v>1471</v>
      </c>
      <c r="K155" s="1144"/>
      <c r="L155" s="1144"/>
    </row>
    <row r="156" spans="2:12" x14ac:dyDescent="0.2">
      <c r="B156" s="1144"/>
      <c r="C156" s="1144"/>
      <c r="D156" s="1144"/>
      <c r="E156" s="1144"/>
      <c r="F156" s="1144"/>
      <c r="G156" s="1144"/>
      <c r="H156" s="1144"/>
      <c r="I156" s="1144"/>
      <c r="J156" s="1144"/>
      <c r="K156" s="1144"/>
      <c r="L156" s="1144"/>
    </row>
    <row r="157" spans="2:12" x14ac:dyDescent="0.2">
      <c r="B157" s="1145" t="e">
        <f>IF(ISBLANK(#REF!),"",(#REF!))</f>
        <v>#REF!</v>
      </c>
      <c r="C157" s="1145"/>
      <c r="D157" s="1145"/>
      <c r="E157" s="1145"/>
      <c r="F157" s="1145" t="e">
        <f>IF(ISBLANK(#REF!),"",(#REF!))</f>
        <v>#REF!</v>
      </c>
      <c r="G157" s="1145"/>
      <c r="H157" s="1145"/>
      <c r="I157" s="1145"/>
      <c r="J157" s="1145" t="e">
        <f>IF(ISBLANK(#REF!),"",(#REF!))</f>
        <v>#REF!</v>
      </c>
      <c r="K157" s="1145"/>
      <c r="L157" s="1145"/>
    </row>
    <row r="158" spans="2:12" x14ac:dyDescent="0.2">
      <c r="B158" s="1145"/>
      <c r="C158" s="1145"/>
      <c r="D158" s="1145"/>
      <c r="E158" s="1145"/>
      <c r="F158" s="1145"/>
      <c r="G158" s="1145"/>
      <c r="H158" s="1145"/>
      <c r="I158" s="1145"/>
      <c r="J158" s="1145"/>
      <c r="K158" s="1145"/>
      <c r="L158" s="1145"/>
    </row>
    <row r="159" spans="2:12" x14ac:dyDescent="0.2">
      <c r="B159" s="1138" t="s">
        <v>1538</v>
      </c>
      <c r="C159" s="1138"/>
      <c r="D159" s="1138"/>
      <c r="E159" s="1138"/>
      <c r="F159" s="1138"/>
      <c r="G159" s="1138"/>
      <c r="H159" s="1138"/>
      <c r="I159" s="1138"/>
      <c r="J159" s="1138"/>
      <c r="K159" s="1138"/>
      <c r="L159" s="1138"/>
    </row>
    <row r="160" spans="2:12" x14ac:dyDescent="0.2">
      <c r="B160" s="1144" t="s">
        <v>1414</v>
      </c>
      <c r="C160" s="1144"/>
      <c r="D160" s="1144"/>
      <c r="E160" s="1144"/>
      <c r="F160" s="1144" t="s">
        <v>1415</v>
      </c>
      <c r="G160" s="1144"/>
      <c r="H160" s="1144"/>
      <c r="I160" s="1144"/>
      <c r="J160" s="1144" t="s">
        <v>1416</v>
      </c>
      <c r="K160" s="1144"/>
      <c r="L160" s="1144"/>
    </row>
    <row r="161" spans="2:12" x14ac:dyDescent="0.2">
      <c r="B161" s="1144"/>
      <c r="C161" s="1144"/>
      <c r="D161" s="1144"/>
      <c r="E161" s="1144"/>
      <c r="F161" s="1144"/>
      <c r="G161" s="1144"/>
      <c r="H161" s="1144"/>
      <c r="I161" s="1144"/>
      <c r="J161" s="1144"/>
      <c r="K161" s="1144"/>
      <c r="L161" s="1144"/>
    </row>
    <row r="162" spans="2:12" x14ac:dyDescent="0.2">
      <c r="B162" s="1145" t="e">
        <f>IF(ISBLANK(Results!#REF!)," ",(Results!#REF!))</f>
        <v>#REF!</v>
      </c>
      <c r="C162" s="1145"/>
      <c r="D162" s="1145"/>
      <c r="E162" s="1145"/>
      <c r="F162" s="1145" t="e">
        <f>IF(ISBLANK(Results!#REF!),"-",(Results!#REF!))</f>
        <v>#REF!</v>
      </c>
      <c r="G162" s="1145"/>
      <c r="H162" s="1145"/>
      <c r="I162" s="1145"/>
      <c r="J162" s="1145" t="e">
        <f>IF(#REF!&lt;=K58,_xlfn.CONCAT(K58," ","(*Vértebra Travada)"),#REF!)</f>
        <v>#REF!</v>
      </c>
      <c r="K162" s="1145"/>
      <c r="L162" s="1145"/>
    </row>
    <row r="163" spans="2:12" x14ac:dyDescent="0.2">
      <c r="B163" s="1145"/>
      <c r="C163" s="1145"/>
      <c r="D163" s="1145"/>
      <c r="E163" s="1145"/>
      <c r="F163" s="1145"/>
      <c r="G163" s="1145"/>
      <c r="H163" s="1145"/>
      <c r="I163" s="1145"/>
      <c r="J163" s="1145"/>
      <c r="K163" s="1145"/>
      <c r="L163" s="1145"/>
    </row>
    <row r="164" spans="2:12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</row>
    <row r="165" spans="2:12" x14ac:dyDescent="0.2">
      <c r="B165" s="1138" t="s">
        <v>1539</v>
      </c>
      <c r="C165" s="1138"/>
      <c r="D165" s="1138"/>
      <c r="E165" s="1138"/>
      <c r="F165" s="1138"/>
      <c r="G165" s="1138"/>
      <c r="H165" s="1138"/>
      <c r="I165" s="1138"/>
      <c r="J165" s="1138"/>
      <c r="K165" s="1138"/>
      <c r="L165" s="1138"/>
    </row>
    <row r="166" spans="2:12" x14ac:dyDescent="0.2">
      <c r="B166" s="1147"/>
      <c r="C166" s="964"/>
      <c r="D166" s="964"/>
      <c r="E166" s="964"/>
      <c r="F166" s="964"/>
      <c r="G166" s="964"/>
      <c r="H166" s="964"/>
      <c r="I166" s="964"/>
      <c r="J166" s="964"/>
      <c r="K166" s="964"/>
      <c r="L166" s="965"/>
    </row>
    <row r="167" spans="2:12" x14ac:dyDescent="0.2">
      <c r="B167" s="931"/>
      <c r="C167" s="932"/>
      <c r="D167" s="932"/>
      <c r="E167" s="932"/>
      <c r="F167" s="932"/>
      <c r="G167" s="932"/>
      <c r="H167" s="932"/>
      <c r="I167" s="932"/>
      <c r="J167" s="932"/>
      <c r="K167" s="932"/>
      <c r="L167" s="934"/>
    </row>
    <row r="168" spans="2:12" x14ac:dyDescent="0.2">
      <c r="B168" s="931"/>
      <c r="C168" s="932"/>
      <c r="D168" s="932"/>
      <c r="E168" s="932"/>
      <c r="F168" s="932"/>
      <c r="G168" s="932"/>
      <c r="H168" s="932"/>
      <c r="I168" s="932"/>
      <c r="J168" s="932"/>
      <c r="K168" s="932"/>
      <c r="L168" s="934"/>
    </row>
    <row r="169" spans="2:12" x14ac:dyDescent="0.2">
      <c r="B169" s="931"/>
      <c r="C169" s="932"/>
      <c r="D169" s="932"/>
      <c r="E169" s="932"/>
      <c r="F169" s="932"/>
      <c r="G169" s="932"/>
      <c r="H169" s="932"/>
      <c r="I169" s="932"/>
      <c r="J169" s="932"/>
      <c r="K169" s="932"/>
      <c r="L169" s="934"/>
    </row>
    <row r="170" spans="2:12" x14ac:dyDescent="0.2">
      <c r="B170" s="931"/>
      <c r="C170" s="932"/>
      <c r="D170" s="932"/>
      <c r="E170" s="932"/>
      <c r="F170" s="932"/>
      <c r="G170" s="932"/>
      <c r="H170" s="932"/>
      <c r="I170" s="932"/>
      <c r="J170" s="932"/>
      <c r="K170" s="932"/>
      <c r="L170" s="934"/>
    </row>
    <row r="171" spans="2:12" x14ac:dyDescent="0.2">
      <c r="B171" s="931"/>
      <c r="C171" s="932"/>
      <c r="D171" s="932"/>
      <c r="E171" s="932"/>
      <c r="F171" s="932"/>
      <c r="G171" s="932"/>
      <c r="H171" s="932"/>
      <c r="I171" s="932"/>
      <c r="J171" s="932"/>
      <c r="K171" s="932"/>
      <c r="L171" s="934"/>
    </row>
    <row r="172" spans="2:12" x14ac:dyDescent="0.2">
      <c r="B172" s="931"/>
      <c r="C172" s="932"/>
      <c r="D172" s="932"/>
      <c r="E172" s="932"/>
      <c r="F172" s="932"/>
      <c r="G172" s="932"/>
      <c r="H172" s="932"/>
      <c r="I172" s="932"/>
      <c r="J172" s="932"/>
      <c r="K172" s="932"/>
      <c r="L172" s="934"/>
    </row>
    <row r="173" spans="2:12" x14ac:dyDescent="0.2">
      <c r="B173" s="931"/>
      <c r="C173" s="932"/>
      <c r="D173" s="932"/>
      <c r="E173" s="932"/>
      <c r="F173" s="932"/>
      <c r="G173" s="932"/>
      <c r="H173" s="932"/>
      <c r="I173" s="932"/>
      <c r="J173" s="932"/>
      <c r="K173" s="932"/>
      <c r="L173" s="934"/>
    </row>
    <row r="174" spans="2:12" x14ac:dyDescent="0.2">
      <c r="B174" s="931"/>
      <c r="C174" s="932"/>
      <c r="D174" s="932"/>
      <c r="E174" s="932"/>
      <c r="F174" s="932"/>
      <c r="G174" s="932"/>
      <c r="H174" s="932"/>
      <c r="I174" s="932"/>
      <c r="J174" s="932"/>
      <c r="K174" s="932"/>
      <c r="L174" s="934"/>
    </row>
    <row r="175" spans="2:12" x14ac:dyDescent="0.2">
      <c r="B175" s="931"/>
      <c r="C175" s="932"/>
      <c r="D175" s="932"/>
      <c r="E175" s="932"/>
      <c r="F175" s="932"/>
      <c r="G175" s="932"/>
      <c r="H175" s="932"/>
      <c r="I175" s="932"/>
      <c r="J175" s="932"/>
      <c r="K175" s="932"/>
      <c r="L175" s="934"/>
    </row>
    <row r="176" spans="2:12" x14ac:dyDescent="0.2">
      <c r="B176" s="931"/>
      <c r="C176" s="932"/>
      <c r="D176" s="932"/>
      <c r="E176" s="932"/>
      <c r="F176" s="932"/>
      <c r="G176" s="932"/>
      <c r="H176" s="932"/>
      <c r="I176" s="932"/>
      <c r="J176" s="932"/>
      <c r="K176" s="932"/>
      <c r="L176" s="934"/>
    </row>
    <row r="177" spans="2:12" x14ac:dyDescent="0.2">
      <c r="B177" s="931"/>
      <c r="C177" s="932"/>
      <c r="D177" s="932"/>
      <c r="E177" s="932"/>
      <c r="F177" s="932"/>
      <c r="G177" s="932"/>
      <c r="H177" s="932"/>
      <c r="I177" s="932"/>
      <c r="J177" s="932"/>
      <c r="K177" s="932"/>
      <c r="L177" s="934"/>
    </row>
    <row r="178" spans="2:12" x14ac:dyDescent="0.2">
      <c r="B178" s="931"/>
      <c r="C178" s="932"/>
      <c r="D178" s="932"/>
      <c r="E178" s="932"/>
      <c r="F178" s="932"/>
      <c r="G178" s="932"/>
      <c r="H178" s="932"/>
      <c r="I178" s="932"/>
      <c r="J178" s="932"/>
      <c r="K178" s="932"/>
      <c r="L178" s="934"/>
    </row>
    <row r="179" spans="2:12" x14ac:dyDescent="0.2">
      <c r="B179" s="931"/>
      <c r="C179" s="932"/>
      <c r="D179" s="932"/>
      <c r="E179" s="932"/>
      <c r="F179" s="932"/>
      <c r="G179" s="932"/>
      <c r="H179" s="932"/>
      <c r="I179" s="932"/>
      <c r="J179" s="932"/>
      <c r="K179" s="932"/>
      <c r="L179" s="934"/>
    </row>
    <row r="180" spans="2:12" x14ac:dyDescent="0.2">
      <c r="B180" s="931"/>
      <c r="C180" s="932"/>
      <c r="D180" s="932"/>
      <c r="E180" s="932"/>
      <c r="F180" s="932"/>
      <c r="G180" s="932"/>
      <c r="H180" s="932"/>
      <c r="I180" s="932"/>
      <c r="J180" s="932"/>
      <c r="K180" s="932"/>
      <c r="L180" s="934"/>
    </row>
    <row r="181" spans="2:12" x14ac:dyDescent="0.2">
      <c r="B181" s="931"/>
      <c r="C181" s="932"/>
      <c r="D181" s="932"/>
      <c r="E181" s="932"/>
      <c r="F181" s="932"/>
      <c r="G181" s="932"/>
      <c r="H181" s="932"/>
      <c r="I181" s="932"/>
      <c r="J181" s="932"/>
      <c r="K181" s="932"/>
      <c r="L181" s="934"/>
    </row>
    <row r="182" spans="2:12" x14ac:dyDescent="0.2">
      <c r="B182" s="931"/>
      <c r="C182" s="932"/>
      <c r="D182" s="932"/>
      <c r="E182" s="932"/>
      <c r="F182" s="932"/>
      <c r="G182" s="932"/>
      <c r="H182" s="932"/>
      <c r="I182" s="932"/>
      <c r="J182" s="932"/>
      <c r="K182" s="932"/>
      <c r="L182" s="934"/>
    </row>
    <row r="183" spans="2:12" x14ac:dyDescent="0.2">
      <c r="B183" s="931"/>
      <c r="C183" s="932"/>
      <c r="D183" s="932"/>
      <c r="E183" s="932"/>
      <c r="F183" s="932"/>
      <c r="G183" s="932"/>
      <c r="H183" s="932"/>
      <c r="I183" s="932"/>
      <c r="J183" s="932"/>
      <c r="K183" s="932"/>
      <c r="L183" s="934"/>
    </row>
    <row r="184" spans="2:12" x14ac:dyDescent="0.2">
      <c r="B184" s="931"/>
      <c r="C184" s="932"/>
      <c r="D184" s="932"/>
      <c r="E184" s="932"/>
      <c r="F184" s="932"/>
      <c r="G184" s="932"/>
      <c r="H184" s="932"/>
      <c r="I184" s="932"/>
      <c r="J184" s="932"/>
      <c r="K184" s="932"/>
      <c r="L184" s="934"/>
    </row>
    <row r="185" spans="2:12" x14ac:dyDescent="0.2">
      <c r="B185" s="966"/>
      <c r="C185" s="967"/>
      <c r="D185" s="967"/>
      <c r="E185" s="967"/>
      <c r="F185" s="967"/>
      <c r="G185" s="967"/>
      <c r="H185" s="967"/>
      <c r="I185" s="967"/>
      <c r="J185" s="967"/>
      <c r="K185" s="967"/>
      <c r="L185" s="968"/>
    </row>
    <row r="186" spans="2:12" s="9" customFormat="1" x14ac:dyDescent="0.2"/>
    <row r="187" spans="2:12" s="9" customFormat="1" x14ac:dyDescent="0.2"/>
    <row r="188" spans="2:12" s="9" customFormat="1" x14ac:dyDescent="0.2"/>
    <row r="189" spans="2:12" s="9" customFormat="1" x14ac:dyDescent="0.2"/>
    <row r="190" spans="2:12" s="9" customFormat="1" x14ac:dyDescent="0.2"/>
    <row r="191" spans="2:12" s="9" customFormat="1" x14ac:dyDescent="0.2"/>
    <row r="192" spans="2:12" s="9" customFormat="1" x14ac:dyDescent="0.2"/>
    <row r="193" spans="2:12" s="9" customFormat="1" x14ac:dyDescent="0.2"/>
    <row r="194" spans="2:12" s="9" customFormat="1" x14ac:dyDescent="0.2"/>
    <row r="195" spans="2:12" s="9" customFormat="1" x14ac:dyDescent="0.2"/>
    <row r="196" spans="2:12" x14ac:dyDescent="0.2">
      <c r="B196" s="1137" t="s">
        <v>1540</v>
      </c>
      <c r="C196" s="1137"/>
      <c r="D196" s="1137"/>
      <c r="E196" s="1137"/>
      <c r="F196" s="1137"/>
      <c r="G196" s="1137"/>
      <c r="H196" s="1137"/>
      <c r="I196" s="1137"/>
      <c r="J196" s="1137"/>
      <c r="K196" s="1137"/>
      <c r="L196" s="1137"/>
    </row>
    <row r="197" spans="2:12" ht="12.75" customHeight="1" x14ac:dyDescent="0.2">
      <c r="B197" s="1146"/>
      <c r="C197" s="1146"/>
      <c r="D197" s="1146"/>
      <c r="E197" s="1146"/>
      <c r="F197" s="1146"/>
      <c r="G197" s="1146"/>
      <c r="H197" s="1146"/>
      <c r="I197" s="1146"/>
      <c r="J197" s="1146"/>
      <c r="K197" s="1146"/>
      <c r="L197" s="1146"/>
    </row>
    <row r="198" spans="2:12" x14ac:dyDescent="0.2">
      <c r="B198" s="1206" t="s">
        <v>1541</v>
      </c>
      <c r="C198" s="1206"/>
      <c r="D198" s="1206"/>
      <c r="E198" s="1206"/>
      <c r="F198" s="1206"/>
      <c r="G198" s="1206"/>
      <c r="H198" s="1206"/>
      <c r="I198" s="1206"/>
      <c r="J198" s="1206"/>
      <c r="K198" s="1206"/>
      <c r="L198" s="1206"/>
    </row>
    <row r="199" spans="2:12" x14ac:dyDescent="0.2">
      <c r="B199" s="1145"/>
      <c r="C199" s="1145"/>
      <c r="D199" s="1145"/>
      <c r="E199" s="1145"/>
      <c r="F199" s="1145"/>
      <c r="G199" s="1145"/>
      <c r="H199" s="1145"/>
      <c r="I199" s="1145"/>
      <c r="J199" s="1145"/>
      <c r="K199" s="1145"/>
      <c r="L199" s="1145"/>
    </row>
    <row r="200" spans="2:12" x14ac:dyDescent="0.2">
      <c r="B200" s="1145"/>
      <c r="C200" s="1145"/>
      <c r="D200" s="1145"/>
      <c r="E200" s="1145"/>
      <c r="F200" s="1145"/>
      <c r="G200" s="1145"/>
      <c r="H200" s="1145"/>
      <c r="I200" s="1145"/>
      <c r="J200" s="1145"/>
      <c r="K200" s="1145"/>
      <c r="L200" s="1145"/>
    </row>
    <row r="201" spans="2:12" x14ac:dyDescent="0.2">
      <c r="B201" s="1145"/>
      <c r="C201" s="1145"/>
      <c r="D201" s="1145"/>
      <c r="E201" s="1145"/>
      <c r="F201" s="1145"/>
      <c r="G201" s="1145"/>
      <c r="H201" s="1145"/>
      <c r="I201" s="1145"/>
      <c r="J201" s="1145"/>
      <c r="K201" s="1145"/>
      <c r="L201" s="1145"/>
    </row>
    <row r="202" spans="2:12" x14ac:dyDescent="0.2">
      <c r="B202" s="1145"/>
      <c r="C202" s="1145"/>
      <c r="D202" s="1145"/>
      <c r="E202" s="1145"/>
      <c r="F202" s="1145"/>
      <c r="G202" s="1145"/>
      <c r="H202" s="1145"/>
      <c r="I202" s="1145"/>
      <c r="J202" s="1145"/>
      <c r="K202" s="1145"/>
      <c r="L202" s="1145"/>
    </row>
    <row r="203" spans="2:12" x14ac:dyDescent="0.2">
      <c r="B203" s="1145"/>
      <c r="C203" s="1145"/>
      <c r="D203" s="1145"/>
      <c r="E203" s="1145"/>
      <c r="F203" s="1145"/>
      <c r="G203" s="1145"/>
      <c r="H203" s="1145"/>
      <c r="I203" s="1145"/>
      <c r="J203" s="1145"/>
      <c r="K203" s="1145"/>
      <c r="L203" s="1145"/>
    </row>
    <row r="204" spans="2:12" x14ac:dyDescent="0.2">
      <c r="B204" s="1145"/>
      <c r="C204" s="1145"/>
      <c r="D204" s="1145"/>
      <c r="E204" s="1145"/>
      <c r="F204" s="1145"/>
      <c r="G204" s="1145"/>
      <c r="H204" s="1145"/>
      <c r="I204" s="1145"/>
      <c r="J204" s="1145"/>
      <c r="K204" s="1145"/>
      <c r="L204" s="1145"/>
    </row>
    <row r="205" spans="2:12" x14ac:dyDescent="0.2">
      <c r="B205" s="1145"/>
      <c r="C205" s="1145"/>
      <c r="D205" s="1145"/>
      <c r="E205" s="1145"/>
      <c r="F205" s="1145"/>
      <c r="G205" s="1145"/>
      <c r="H205" s="1145"/>
      <c r="I205" s="1145"/>
      <c r="J205" s="1145"/>
      <c r="K205" s="1145"/>
      <c r="L205" s="1145"/>
    </row>
    <row r="206" spans="2:12" x14ac:dyDescent="0.2">
      <c r="B206" s="1145"/>
      <c r="C206" s="1145"/>
      <c r="D206" s="1145"/>
      <c r="E206" s="1145"/>
      <c r="F206" s="1145"/>
      <c r="G206" s="1145"/>
      <c r="H206" s="1145"/>
      <c r="I206" s="1145"/>
      <c r="J206" s="1145"/>
      <c r="K206" s="1145"/>
      <c r="L206" s="1145"/>
    </row>
    <row r="207" spans="2:12" x14ac:dyDescent="0.2">
      <c r="B207" s="1145"/>
      <c r="C207" s="1145"/>
      <c r="D207" s="1145"/>
      <c r="E207" s="1145"/>
      <c r="F207" s="1145"/>
      <c r="G207" s="1145"/>
      <c r="H207" s="1145"/>
      <c r="I207" s="1145"/>
      <c r="J207" s="1145"/>
      <c r="K207" s="1145"/>
      <c r="L207" s="1145"/>
    </row>
    <row r="208" spans="2:12" x14ac:dyDescent="0.2">
      <c r="B208" s="1145"/>
      <c r="C208" s="1145"/>
      <c r="D208" s="1145"/>
      <c r="E208" s="1145"/>
      <c r="F208" s="1145"/>
      <c r="G208" s="1145"/>
      <c r="H208" s="1145"/>
      <c r="I208" s="1145"/>
      <c r="J208" s="1145"/>
      <c r="K208" s="1145"/>
      <c r="L208" s="1145"/>
    </row>
    <row r="209" spans="2:12" x14ac:dyDescent="0.2">
      <c r="B209" s="1145"/>
      <c r="C209" s="1145"/>
      <c r="D209" s="1145"/>
      <c r="E209" s="1145"/>
      <c r="F209" s="1145"/>
      <c r="G209" s="1145"/>
      <c r="H209" s="1145"/>
      <c r="I209" s="1145"/>
      <c r="J209" s="1145"/>
      <c r="K209" s="1145"/>
      <c r="L209" s="1145"/>
    </row>
    <row r="210" spans="2:12" x14ac:dyDescent="0.2">
      <c r="B210" s="1145"/>
      <c r="C210" s="1145"/>
      <c r="D210" s="1145"/>
      <c r="E210" s="1145"/>
      <c r="F210" s="1145"/>
      <c r="G210" s="1145"/>
      <c r="H210" s="1145"/>
      <c r="I210" s="1145"/>
      <c r="J210" s="1145"/>
      <c r="K210" s="1145"/>
      <c r="L210" s="1145"/>
    </row>
    <row r="211" spans="2:12" x14ac:dyDescent="0.2">
      <c r="B211" s="1145"/>
      <c r="C211" s="1145"/>
      <c r="D211" s="1145"/>
      <c r="E211" s="1145"/>
      <c r="F211" s="1145"/>
      <c r="G211" s="1145"/>
      <c r="H211" s="1145"/>
      <c r="I211" s="1145"/>
      <c r="J211" s="1145"/>
      <c r="K211" s="1145"/>
      <c r="L211" s="1145"/>
    </row>
    <row r="212" spans="2:12" x14ac:dyDescent="0.2">
      <c r="B212" s="1145"/>
      <c r="C212" s="1145"/>
      <c r="D212" s="1145"/>
      <c r="E212" s="1145"/>
      <c r="F212" s="1145"/>
      <c r="G212" s="1145"/>
      <c r="H212" s="1145"/>
      <c r="I212" s="1145"/>
      <c r="J212" s="1145"/>
      <c r="K212" s="1145"/>
      <c r="L212" s="1145"/>
    </row>
    <row r="213" spans="2:12" x14ac:dyDescent="0.2">
      <c r="B213" s="1145"/>
      <c r="C213" s="1145"/>
      <c r="D213" s="1145"/>
      <c r="E213" s="1145"/>
      <c r="F213" s="1145"/>
      <c r="G213" s="1145"/>
      <c r="H213" s="1145"/>
      <c r="I213" s="1145"/>
      <c r="J213" s="1145"/>
      <c r="K213" s="1145"/>
      <c r="L213" s="1145"/>
    </row>
    <row r="214" spans="2:12" x14ac:dyDescent="0.2">
      <c r="B214" s="1145"/>
      <c r="C214" s="1145"/>
      <c r="D214" s="1145"/>
      <c r="E214" s="1145"/>
      <c r="F214" s="1145"/>
      <c r="G214" s="1145"/>
      <c r="H214" s="1145"/>
      <c r="I214" s="1145"/>
      <c r="J214" s="1145"/>
      <c r="K214" s="1145"/>
      <c r="L214" s="1145"/>
    </row>
    <row r="215" spans="2:12" x14ac:dyDescent="0.2">
      <c r="B215" s="1145"/>
      <c r="C215" s="1145"/>
      <c r="D215" s="1145"/>
      <c r="E215" s="1145"/>
      <c r="F215" s="1145"/>
      <c r="G215" s="1145"/>
      <c r="H215" s="1145"/>
      <c r="I215" s="1145"/>
      <c r="J215" s="1145"/>
      <c r="K215" s="1145"/>
      <c r="L215" s="1145"/>
    </row>
    <row r="216" spans="2:12" x14ac:dyDescent="0.2">
      <c r="B216" s="1145"/>
      <c r="C216" s="1145"/>
      <c r="D216" s="1145"/>
      <c r="E216" s="1145"/>
      <c r="F216" s="1145"/>
      <c r="G216" s="1145"/>
      <c r="H216" s="1145"/>
      <c r="I216" s="1145"/>
      <c r="J216" s="1145"/>
      <c r="K216" s="1145"/>
      <c r="L216" s="1145"/>
    </row>
    <row r="217" spans="2:12" x14ac:dyDescent="0.2">
      <c r="B217" s="1145"/>
      <c r="C217" s="1145"/>
      <c r="D217" s="1145"/>
      <c r="E217" s="1145"/>
      <c r="F217" s="1145"/>
      <c r="G217" s="1145"/>
      <c r="H217" s="1145"/>
      <c r="I217" s="1145"/>
      <c r="J217" s="1145"/>
      <c r="K217" s="1145"/>
      <c r="L217" s="1145"/>
    </row>
    <row r="218" spans="2:12" x14ac:dyDescent="0.2">
      <c r="B218" s="1145"/>
      <c r="C218" s="1145"/>
      <c r="D218" s="1145"/>
      <c r="E218" s="1145"/>
      <c r="F218" s="1145"/>
      <c r="G218" s="1145"/>
      <c r="H218" s="1145"/>
      <c r="I218" s="1145"/>
      <c r="J218" s="1145"/>
      <c r="K218" s="1145"/>
      <c r="L218" s="1145"/>
    </row>
    <row r="219" spans="2:12" x14ac:dyDescent="0.2">
      <c r="B219" s="1144" t="s">
        <v>1471</v>
      </c>
      <c r="C219" s="1144" t="s">
        <v>1416</v>
      </c>
      <c r="D219" s="1144"/>
      <c r="E219" s="1144" t="s">
        <v>1472</v>
      </c>
      <c r="F219" s="1144"/>
      <c r="G219" s="1144" t="s">
        <v>1473</v>
      </c>
      <c r="H219" s="1144"/>
      <c r="I219" s="1144" t="s">
        <v>1474</v>
      </c>
      <c r="J219" s="1144"/>
      <c r="K219" s="1144" t="s">
        <v>1475</v>
      </c>
      <c r="L219" s="1144"/>
    </row>
    <row r="220" spans="2:12" x14ac:dyDescent="0.2">
      <c r="B220" s="1144"/>
      <c r="C220" s="1144"/>
      <c r="D220" s="1144"/>
      <c r="E220" s="1144"/>
      <c r="F220" s="1144"/>
      <c r="G220" s="1144"/>
      <c r="H220" s="1144"/>
      <c r="I220" s="1144"/>
      <c r="J220" s="1144"/>
      <c r="K220" s="1144"/>
      <c r="L220" s="1144"/>
    </row>
    <row r="221" spans="2:12" x14ac:dyDescent="0.2">
      <c r="B221" s="1145" t="e">
        <f>IF(ISBLANK(#REF!),"",(#REF!))</f>
        <v>#REF!</v>
      </c>
      <c r="C221" s="1145" t="e">
        <f>IF(#REF!&lt;=K58,_xlfn.CONCAT(K58," ","(*Vértebra Travada)"),#REF!)</f>
        <v>#REF!</v>
      </c>
      <c r="D221" s="1145"/>
      <c r="E221" s="1145" t="e">
        <f>IF(ISBLANK(#REF!),"",(#REF!))</f>
        <v>#REF!</v>
      </c>
      <c r="F221" s="1145"/>
      <c r="G221" s="1145" t="e">
        <f>IF(ISBLANK(#REF!),"",(#REF!))</f>
        <v>#REF!</v>
      </c>
      <c r="H221" s="1145"/>
      <c r="I221" s="1145" t="e">
        <f>IF(ISBLANK(#REF!),"",(#REF!))</f>
        <v>#REF!</v>
      </c>
      <c r="J221" s="1145"/>
      <c r="K221" s="1145" t="e">
        <f>IF(ISBLANK(#REF!),"",(#REF!))</f>
        <v>#REF!</v>
      </c>
      <c r="L221" s="1145"/>
    </row>
    <row r="222" spans="2:12" x14ac:dyDescent="0.2">
      <c r="B222" s="1145"/>
      <c r="C222" s="1145"/>
      <c r="D222" s="1145"/>
      <c r="E222" s="1145"/>
      <c r="F222" s="1145"/>
      <c r="G222" s="1145"/>
      <c r="H222" s="1145"/>
      <c r="I222" s="1145"/>
      <c r="J222" s="1145"/>
      <c r="K222" s="1145"/>
      <c r="L222" s="1145"/>
    </row>
    <row r="223" spans="2:12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K223" s="213"/>
      <c r="L223" s="213"/>
    </row>
    <row r="224" spans="2:12" x14ac:dyDescent="0.2">
      <c r="B224" s="1206" t="s">
        <v>1542</v>
      </c>
      <c r="C224" s="1206"/>
      <c r="D224" s="1206"/>
      <c r="E224" s="1206"/>
      <c r="F224" s="1206"/>
      <c r="G224" s="1206"/>
      <c r="H224" s="1206"/>
      <c r="I224" s="1206"/>
      <c r="J224" s="1206"/>
      <c r="K224" s="1206"/>
      <c r="L224" s="1206"/>
    </row>
    <row r="225" spans="2:12" x14ac:dyDescent="0.2">
      <c r="B225" s="1145"/>
      <c r="C225" s="1145"/>
      <c r="D225" s="1145"/>
      <c r="E225" s="1145"/>
      <c r="F225" s="1145"/>
      <c r="G225" s="1145"/>
      <c r="H225" s="1145"/>
      <c r="I225" s="1145"/>
      <c r="J225" s="1145"/>
      <c r="K225" s="1145"/>
      <c r="L225" s="1145"/>
    </row>
    <row r="226" spans="2:12" x14ac:dyDescent="0.2">
      <c r="B226" s="1145"/>
      <c r="C226" s="1145"/>
      <c r="D226" s="1145"/>
      <c r="E226" s="1145"/>
      <c r="F226" s="1145"/>
      <c r="G226" s="1145"/>
      <c r="H226" s="1145"/>
      <c r="I226" s="1145"/>
      <c r="J226" s="1145"/>
      <c r="K226" s="1145"/>
      <c r="L226" s="1145"/>
    </row>
    <row r="227" spans="2:12" x14ac:dyDescent="0.2">
      <c r="B227" s="1145"/>
      <c r="C227" s="1145"/>
      <c r="D227" s="1145"/>
      <c r="E227" s="1145"/>
      <c r="F227" s="1145"/>
      <c r="G227" s="1145"/>
      <c r="H227" s="1145"/>
      <c r="I227" s="1145"/>
      <c r="J227" s="1145"/>
      <c r="K227" s="1145"/>
      <c r="L227" s="1145"/>
    </row>
    <row r="228" spans="2:12" x14ac:dyDescent="0.2">
      <c r="B228" s="1145"/>
      <c r="C228" s="1145"/>
      <c r="D228" s="1145"/>
      <c r="E228" s="1145"/>
      <c r="F228" s="1145"/>
      <c r="G228" s="1145"/>
      <c r="H228" s="1145"/>
      <c r="I228" s="1145"/>
      <c r="J228" s="1145"/>
      <c r="K228" s="1145"/>
      <c r="L228" s="1145"/>
    </row>
    <row r="229" spans="2:12" x14ac:dyDescent="0.2">
      <c r="B229" s="1145"/>
      <c r="C229" s="1145"/>
      <c r="D229" s="1145"/>
      <c r="E229" s="1145"/>
      <c r="F229" s="1145"/>
      <c r="G229" s="1145"/>
      <c r="H229" s="1145"/>
      <c r="I229" s="1145"/>
      <c r="J229" s="1145"/>
      <c r="K229" s="1145"/>
      <c r="L229" s="1145"/>
    </row>
    <row r="230" spans="2:12" x14ac:dyDescent="0.2">
      <c r="B230" s="1145"/>
      <c r="C230" s="1145"/>
      <c r="D230" s="1145"/>
      <c r="E230" s="1145"/>
      <c r="F230" s="1145"/>
      <c r="G230" s="1145"/>
      <c r="H230" s="1145"/>
      <c r="I230" s="1145"/>
      <c r="J230" s="1145"/>
      <c r="K230" s="1145"/>
      <c r="L230" s="1145"/>
    </row>
    <row r="231" spans="2:12" x14ac:dyDescent="0.2">
      <c r="B231" s="1145"/>
      <c r="C231" s="1145"/>
      <c r="D231" s="1145"/>
      <c r="E231" s="1145"/>
      <c r="F231" s="1145"/>
      <c r="G231" s="1145"/>
      <c r="H231" s="1145"/>
      <c r="I231" s="1145"/>
      <c r="J231" s="1145"/>
      <c r="K231" s="1145"/>
      <c r="L231" s="1145"/>
    </row>
    <row r="232" spans="2:12" x14ac:dyDescent="0.2">
      <c r="B232" s="1145"/>
      <c r="C232" s="1145"/>
      <c r="D232" s="1145"/>
      <c r="E232" s="1145"/>
      <c r="F232" s="1145"/>
      <c r="G232" s="1145"/>
      <c r="H232" s="1145"/>
      <c r="I232" s="1145"/>
      <c r="J232" s="1145"/>
      <c r="K232" s="1145"/>
      <c r="L232" s="1145"/>
    </row>
    <row r="233" spans="2:12" x14ac:dyDescent="0.2">
      <c r="B233" s="1145"/>
      <c r="C233" s="1145"/>
      <c r="D233" s="1145"/>
      <c r="E233" s="1145"/>
      <c r="F233" s="1145"/>
      <c r="G233" s="1145"/>
      <c r="H233" s="1145"/>
      <c r="I233" s="1145"/>
      <c r="J233" s="1145"/>
      <c r="K233" s="1145"/>
      <c r="L233" s="1145"/>
    </row>
    <row r="234" spans="2:12" x14ac:dyDescent="0.2">
      <c r="B234" s="1145"/>
      <c r="C234" s="1145"/>
      <c r="D234" s="1145"/>
      <c r="E234" s="1145"/>
      <c r="F234" s="1145"/>
      <c r="G234" s="1145"/>
      <c r="H234" s="1145"/>
      <c r="I234" s="1145"/>
      <c r="J234" s="1145"/>
      <c r="K234" s="1145"/>
      <c r="L234" s="1145"/>
    </row>
    <row r="235" spans="2:12" x14ac:dyDescent="0.2">
      <c r="B235" s="1145"/>
      <c r="C235" s="1145"/>
      <c r="D235" s="1145"/>
      <c r="E235" s="1145"/>
      <c r="F235" s="1145"/>
      <c r="G235" s="1145"/>
      <c r="H235" s="1145"/>
      <c r="I235" s="1145"/>
      <c r="J235" s="1145"/>
      <c r="K235" s="1145"/>
      <c r="L235" s="1145"/>
    </row>
    <row r="236" spans="2:12" x14ac:dyDescent="0.2">
      <c r="B236" s="1145"/>
      <c r="C236" s="1145"/>
      <c r="D236" s="1145"/>
      <c r="E236" s="1145"/>
      <c r="F236" s="1145"/>
      <c r="G236" s="1145"/>
      <c r="H236" s="1145"/>
      <c r="I236" s="1145"/>
      <c r="J236" s="1145"/>
      <c r="K236" s="1145"/>
      <c r="L236" s="1145"/>
    </row>
    <row r="237" spans="2:12" x14ac:dyDescent="0.2">
      <c r="B237" s="1145"/>
      <c r="C237" s="1145"/>
      <c r="D237" s="1145"/>
      <c r="E237" s="1145"/>
      <c r="F237" s="1145"/>
      <c r="G237" s="1145"/>
      <c r="H237" s="1145"/>
      <c r="I237" s="1145"/>
      <c r="J237" s="1145"/>
      <c r="K237" s="1145"/>
      <c r="L237" s="1145"/>
    </row>
    <row r="238" spans="2:12" x14ac:dyDescent="0.2">
      <c r="B238" s="1145"/>
      <c r="C238" s="1145"/>
      <c r="D238" s="1145"/>
      <c r="E238" s="1145"/>
      <c r="F238" s="1145"/>
      <c r="G238" s="1145"/>
      <c r="H238" s="1145"/>
      <c r="I238" s="1145"/>
      <c r="J238" s="1145"/>
      <c r="K238" s="1145"/>
      <c r="L238" s="1145"/>
    </row>
    <row r="239" spans="2:12" x14ac:dyDescent="0.2">
      <c r="B239" s="1145"/>
      <c r="C239" s="1145"/>
      <c r="D239" s="1145"/>
      <c r="E239" s="1145"/>
      <c r="F239" s="1145"/>
      <c r="G239" s="1145"/>
      <c r="H239" s="1145"/>
      <c r="I239" s="1145"/>
      <c r="J239" s="1145"/>
      <c r="K239" s="1145"/>
      <c r="L239" s="1145"/>
    </row>
    <row r="240" spans="2:12" x14ac:dyDescent="0.2">
      <c r="B240" s="1145"/>
      <c r="C240" s="1145"/>
      <c r="D240" s="1145"/>
      <c r="E240" s="1145"/>
      <c r="F240" s="1145"/>
      <c r="G240" s="1145"/>
      <c r="H240" s="1145"/>
      <c r="I240" s="1145"/>
      <c r="J240" s="1145"/>
      <c r="K240" s="1145"/>
      <c r="L240" s="1145"/>
    </row>
    <row r="241" spans="2:17" x14ac:dyDescent="0.2">
      <c r="B241" s="1145"/>
      <c r="C241" s="1145"/>
      <c r="D241" s="1145"/>
      <c r="E241" s="1145"/>
      <c r="F241" s="1145"/>
      <c r="G241" s="1145"/>
      <c r="H241" s="1145"/>
      <c r="I241" s="1145"/>
      <c r="J241" s="1145"/>
      <c r="K241" s="1145"/>
      <c r="L241" s="1145"/>
    </row>
    <row r="242" spans="2:17" x14ac:dyDescent="0.2">
      <c r="B242" s="1145"/>
      <c r="C242" s="1145"/>
      <c r="D242" s="1145"/>
      <c r="E242" s="1145"/>
      <c r="F242" s="1145"/>
      <c r="G242" s="1145"/>
      <c r="H242" s="1145"/>
      <c r="I242" s="1145"/>
      <c r="J242" s="1145"/>
      <c r="K242" s="1145"/>
      <c r="L242" s="1145"/>
    </row>
    <row r="243" spans="2:17" x14ac:dyDescent="0.2">
      <c r="B243" s="1145"/>
      <c r="C243" s="1145"/>
      <c r="D243" s="1145"/>
      <c r="E243" s="1145"/>
      <c r="F243" s="1145"/>
      <c r="G243" s="1145"/>
      <c r="H243" s="1145"/>
      <c r="I243" s="1145"/>
      <c r="J243" s="1145"/>
      <c r="K243" s="1145"/>
      <c r="L243" s="1145"/>
      <c r="Q243" s="212"/>
    </row>
    <row r="244" spans="2:17" x14ac:dyDescent="0.2">
      <c r="B244" s="1145"/>
      <c r="C244" s="1145"/>
      <c r="D244" s="1145"/>
      <c r="E244" s="1145"/>
      <c r="F244" s="1145"/>
      <c r="G244" s="1145"/>
      <c r="H244" s="1145"/>
      <c r="I244" s="1145"/>
      <c r="J244" s="1145"/>
      <c r="K244" s="1145"/>
      <c r="L244" s="1145"/>
    </row>
    <row r="245" spans="2:17" x14ac:dyDescent="0.2">
      <c r="B245" s="1144" t="s">
        <v>1471</v>
      </c>
      <c r="C245" s="1144" t="s">
        <v>1416</v>
      </c>
      <c r="D245" s="1144"/>
      <c r="E245" s="1144" t="s">
        <v>1472</v>
      </c>
      <c r="F245" s="1144"/>
      <c r="G245" s="1144" t="s">
        <v>1473</v>
      </c>
      <c r="H245" s="1144"/>
      <c r="I245" s="1144" t="s">
        <v>1474</v>
      </c>
      <c r="J245" s="1144"/>
      <c r="K245" s="1144" t="s">
        <v>1475</v>
      </c>
      <c r="L245" s="1144"/>
    </row>
    <row r="246" spans="2:17" x14ac:dyDescent="0.2">
      <c r="B246" s="1144"/>
      <c r="C246" s="1144"/>
      <c r="D246" s="1144"/>
      <c r="E246" s="1144"/>
      <c r="F246" s="1144"/>
      <c r="G246" s="1144"/>
      <c r="H246" s="1144"/>
      <c r="I246" s="1144"/>
      <c r="J246" s="1144"/>
      <c r="K246" s="1144"/>
      <c r="L246" s="1144"/>
    </row>
    <row r="247" spans="2:17" x14ac:dyDescent="0.2">
      <c r="B247" s="1145" t="e">
        <f>IF(ISBLANK(#REF!),"",(#REF!))</f>
        <v>#REF!</v>
      </c>
      <c r="C247" s="1145" t="e">
        <f>IF(#REF!&lt;=K58,_xlfn.CONCAT(K58," ","(*Vértebra Travada)"),#REF!)</f>
        <v>#REF!</v>
      </c>
      <c r="D247" s="1145"/>
      <c r="E247" s="1145" t="e">
        <f>IF(ISBLANK(#REF!),"",(#REF!))</f>
        <v>#REF!</v>
      </c>
      <c r="F247" s="1145"/>
      <c r="G247" s="1145" t="e">
        <f>IF(ISBLANK(#REF!),"",(#REF!))</f>
        <v>#REF!</v>
      </c>
      <c r="H247" s="1145"/>
      <c r="I247" s="1145" t="e">
        <f>IF(ISBLANK(#REF!),"",(#REF!))</f>
        <v>#REF!</v>
      </c>
      <c r="J247" s="1145"/>
      <c r="K247" s="1145" t="e">
        <f>IF(ISBLANK(#REF!),"",(#REF!))</f>
        <v>#REF!</v>
      </c>
      <c r="L247" s="1145"/>
    </row>
    <row r="248" spans="2:17" x14ac:dyDescent="0.2">
      <c r="B248" s="1145"/>
      <c r="C248" s="1145"/>
      <c r="D248" s="1145"/>
      <c r="E248" s="1145"/>
      <c r="F248" s="1145"/>
      <c r="G248" s="1145"/>
      <c r="H248" s="1145"/>
      <c r="I248" s="1145"/>
      <c r="J248" s="1145"/>
      <c r="K248" s="1145"/>
      <c r="L248" s="1145"/>
    </row>
    <row r="249" spans="2:17" x14ac:dyDescent="0.2"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</row>
    <row r="250" spans="2:17" x14ac:dyDescent="0.2">
      <c r="B250" s="1205" t="s">
        <v>1543</v>
      </c>
      <c r="C250" s="1205"/>
      <c r="D250" s="1205"/>
      <c r="E250" s="1205"/>
      <c r="F250" s="1205"/>
      <c r="G250" s="1205"/>
      <c r="H250" s="1205"/>
      <c r="I250" s="1205"/>
      <c r="J250" s="1205"/>
      <c r="K250" s="1205"/>
      <c r="L250" s="1205"/>
    </row>
    <row r="251" spans="2:17" ht="12.75" customHeight="1" x14ac:dyDescent="0.2">
      <c r="B251" s="1205"/>
      <c r="C251" s="1205"/>
      <c r="D251" s="1205"/>
      <c r="E251" s="1205"/>
      <c r="F251" s="1205"/>
      <c r="G251" s="1205"/>
      <c r="H251" s="1205"/>
      <c r="I251" s="1205"/>
      <c r="J251" s="1205"/>
      <c r="K251" s="1205"/>
      <c r="L251" s="1205"/>
    </row>
    <row r="252" spans="2:17" ht="12.75" customHeight="1" x14ac:dyDescent="0.2">
      <c r="B252" s="1204" t="s">
        <v>1492</v>
      </c>
      <c r="C252" s="1046"/>
      <c r="D252" s="1046"/>
      <c r="E252" s="1046"/>
      <c r="F252" s="1046"/>
      <c r="G252" s="1046"/>
      <c r="H252" s="1046"/>
      <c r="I252" s="1046"/>
      <c r="J252" s="1046"/>
      <c r="K252" s="1046"/>
      <c r="L252" s="1047"/>
    </row>
    <row r="253" spans="2:17" x14ac:dyDescent="0.2">
      <c r="B253" s="1204"/>
      <c r="C253" s="1046"/>
      <c r="D253" s="1046"/>
      <c r="E253" s="1046"/>
      <c r="F253" s="1046"/>
      <c r="G253" s="1046"/>
      <c r="H253" s="1046"/>
      <c r="I253" s="1046"/>
      <c r="J253" s="1046"/>
      <c r="K253" s="1046"/>
      <c r="L253" s="1047"/>
    </row>
    <row r="254" spans="2:17" x14ac:dyDescent="0.2">
      <c r="B254" s="1204"/>
      <c r="C254" s="1046"/>
      <c r="D254" s="1046"/>
      <c r="E254" s="1046"/>
      <c r="F254" s="1046"/>
      <c r="G254" s="1046"/>
      <c r="H254" s="1046"/>
      <c r="I254" s="1046"/>
      <c r="J254" s="1046"/>
      <c r="K254" s="1046"/>
      <c r="L254" s="1047"/>
    </row>
    <row r="255" spans="2:17" ht="12.75" customHeight="1" x14ac:dyDescent="0.2">
      <c r="B255" s="1204" t="s">
        <v>1493</v>
      </c>
      <c r="C255" s="1046"/>
      <c r="D255" s="1046"/>
      <c r="E255" s="1046"/>
      <c r="F255" s="1046"/>
      <c r="G255" s="1046"/>
      <c r="H255" s="1046"/>
      <c r="I255" s="1046"/>
      <c r="J255" s="1046"/>
      <c r="K255" s="1046"/>
      <c r="L255" s="1047"/>
      <c r="O255" s="212"/>
    </row>
    <row r="256" spans="2:17" x14ac:dyDescent="0.2">
      <c r="B256" s="1204"/>
      <c r="C256" s="1046"/>
      <c r="D256" s="1046"/>
      <c r="E256" s="1046"/>
      <c r="F256" s="1046"/>
      <c r="G256" s="1046"/>
      <c r="H256" s="1046"/>
      <c r="I256" s="1046"/>
      <c r="J256" s="1046"/>
      <c r="K256" s="1046"/>
      <c r="L256" s="1047"/>
    </row>
    <row r="257" spans="2:12" ht="12.75" customHeight="1" x14ac:dyDescent="0.2">
      <c r="B257" s="1204"/>
      <c r="C257" s="1046"/>
      <c r="D257" s="1046"/>
      <c r="E257" s="1046"/>
      <c r="F257" s="1046"/>
      <c r="G257" s="1046"/>
      <c r="H257" s="1046"/>
      <c r="I257" s="1046"/>
      <c r="J257" s="1046"/>
      <c r="K257" s="1046"/>
      <c r="L257" s="1047"/>
    </row>
    <row r="258" spans="2:12" ht="12.75" customHeight="1" x14ac:dyDescent="0.2">
      <c r="B258" s="1204" t="s">
        <v>1544</v>
      </c>
      <c r="C258" s="1046"/>
      <c r="D258" s="1046"/>
      <c r="E258" s="1046"/>
      <c r="F258" s="1046"/>
      <c r="G258" s="1046"/>
      <c r="H258" s="1046"/>
      <c r="I258" s="1046"/>
      <c r="J258" s="1046"/>
      <c r="K258" s="1046"/>
      <c r="L258" s="1047"/>
    </row>
    <row r="259" spans="2:12" x14ac:dyDescent="0.2">
      <c r="B259" s="1204"/>
      <c r="C259" s="1046"/>
      <c r="D259" s="1046"/>
      <c r="E259" s="1046"/>
      <c r="F259" s="1046"/>
      <c r="G259" s="1046"/>
      <c r="H259" s="1046"/>
      <c r="I259" s="1046"/>
      <c r="J259" s="1046"/>
      <c r="K259" s="1046"/>
      <c r="L259" s="1047"/>
    </row>
    <row r="260" spans="2:12" x14ac:dyDescent="0.2">
      <c r="B260" s="1204"/>
      <c r="C260" s="1046"/>
      <c r="D260" s="1046"/>
      <c r="E260" s="1046"/>
      <c r="F260" s="1046"/>
      <c r="G260" s="1046"/>
      <c r="H260" s="1046"/>
      <c r="I260" s="1046"/>
      <c r="J260" s="1046"/>
      <c r="K260" s="1046"/>
      <c r="L260" s="1047"/>
    </row>
    <row r="261" spans="2:12" x14ac:dyDescent="0.2">
      <c r="B261" s="1204"/>
      <c r="C261" s="1046"/>
      <c r="D261" s="1046"/>
      <c r="E261" s="1046"/>
      <c r="F261" s="1046"/>
      <c r="G261" s="1046"/>
      <c r="H261" s="1046"/>
      <c r="I261" s="1046"/>
      <c r="J261" s="1046"/>
      <c r="K261" s="1046"/>
      <c r="L261" s="1047"/>
    </row>
    <row r="262" spans="2:12" x14ac:dyDescent="0.2">
      <c r="B262" s="1207"/>
      <c r="C262" s="1208"/>
      <c r="D262" s="1208"/>
      <c r="E262" s="1208"/>
      <c r="F262" s="1208"/>
      <c r="G262" s="1208"/>
      <c r="H262" s="1208"/>
      <c r="I262" s="1208"/>
      <c r="J262" s="1208"/>
      <c r="K262" s="1208"/>
      <c r="L262" s="1209"/>
    </row>
    <row r="263" spans="2:12" x14ac:dyDescent="0.2">
      <c r="B263" s="212"/>
      <c r="C263" s="9"/>
      <c r="D263" s="9"/>
      <c r="E263" s="9"/>
      <c r="F263" s="9"/>
      <c r="G263" s="9"/>
      <c r="H263" s="9"/>
      <c r="I263" s="9"/>
      <c r="J263" s="9"/>
      <c r="K263" s="9"/>
      <c r="L263" s="9"/>
    </row>
  </sheetData>
  <mergeCells count="223"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</mergeCells>
  <conditionalFormatting sqref="D80:F81">
    <cfRule type="cellIs" dxfId="52" priority="60" operator="lessThan">
      <formula>$K$54</formula>
    </cfRule>
  </conditionalFormatting>
  <conditionalFormatting sqref="K80:L81">
    <cfRule type="expression" dxfId="51" priority="59">
      <formula xml:space="preserve"> ABS($K$80) &lt; ABS($K$58)</formula>
    </cfRule>
  </conditionalFormatting>
  <conditionalFormatting sqref="B84:F85">
    <cfRule type="expression" dxfId="50" priority="47">
      <formula xml:space="preserve"> AND($B$84&lt;0,$K$62&gt;0)</formula>
    </cfRule>
    <cfRule type="expression" dxfId="49" priority="48">
      <formula xml:space="preserve"> AND($B$84&gt;0,$K$62&lt;0)</formula>
    </cfRule>
    <cfRule type="expression" dxfId="48" priority="58">
      <formula xml:space="preserve"> ABS($B$84)&gt;ABS($K$62)</formula>
    </cfRule>
  </conditionalFormatting>
  <conditionalFormatting sqref="G84:L85">
    <cfRule type="expression" dxfId="47" priority="43">
      <formula xml:space="preserve"> AND($G$84&lt;0,$K$64&gt;0)</formula>
    </cfRule>
    <cfRule type="expression" dxfId="46" priority="44">
      <formula xml:space="preserve"> AND($G$84&gt;0,$K$64&lt;0)</formula>
    </cfRule>
    <cfRule type="expression" dxfId="45" priority="46">
      <formula xml:space="preserve"> ABS($B$84)&gt;ABS($K$64)</formula>
    </cfRule>
  </conditionalFormatting>
  <conditionalFormatting sqref="I80:J81 D134 F134">
    <cfRule type="cellIs" dxfId="44" priority="56" operator="lessThan">
      <formula>$K$60</formula>
    </cfRule>
  </conditionalFormatting>
  <conditionalFormatting sqref="B80:C81">
    <cfRule type="expression" dxfId="43" priority="49">
      <formula xml:space="preserve"> $B$80&lt;($K$56-0.05)</formula>
    </cfRule>
    <cfRule type="expression" dxfId="42" priority="50">
      <formula xml:space="preserve"> $B$80&gt;($K$56+0.05)</formula>
    </cfRule>
  </conditionalFormatting>
  <conditionalFormatting sqref="B162:E163">
    <cfRule type="expression" dxfId="41" priority="4">
      <formula xml:space="preserve"> AND($B$162&lt;0,$K$62&gt;0)</formula>
    </cfRule>
    <cfRule type="expression" dxfId="40" priority="5">
      <formula xml:space="preserve"> AND($B$162&gt;0,$K$62&lt;0)</formula>
    </cfRule>
    <cfRule type="expression" dxfId="39" priority="6">
      <formula xml:space="preserve"> ABS($B$162)&gt;ABS($K$62)</formula>
    </cfRule>
  </conditionalFormatting>
  <conditionalFormatting sqref="F162:I163">
    <cfRule type="expression" dxfId="38" priority="1">
      <formula>AND($F$162&lt;0,$K$64&gt;0)</formula>
    </cfRule>
    <cfRule type="expression" dxfId="37" priority="2">
      <formula>AND($F$162&gt;0,$K$64&lt;0)</formula>
    </cfRule>
    <cfRule type="expression" dxfId="36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ignoredErrors>
    <ignoredError sqref="D138 G138 J13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/>
  <dimension ref="A1:O42"/>
  <sheetViews>
    <sheetView workbookViewId="0"/>
  </sheetViews>
  <sheetFormatPr defaultColWidth="0" defaultRowHeight="12.75" zeroHeight="1" x14ac:dyDescent="0.2"/>
  <cols>
    <col min="1" max="1" width="1.7109375" style="57" customWidth="1"/>
    <col min="2" max="14" width="9.140625" style="57" customWidth="1"/>
    <col min="15" max="15" width="1.7109375" style="57" customWidth="1"/>
    <col min="16" max="16384" width="9.140625" style="57" hidden="1"/>
  </cols>
  <sheetData>
    <row r="1" spans="2:14" ht="13.5" thickBot="1" x14ac:dyDescent="0.25"/>
    <row r="2" spans="2:14" ht="13.5" thickBot="1" x14ac:dyDescent="0.25">
      <c r="B2" s="1211" t="s">
        <v>1545</v>
      </c>
      <c r="C2" s="1212"/>
      <c r="D2" s="1212"/>
      <c r="E2" s="1212"/>
      <c r="F2" s="1212"/>
      <c r="G2" s="1212"/>
      <c r="H2" s="1212"/>
      <c r="I2" s="1212"/>
      <c r="J2" s="1212"/>
      <c r="K2" s="1212"/>
      <c r="L2" s="1212"/>
      <c r="M2" s="1212"/>
      <c r="N2" s="1213"/>
    </row>
    <row r="3" spans="2:14" ht="13.5" thickTop="1" x14ac:dyDescent="0.2">
      <c r="B3" s="1214" t="s">
        <v>1546</v>
      </c>
      <c r="C3" s="1215"/>
      <c r="D3" s="1215"/>
      <c r="E3" s="1215"/>
      <c r="F3" s="1215"/>
      <c r="G3" s="1215"/>
      <c r="H3" s="1215"/>
      <c r="I3" s="1215"/>
      <c r="J3" s="1215"/>
      <c r="K3" s="1215"/>
      <c r="L3" s="1215"/>
      <c r="M3" s="1215"/>
      <c r="N3" s="1216"/>
    </row>
    <row r="4" spans="2:14" x14ac:dyDescent="0.2">
      <c r="B4" s="1214"/>
      <c r="C4" s="1215"/>
      <c r="D4" s="1215"/>
      <c r="E4" s="1215"/>
      <c r="F4" s="1215"/>
      <c r="G4" s="1215"/>
      <c r="H4" s="1215"/>
      <c r="I4" s="1215"/>
      <c r="J4" s="1215"/>
      <c r="K4" s="1215"/>
      <c r="L4" s="1215"/>
      <c r="M4" s="1215"/>
      <c r="N4" s="1216"/>
    </row>
    <row r="5" spans="2:14" x14ac:dyDescent="0.2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6"/>
    </row>
    <row r="6" spans="2:14" x14ac:dyDescent="0.2">
      <c r="B6" s="1016" t="s">
        <v>1547</v>
      </c>
      <c r="C6" s="1017"/>
      <c r="D6" s="1017"/>
      <c r="E6" s="1017"/>
      <c r="F6" s="1017"/>
      <c r="G6" s="1017"/>
      <c r="H6" s="1017"/>
      <c r="I6" s="1017"/>
      <c r="J6" s="1017"/>
      <c r="K6" s="1017"/>
      <c r="L6" s="1017"/>
      <c r="M6" s="1017"/>
      <c r="N6" s="1210"/>
    </row>
    <row r="7" spans="2:14" x14ac:dyDescent="0.2">
      <c r="B7" s="1025" t="s">
        <v>1548</v>
      </c>
      <c r="C7" s="1026"/>
      <c r="D7" s="1026"/>
      <c r="E7" s="1026" t="s">
        <v>1549</v>
      </c>
      <c r="F7" s="1026"/>
      <c r="G7" s="1026" t="s">
        <v>1471</v>
      </c>
      <c r="H7" s="1026"/>
      <c r="I7" s="1026" t="s">
        <v>1416</v>
      </c>
      <c r="J7" s="1026"/>
      <c r="K7" s="1026" t="s">
        <v>1550</v>
      </c>
      <c r="L7" s="1026"/>
      <c r="M7" s="1026"/>
      <c r="N7" s="1018"/>
    </row>
    <row r="8" spans="2:14" x14ac:dyDescent="0.2">
      <c r="B8" s="1025"/>
      <c r="C8" s="1026"/>
      <c r="D8" s="1026"/>
      <c r="E8" s="1026"/>
      <c r="F8" s="1026"/>
      <c r="G8" s="1026"/>
      <c r="H8" s="1026"/>
      <c r="I8" s="1026"/>
      <c r="J8" s="1026"/>
      <c r="K8" s="1026"/>
      <c r="L8" s="1026"/>
      <c r="M8" s="1026"/>
      <c r="N8" s="1018"/>
    </row>
    <row r="9" spans="2:14" x14ac:dyDescent="0.2">
      <c r="B9" s="1219">
        <f>puxada_recolh</f>
        <v>0</v>
      </c>
      <c r="C9" s="1013"/>
      <c r="D9" s="1013"/>
      <c r="E9" s="1069">
        <f>puxada_puxada</f>
        <v>0</v>
      </c>
      <c r="F9" s="1013"/>
      <c r="G9" s="1069">
        <f>puxada_mbr_linha</f>
        <v>0</v>
      </c>
      <c r="H9" s="1013"/>
      <c r="I9" s="1069">
        <f>puxada_mbr_vert</f>
        <v>0</v>
      </c>
      <c r="J9" s="1013"/>
      <c r="K9" s="1217" t="e">
        <f>(puxada_axial_force_cabr1, puxada_axial_force_cabr2)</f>
        <v>#VALUE!</v>
      </c>
      <c r="L9" s="1217"/>
      <c r="M9" s="1217"/>
      <c r="N9" s="1218"/>
    </row>
    <row r="10" spans="2:14" x14ac:dyDescent="0.2">
      <c r="B10" s="1062"/>
      <c r="C10" s="1013"/>
      <c r="D10" s="1013"/>
      <c r="E10" s="1013"/>
      <c r="F10" s="1013"/>
      <c r="G10" s="1013"/>
      <c r="H10" s="1013"/>
      <c r="I10" s="1013"/>
      <c r="J10" s="1013"/>
      <c r="K10" s="1217"/>
      <c r="L10" s="1217"/>
      <c r="M10" s="1217"/>
      <c r="N10" s="1218"/>
    </row>
    <row r="11" spans="2:14" x14ac:dyDescent="0.2">
      <c r="B11" s="1016" t="s">
        <v>1551</v>
      </c>
      <c r="C11" s="1017"/>
      <c r="D11" s="1017"/>
      <c r="E11" s="1017"/>
      <c r="F11" s="1017"/>
      <c r="G11" s="1017"/>
      <c r="H11" s="1017"/>
      <c r="I11" s="1017"/>
      <c r="J11" s="1017"/>
      <c r="K11" s="1017"/>
      <c r="L11" s="1017"/>
      <c r="M11" s="1017"/>
      <c r="N11" s="1210"/>
    </row>
    <row r="12" spans="2:14" x14ac:dyDescent="0.2">
      <c r="B12" s="1025" t="s">
        <v>1338</v>
      </c>
      <c r="C12" s="1026"/>
      <c r="D12" s="1026"/>
      <c r="E12" s="1026" t="s">
        <v>1396</v>
      </c>
      <c r="F12" s="1026"/>
      <c r="G12" s="1026"/>
      <c r="H12" s="1026" t="s">
        <v>1488</v>
      </c>
      <c r="I12" s="1026"/>
      <c r="J12" s="1026"/>
      <c r="K12" s="1026" t="s">
        <v>1489</v>
      </c>
      <c r="L12" s="1026"/>
      <c r="M12" s="1026"/>
      <c r="N12" s="1018"/>
    </row>
    <row r="13" spans="2:14" x14ac:dyDescent="0.2">
      <c r="B13" s="1025"/>
      <c r="C13" s="1026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18"/>
    </row>
    <row r="14" spans="2:14" x14ac:dyDescent="0.2">
      <c r="B14" s="1025" t="s">
        <v>1503</v>
      </c>
      <c r="C14" s="1026"/>
      <c r="D14" s="1026"/>
      <c r="E14" s="1069">
        <f>puxada_ey_moment_max</f>
        <v>0</v>
      </c>
      <c r="F14" s="1013"/>
      <c r="G14" s="1013"/>
      <c r="H14" s="1069">
        <f>puxada_ez_axial_max</f>
        <v>0</v>
      </c>
      <c r="I14" s="1013"/>
      <c r="J14" s="1013"/>
      <c r="K14" s="1069">
        <f>puxada_ex_shear_force_max</f>
        <v>0</v>
      </c>
      <c r="L14" s="1013"/>
      <c r="M14" s="1013"/>
      <c r="N14" s="1015"/>
    </row>
    <row r="15" spans="2:14" x14ac:dyDescent="0.2">
      <c r="B15" s="1025"/>
      <c r="C15" s="1026"/>
      <c r="D15" s="1026"/>
      <c r="E15" s="1013"/>
      <c r="F15" s="1013"/>
      <c r="G15" s="1013"/>
      <c r="H15" s="1013"/>
      <c r="I15" s="1013"/>
      <c r="J15" s="1013"/>
      <c r="K15" s="1013"/>
      <c r="L15" s="1013"/>
      <c r="M15" s="1013"/>
      <c r="N15" s="1015"/>
    </row>
    <row r="16" spans="2:14" x14ac:dyDescent="0.2">
      <c r="B16" s="1025" t="s">
        <v>1504</v>
      </c>
      <c r="C16" s="1026"/>
      <c r="D16" s="1026"/>
      <c r="E16" s="1069">
        <f>puxada_ey_moment_min</f>
        <v>0</v>
      </c>
      <c r="F16" s="1013"/>
      <c r="G16" s="1013"/>
      <c r="H16" s="1069">
        <f>puxada_ez_axial_min</f>
        <v>0</v>
      </c>
      <c r="I16" s="1013"/>
      <c r="J16" s="1013"/>
      <c r="K16" s="1069">
        <f>puxada_ex_shear_force_min</f>
        <v>0</v>
      </c>
      <c r="L16" s="1013"/>
      <c r="M16" s="1013"/>
      <c r="N16" s="1015"/>
    </row>
    <row r="17" spans="2:14" x14ac:dyDescent="0.2">
      <c r="B17" s="1025"/>
      <c r="C17" s="1026"/>
      <c r="D17" s="1026"/>
      <c r="E17" s="1013"/>
      <c r="F17" s="1013"/>
      <c r="G17" s="1013"/>
      <c r="H17" s="1013"/>
      <c r="I17" s="1013"/>
      <c r="J17" s="1013"/>
      <c r="K17" s="1013"/>
      <c r="L17" s="1013"/>
      <c r="M17" s="1013"/>
      <c r="N17" s="1015"/>
    </row>
    <row r="18" spans="2:14" x14ac:dyDescent="0.2">
      <c r="B18" s="1016" t="s">
        <v>1552</v>
      </c>
      <c r="C18" s="1017"/>
      <c r="D18" s="1017"/>
      <c r="E18" s="1017"/>
      <c r="F18" s="1017"/>
      <c r="G18" s="1017"/>
      <c r="H18" s="1017"/>
      <c r="I18" s="1017"/>
      <c r="J18" s="1017"/>
      <c r="K18" s="1017"/>
      <c r="L18" s="1017"/>
      <c r="M18" s="1017"/>
      <c r="N18" s="1210"/>
    </row>
    <row r="19" spans="2:14" x14ac:dyDescent="0.2">
      <c r="B19" s="7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72"/>
    </row>
    <row r="20" spans="2:14" x14ac:dyDescent="0.2">
      <c r="B20" s="71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72"/>
    </row>
    <row r="21" spans="2:14" x14ac:dyDescent="0.2">
      <c r="B21" s="46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72"/>
    </row>
    <row r="22" spans="2:14" x14ac:dyDescent="0.2">
      <c r="B22" s="46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72"/>
    </row>
    <row r="23" spans="2:14" x14ac:dyDescent="0.2">
      <c r="B23" s="46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72"/>
    </row>
    <row r="24" spans="2:14" x14ac:dyDescent="0.2">
      <c r="B24" s="46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72"/>
    </row>
    <row r="25" spans="2:14" x14ac:dyDescent="0.2">
      <c r="B25" s="46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72"/>
    </row>
    <row r="26" spans="2:14" x14ac:dyDescent="0.2">
      <c r="B26" s="46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72"/>
    </row>
    <row r="27" spans="2:14" x14ac:dyDescent="0.2">
      <c r="B27" s="46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72"/>
    </row>
    <row r="28" spans="2:14" x14ac:dyDescent="0.2">
      <c r="B28" s="46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72"/>
    </row>
    <row r="29" spans="2:14" x14ac:dyDescent="0.2">
      <c r="B29" s="46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72"/>
    </row>
    <row r="30" spans="2:14" x14ac:dyDescent="0.2">
      <c r="B30" s="46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72"/>
    </row>
    <row r="31" spans="2:14" x14ac:dyDescent="0.2">
      <c r="B31" s="46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72"/>
    </row>
    <row r="32" spans="2:14" x14ac:dyDescent="0.2">
      <c r="B32" s="46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72"/>
    </row>
    <row r="33" spans="2:14" x14ac:dyDescent="0.2">
      <c r="B33" s="46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72"/>
    </row>
    <row r="34" spans="2:14" x14ac:dyDescent="0.2">
      <c r="B34" s="46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72"/>
    </row>
    <row r="35" spans="2:14" x14ac:dyDescent="0.2">
      <c r="B35" s="46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72"/>
    </row>
    <row r="36" spans="2:14" x14ac:dyDescent="0.2">
      <c r="B36" s="46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72"/>
    </row>
    <row r="37" spans="2:14" x14ac:dyDescent="0.2">
      <c r="B37" s="46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72"/>
    </row>
    <row r="38" spans="2:14" x14ac:dyDescent="0.2">
      <c r="B38" s="46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72"/>
    </row>
    <row r="39" spans="2:14" x14ac:dyDescent="0.2">
      <c r="B39" s="46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72"/>
    </row>
    <row r="40" spans="2:14" x14ac:dyDescent="0.2">
      <c r="B40" s="46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72"/>
    </row>
    <row r="41" spans="2:14" ht="13.5" thickBot="1" x14ac:dyDescent="0.25">
      <c r="B41" s="18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73"/>
    </row>
    <row r="42" spans="2:14" x14ac:dyDescent="0.2"/>
  </sheetData>
  <mergeCells count="27"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  <mergeCell ref="B2:N2"/>
    <mergeCell ref="B3:N5"/>
    <mergeCell ref="B6:N6"/>
    <mergeCell ref="B7:D8"/>
    <mergeCell ref="E7:F8"/>
    <mergeCell ref="G7:H8"/>
    <mergeCell ref="I7:J8"/>
    <mergeCell ref="K7:N8"/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</mergeCell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1553</v>
      </c>
      <c r="B1" s="3" t="s">
        <v>364</v>
      </c>
      <c r="C1" t="s">
        <v>1554</v>
      </c>
      <c r="D1" s="3">
        <v>0</v>
      </c>
      <c r="E1" t="s">
        <v>1555</v>
      </c>
      <c r="F1" s="1" t="s">
        <v>1556</v>
      </c>
      <c r="H1" s="1"/>
      <c r="I1" s="2"/>
    </row>
    <row r="2" spans="1:9" x14ac:dyDescent="0.2">
      <c r="A2" t="s">
        <v>1557</v>
      </c>
      <c r="B2" s="1" t="s">
        <v>209</v>
      </c>
      <c r="C2" t="s">
        <v>1558</v>
      </c>
      <c r="D2" s="3" t="s">
        <v>1559</v>
      </c>
      <c r="E2" t="s">
        <v>1560</v>
      </c>
      <c r="F2" s="1" t="s">
        <v>1561</v>
      </c>
      <c r="H2" s="1" t="s">
        <v>1562</v>
      </c>
      <c r="I2" s="2" t="b">
        <v>0</v>
      </c>
    </row>
    <row r="3" spans="1:9" x14ac:dyDescent="0.2">
      <c r="A3" t="s">
        <v>1563</v>
      </c>
      <c r="B3" s="1">
        <v>0</v>
      </c>
      <c r="C3" t="s">
        <v>1564</v>
      </c>
      <c r="D3" s="3" t="b">
        <v>1</v>
      </c>
      <c r="H3" t="s">
        <v>1565</v>
      </c>
      <c r="I3" s="2" t="b">
        <v>1</v>
      </c>
    </row>
    <row r="4" spans="1:9" x14ac:dyDescent="0.2">
      <c r="A4" t="s">
        <v>1566</v>
      </c>
      <c r="B4" s="1">
        <v>0</v>
      </c>
      <c r="C4" t="s">
        <v>1567</v>
      </c>
      <c r="D4" s="3">
        <v>65500</v>
      </c>
      <c r="H4" t="s">
        <v>1568</v>
      </c>
      <c r="I4" s="2">
        <v>10</v>
      </c>
    </row>
    <row r="5" spans="1:9" x14ac:dyDescent="0.2">
      <c r="A5" t="s">
        <v>1569</v>
      </c>
      <c r="B5" s="1">
        <v>0</v>
      </c>
      <c r="C5" t="s">
        <v>436</v>
      </c>
      <c r="D5" s="3">
        <v>30</v>
      </c>
    </row>
    <row r="6" spans="1:9" x14ac:dyDescent="0.2">
      <c r="A6" t="s">
        <v>1570</v>
      </c>
      <c r="B6" s="1">
        <v>0</v>
      </c>
      <c r="C6" t="s">
        <v>1571</v>
      </c>
      <c r="D6" s="3">
        <v>0</v>
      </c>
    </row>
    <row r="7" spans="1:9" x14ac:dyDescent="0.2">
      <c r="A7" t="s">
        <v>1572</v>
      </c>
      <c r="B7" s="1">
        <v>0</v>
      </c>
      <c r="C7" t="s">
        <v>1573</v>
      </c>
      <c r="D7" s="3">
        <v>0</v>
      </c>
    </row>
    <row r="8" spans="1:9" x14ac:dyDescent="0.2">
      <c r="A8" t="s">
        <v>1574</v>
      </c>
      <c r="B8" s="1" t="b">
        <v>0</v>
      </c>
      <c r="C8" t="s">
        <v>1575</v>
      </c>
      <c r="D8" s="3">
        <v>0</v>
      </c>
    </row>
    <row r="9" spans="1:9" x14ac:dyDescent="0.2">
      <c r="A9" t="s">
        <v>1576</v>
      </c>
      <c r="B9" s="1">
        <v>0</v>
      </c>
      <c r="C9" t="s">
        <v>1577</v>
      </c>
      <c r="D9" s="3" t="s">
        <v>1578</v>
      </c>
    </row>
    <row r="10" spans="1:9" x14ac:dyDescent="0.2">
      <c r="C10" t="s">
        <v>1579</v>
      </c>
      <c r="D10" s="3">
        <v>0</v>
      </c>
    </row>
    <row r="11" spans="1:9" x14ac:dyDescent="0.2">
      <c r="C11" t="s">
        <v>1580</v>
      </c>
      <c r="D11" s="3">
        <v>3</v>
      </c>
    </row>
    <row r="12" spans="1:9" x14ac:dyDescent="0.2">
      <c r="C12" t="s">
        <v>1581</v>
      </c>
      <c r="D12" s="3">
        <v>1</v>
      </c>
    </row>
    <row r="13" spans="1:9" x14ac:dyDescent="0.2">
      <c r="C13" t="s">
        <v>429</v>
      </c>
      <c r="D13" s="3"/>
    </row>
    <row r="14" spans="1:9" x14ac:dyDescent="0.2">
      <c r="C14" t="s">
        <v>1582</v>
      </c>
      <c r="D14" s="3" t="s">
        <v>225</v>
      </c>
    </row>
    <row r="15" spans="1:9" x14ac:dyDescent="0.2">
      <c r="C15" t="s">
        <v>1583</v>
      </c>
      <c r="D15" s="3">
        <v>1</v>
      </c>
    </row>
    <row r="16" spans="1:9" x14ac:dyDescent="0.2">
      <c r="C16" t="s">
        <v>1584</v>
      </c>
      <c r="D16" s="3">
        <v>1</v>
      </c>
    </row>
    <row r="17" spans="3:4" x14ac:dyDescent="0.2">
      <c r="C17" t="s">
        <v>1585</v>
      </c>
      <c r="D17" s="3">
        <v>8</v>
      </c>
    </row>
    <row r="18" spans="3:4" x14ac:dyDescent="0.2">
      <c r="C18" t="s">
        <v>1586</v>
      </c>
      <c r="D18" s="3" t="s">
        <v>1625</v>
      </c>
    </row>
    <row r="19" spans="3:4" x14ac:dyDescent="0.2">
      <c r="C19" t="s">
        <v>1587</v>
      </c>
      <c r="D19" s="3">
        <v>0</v>
      </c>
    </row>
    <row r="20" spans="3:4" x14ac:dyDescent="0.2">
      <c r="C20" t="s">
        <v>437</v>
      </c>
      <c r="D20" s="3">
        <v>32003</v>
      </c>
    </row>
    <row r="21" spans="3:4" x14ac:dyDescent="0.2">
      <c r="C21" t="s">
        <v>1588</v>
      </c>
      <c r="D21" s="3">
        <v>0</v>
      </c>
    </row>
    <row r="22" spans="3:4" x14ac:dyDescent="0.2">
      <c r="C22" t="s">
        <v>1589</v>
      </c>
      <c r="D22" s="3">
        <v>0</v>
      </c>
    </row>
    <row r="23" spans="3:4" x14ac:dyDescent="0.2">
      <c r="C23" t="s">
        <v>1590</v>
      </c>
      <c r="D23" s="3">
        <v>0</v>
      </c>
    </row>
    <row r="24" spans="3:4" x14ac:dyDescent="0.2">
      <c r="C24" t="s">
        <v>1591</v>
      </c>
      <c r="D24" s="3" t="s">
        <v>209</v>
      </c>
    </row>
    <row r="25" spans="3:4" x14ac:dyDescent="0.2">
      <c r="C25" t="s">
        <v>1592</v>
      </c>
      <c r="D25" s="3">
        <v>-8</v>
      </c>
    </row>
    <row r="26" spans="3:4" x14ac:dyDescent="0.2">
      <c r="C26" t="s">
        <v>1593</v>
      </c>
      <c r="D26" s="3">
        <v>16</v>
      </c>
    </row>
    <row r="27" spans="3:4" x14ac:dyDescent="0.2">
      <c r="C27" t="s">
        <v>1594</v>
      </c>
      <c r="D27" s="3">
        <v>0</v>
      </c>
    </row>
    <row r="28" spans="3:4" x14ac:dyDescent="0.2">
      <c r="C28" t="s">
        <v>1595</v>
      </c>
      <c r="D28" s="3">
        <v>0</v>
      </c>
    </row>
    <row r="29" spans="3:4" x14ac:dyDescent="0.2">
      <c r="C29" t="s">
        <v>1596</v>
      </c>
      <c r="D29" s="3" t="b">
        <v>1</v>
      </c>
    </row>
    <row r="30" spans="3:4" x14ac:dyDescent="0.2">
      <c r="C30" t="s">
        <v>1597</v>
      </c>
      <c r="D30" s="3" t="s">
        <v>1598</v>
      </c>
    </row>
    <row r="31" spans="3:4" x14ac:dyDescent="0.2">
      <c r="C31" t="s">
        <v>1599</v>
      </c>
      <c r="D31" s="3">
        <v>1</v>
      </c>
    </row>
    <row r="32" spans="3:4" x14ac:dyDescent="0.2">
      <c r="C32" t="s">
        <v>1600</v>
      </c>
      <c r="D32" s="3">
        <v>0</v>
      </c>
    </row>
    <row r="33" spans="3:4" x14ac:dyDescent="0.2">
      <c r="C33" t="s">
        <v>1601</v>
      </c>
      <c r="D33" s="3">
        <v>1</v>
      </c>
    </row>
    <row r="34" spans="3:4" x14ac:dyDescent="0.2">
      <c r="C34" t="s">
        <v>1602</v>
      </c>
      <c r="D34" s="3" t="s">
        <v>209</v>
      </c>
    </row>
    <row r="35" spans="3:4" x14ac:dyDescent="0.2">
      <c r="C35" t="s">
        <v>1603</v>
      </c>
      <c r="D35" s="3" t="s">
        <v>1604</v>
      </c>
    </row>
    <row r="36" spans="3:4" x14ac:dyDescent="0.2">
      <c r="C36" t="s">
        <v>1605</v>
      </c>
      <c r="D36" s="3" t="s">
        <v>1606</v>
      </c>
    </row>
    <row r="37" spans="3:4" x14ac:dyDescent="0.2">
      <c r="C37" t="s">
        <v>1607</v>
      </c>
      <c r="D37" s="3" t="b">
        <v>0</v>
      </c>
    </row>
    <row r="38" spans="3:4" x14ac:dyDescent="0.2">
      <c r="C38" t="s">
        <v>1608</v>
      </c>
      <c r="D38" s="3" t="b">
        <v>1</v>
      </c>
    </row>
    <row r="39" spans="3:4" x14ac:dyDescent="0.2">
      <c r="C39" t="s">
        <v>1609</v>
      </c>
      <c r="D39" s="3" t="b">
        <v>0</v>
      </c>
    </row>
    <row r="40" spans="3:4" x14ac:dyDescent="0.2">
      <c r="C40" t="s">
        <v>1610</v>
      </c>
      <c r="D40" s="3" t="b">
        <v>0</v>
      </c>
    </row>
    <row r="41" spans="3:4" x14ac:dyDescent="0.2">
      <c r="C41" t="s">
        <v>1611</v>
      </c>
      <c r="D41" s="3" t="b">
        <v>1</v>
      </c>
    </row>
    <row r="42" spans="3:4" x14ac:dyDescent="0.2">
      <c r="C42" t="s">
        <v>1612</v>
      </c>
      <c r="D42" s="3" t="b">
        <v>0</v>
      </c>
    </row>
    <row r="43" spans="3:4" x14ac:dyDescent="0.2">
      <c r="C43" t="s">
        <v>1613</v>
      </c>
      <c r="D43" s="3" t="b">
        <v>0</v>
      </c>
    </row>
    <row r="44" spans="3:4" x14ac:dyDescent="0.2">
      <c r="C44" t="s">
        <v>1614</v>
      </c>
      <c r="D44" s="3">
        <v>0</v>
      </c>
    </row>
    <row r="45" spans="3:4" x14ac:dyDescent="0.2">
      <c r="C45" t="s">
        <v>1615</v>
      </c>
      <c r="D45" s="3" t="s">
        <v>1616</v>
      </c>
    </row>
    <row r="46" spans="3:4" x14ac:dyDescent="0.2">
      <c r="C46" t="s">
        <v>1617</v>
      </c>
      <c r="D46" s="3">
        <v>0</v>
      </c>
    </row>
    <row r="47" spans="3:4" x14ac:dyDescent="0.2">
      <c r="C47" t="s">
        <v>1618</v>
      </c>
      <c r="D47" s="3">
        <v>3</v>
      </c>
    </row>
    <row r="48" spans="3:4" x14ac:dyDescent="0.2">
      <c r="C48" t="s">
        <v>1619</v>
      </c>
      <c r="D48" s="3" t="s">
        <v>1620</v>
      </c>
    </row>
    <row r="49" spans="1:4" x14ac:dyDescent="0.2">
      <c r="C49" t="s">
        <v>1621</v>
      </c>
      <c r="D49" s="3" t="b">
        <v>0</v>
      </c>
    </row>
    <row r="50" spans="1:4" x14ac:dyDescent="0.2">
      <c r="A50" t="s">
        <v>1622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1620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16BFD-FCD7-4725-8C6E-77F401C06B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480eed6c-8c6a-455f-8b68-fab34daa9c94"/>
    <ds:schemaRef ds:uri="903036b2-f8dc-4ca8-82df-457cf2fff651"/>
    <ds:schemaRef ds:uri="461c5b05-e7ae-45a9-96d4-4a689e0604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209</vt:i4>
      </vt:variant>
    </vt:vector>
  </HeadingPairs>
  <TitlesOfParts>
    <vt:vector size="239" baseType="lpstr">
      <vt:lpstr>Histórico</vt:lpstr>
      <vt:lpstr>Revisão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2nd_Py2</vt:lpstr>
      <vt:lpstr>2nd_Py3</vt:lpstr>
      <vt:lpstr>2nd_Py4</vt:lpstr>
      <vt:lpstr>2nd_Py5</vt:lpstr>
      <vt:lpstr>2nd_Py6</vt:lpstr>
      <vt:lpstr>Data</vt:lpstr>
      <vt:lpstr>Results</vt:lpstr>
      <vt:lpstr>Esforços</vt:lpstr>
      <vt:lpstr>TQF</vt:lpstr>
      <vt:lpstr>RelatórioA3</vt:lpstr>
      <vt:lpstr>Relatório</vt:lpstr>
      <vt:lpstr>Relatório_Puxada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2025-02-08T00:45:47Z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