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8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9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igicorner.sharepoint.com/sites/BVPCloud/Shared Documents/SKAB/PE-02-24-06-SA/2691/2-Análises/V1/"/>
    </mc:Choice>
  </mc:AlternateContent>
  <xr:revisionPtr revIDLastSave="0" documentId="13_ncr:1_{29F3568F-A9F1-43EE-9329-A1DD0ECD8FC2}" xr6:coauthVersionLast="47" xr6:coauthVersionMax="47" xr10:uidLastSave="{00000000-0000-0000-0000-000000000000}"/>
  <bookViews>
    <workbookView xWindow="-110" yWindow="-110" windowWidth="19420" windowHeight="11620" firstSheet="15" activeTab="15" xr2:uid="{00000000-000D-0000-FFFF-FFFF00000000}"/>
  </bookViews>
  <sheets>
    <sheet name="Histórico" sheetId="31" r:id="rId1"/>
    <sheet name="Revisão" sheetId="38" r:id="rId2"/>
    <sheet name="Values" sheetId="24" r:id="rId3"/>
    <sheet name="MCV e Guindaste" sheetId="17" r:id="rId4"/>
    <sheet name="Bending Stiffness" sheetId="19" r:id="rId5"/>
    <sheet name="Post-processing" sheetId="20" state="hidden" r:id="rId6"/>
    <sheet name="Auxiliar" sheetId="26" state="hidden" r:id="rId7"/>
    <sheet name="Auxiliar1" sheetId="40" state="hidden" r:id="rId8"/>
    <sheet name="Auxiliar2" sheetId="27" state="hidden" r:id="rId9"/>
    <sheet name="Auxiliar3" sheetId="28" state="hidden" r:id="rId10"/>
    <sheet name="Auxiliar4" sheetId="30" state="hidden" r:id="rId11"/>
    <sheet name="Py1" sheetId="35" state="hidden" r:id="rId12"/>
    <sheet name="Py2" sheetId="36" state="hidden" r:id="rId13"/>
    <sheet name="Py3" sheetId="37" state="hidden" r:id="rId14"/>
    <sheet name="Script Table" sheetId="23" r:id="rId15"/>
    <sheet name="Results" sheetId="21" r:id="rId16"/>
    <sheet name="Esforços" sheetId="33" r:id="rId17"/>
    <sheet name="TQF" sheetId="39" r:id="rId18"/>
    <sheet name="__$Orcina_Hidden_Sheet$__" sheetId="5" state="veryHidden" r:id="rId19"/>
  </sheets>
  <definedNames>
    <definedName name="Caso">Esforços!$B$55:$B$57</definedName>
    <definedName name="GL">Results!$D$102:$D$103</definedName>
    <definedName name="Linhas">'Script Table'!$H$4:$H$5</definedName>
    <definedName name="_xlnm.Print_Area" localSheetId="5">'Post-processing'!$A$3:$I$27</definedName>
    <definedName name="_xlnm.Print_Area" localSheetId="15">Results!$A$2:$H$51</definedName>
    <definedName name="_xlnm.Print_Area" localSheetId="2">Values!$A$1:$AM$59</definedName>
    <definedName name="Tipo">Results!$D$102:$D$108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21" l="1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C20" i="24" l="1"/>
  <c r="C39" i="24"/>
  <c r="E50" i="23" l="1"/>
  <c r="E51" i="23" s="1"/>
  <c r="C52" i="24"/>
  <c r="C53" i="24"/>
  <c r="C54" i="24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40" i="24"/>
  <c r="E22" i="23" s="1"/>
  <c r="C41" i="24"/>
  <c r="C42" i="24" s="1"/>
  <c r="E20" i="23" s="1"/>
  <c r="C30" i="24"/>
  <c r="C36" i="24" s="1"/>
  <c r="G7" i="19" s="1"/>
  <c r="E179" i="23" s="1"/>
  <c r="C33" i="24"/>
  <c r="C35" i="24" s="1"/>
  <c r="C21" i="24"/>
  <c r="C23" i="24" s="1"/>
  <c r="E16" i="23" s="1"/>
  <c r="C22" i="24"/>
  <c r="C9" i="24"/>
  <c r="C8" i="24"/>
  <c r="O17" i="17"/>
  <c r="C27" i="17" s="1"/>
  <c r="E54" i="23" s="1"/>
  <c r="C26" i="17"/>
  <c r="C25" i="17"/>
  <c r="C24" i="17"/>
  <c r="C23" i="17"/>
  <c r="C22" i="17"/>
  <c r="C21" i="17"/>
  <c r="C18" i="17"/>
  <c r="H7" i="23"/>
  <c r="E71" i="23" s="1"/>
  <c r="D42" i="23"/>
  <c r="C60" i="24"/>
  <c r="D71" i="23"/>
  <c r="C71" i="23"/>
  <c r="B71" i="23"/>
  <c r="E49" i="23"/>
  <c r="E48" i="23"/>
  <c r="E47" i="23"/>
  <c r="E46" i="23"/>
  <c r="E45" i="23"/>
  <c r="E44" i="23"/>
  <c r="C59" i="24"/>
  <c r="E43" i="23"/>
  <c r="C58" i="24"/>
  <c r="E42" i="23"/>
  <c r="E41" i="23"/>
  <c r="E40" i="23"/>
  <c r="E39" i="23"/>
  <c r="E68" i="23"/>
  <c r="D49" i="23"/>
  <c r="C49" i="23"/>
  <c r="E15" i="23"/>
  <c r="E19" i="23"/>
  <c r="D50" i="23"/>
  <c r="D48" i="23"/>
  <c r="D47" i="23"/>
  <c r="D46" i="23"/>
  <c r="D45" i="23"/>
  <c r="D44" i="23"/>
  <c r="D43" i="23"/>
  <c r="D41" i="23"/>
  <c r="D40" i="23"/>
  <c r="D39" i="23"/>
  <c r="C48" i="24"/>
  <c r="E37" i="23" s="1"/>
  <c r="C46" i="24"/>
  <c r="E25" i="23" s="1"/>
  <c r="C39" i="23"/>
  <c r="C40" i="23"/>
  <c r="C41" i="23"/>
  <c r="C42" i="23"/>
  <c r="C43" i="23"/>
  <c r="C44" i="23"/>
  <c r="C45" i="23"/>
  <c r="C46" i="23"/>
  <c r="C47" i="23"/>
  <c r="C48" i="23"/>
  <c r="B40" i="23"/>
  <c r="B41" i="23"/>
  <c r="B42" i="23"/>
  <c r="B43" i="23"/>
  <c r="B44" i="23"/>
  <c r="B45" i="23"/>
  <c r="B46" i="23"/>
  <c r="B47" i="23"/>
  <c r="B48" i="23"/>
  <c r="B39" i="23"/>
  <c r="J7" i="40"/>
  <c r="B33" i="21" s="1"/>
  <c r="C33" i="21" s="1"/>
  <c r="J6" i="40"/>
  <c r="B36" i="21" s="1"/>
  <c r="C36" i="21" s="1"/>
  <c r="J5" i="40"/>
  <c r="I7" i="40" a="1"/>
  <c r="I7" i="40" s="1"/>
  <c r="B32" i="21" s="1"/>
  <c r="C32" i="21" s="1"/>
  <c r="AG5" i="21" s="1"/>
  <c r="H7" i="40" a="1"/>
  <c r="H7" i="40" s="1"/>
  <c r="B31" i="21" s="1"/>
  <c r="C31" i="21" s="1"/>
  <c r="I6" i="40" a="1"/>
  <c r="I6" i="40" s="1"/>
  <c r="B35" i="21" s="1"/>
  <c r="C35" i="21" s="1"/>
  <c r="H6" i="40" a="1"/>
  <c r="H6" i="40" s="1"/>
  <c r="B34" i="21" s="1"/>
  <c r="C34" i="21" s="1"/>
  <c r="I5" i="40" a="1"/>
  <c r="I5" i="40" s="1"/>
  <c r="H5" i="40" a="1"/>
  <c r="H5" i="40" s="1"/>
  <c r="C21" i="37"/>
  <c r="C111" i="35"/>
  <c r="C120" i="35"/>
  <c r="C119" i="35"/>
  <c r="C118" i="35"/>
  <c r="C117" i="35"/>
  <c r="C18" i="35"/>
  <c r="C15" i="35"/>
  <c r="N14" i="39"/>
  <c r="N8" i="39"/>
  <c r="C16" i="21"/>
  <c r="C17" i="21"/>
  <c r="B12" i="21"/>
  <c r="C12" i="21"/>
  <c r="C62" i="21"/>
  <c r="C54" i="21"/>
  <c r="C25" i="21"/>
  <c r="C38" i="21"/>
  <c r="F61" i="20"/>
  <c r="C61" i="20"/>
  <c r="F48" i="20"/>
  <c r="C48" i="20"/>
  <c r="F34" i="20"/>
  <c r="C34" i="20"/>
  <c r="F22" i="20"/>
  <c r="C22" i="20"/>
  <c r="M8" i="39"/>
  <c r="G32" i="21"/>
  <c r="G31" i="21"/>
  <c r="G30" i="21"/>
  <c r="AB1000" i="28"/>
  <c r="AB999" i="28"/>
  <c r="AB998" i="28"/>
  <c r="AB997" i="28"/>
  <c r="AB996" i="28"/>
  <c r="AB995" i="28"/>
  <c r="AB994" i="28"/>
  <c r="AB993" i="28"/>
  <c r="AB992" i="28"/>
  <c r="AB991" i="28"/>
  <c r="AB990" i="28"/>
  <c r="AB989" i="28"/>
  <c r="AB988" i="28"/>
  <c r="AB987" i="28"/>
  <c r="AB986" i="28"/>
  <c r="AB985" i="28"/>
  <c r="AB984" i="28"/>
  <c r="AB983" i="28"/>
  <c r="AB982" i="28"/>
  <c r="AB981" i="28"/>
  <c r="AB980" i="28"/>
  <c r="AB979" i="28"/>
  <c r="AB978" i="28"/>
  <c r="AB977" i="28"/>
  <c r="AB976" i="28"/>
  <c r="AB975" i="28"/>
  <c r="AB974" i="28"/>
  <c r="AB973" i="28"/>
  <c r="AB972" i="28"/>
  <c r="AB971" i="28"/>
  <c r="AB970" i="28"/>
  <c r="AB969" i="28"/>
  <c r="AB968" i="28"/>
  <c r="AB967" i="28"/>
  <c r="AB966" i="28"/>
  <c r="AB965" i="28"/>
  <c r="AB964" i="28"/>
  <c r="AB963" i="28"/>
  <c r="AB962" i="28"/>
  <c r="AB961" i="28"/>
  <c r="AB960" i="28"/>
  <c r="AB959" i="28"/>
  <c r="AB958" i="28"/>
  <c r="AB957" i="28"/>
  <c r="AB956" i="28"/>
  <c r="AB955" i="28"/>
  <c r="AB954" i="28"/>
  <c r="AB953" i="28"/>
  <c r="AB952" i="28"/>
  <c r="AB951" i="28"/>
  <c r="AB950" i="28"/>
  <c r="AB949" i="28"/>
  <c r="AB948" i="28"/>
  <c r="AB947" i="28"/>
  <c r="AB946" i="28"/>
  <c r="AB945" i="28"/>
  <c r="AB944" i="28"/>
  <c r="AB943" i="28"/>
  <c r="AB942" i="28"/>
  <c r="AB941" i="28"/>
  <c r="AB940" i="28"/>
  <c r="AB939" i="28"/>
  <c r="AB938" i="28"/>
  <c r="AB937" i="28"/>
  <c r="AB936" i="28"/>
  <c r="AB935" i="28"/>
  <c r="AB934" i="28"/>
  <c r="AB933" i="28"/>
  <c r="AB932" i="28"/>
  <c r="AB931" i="28"/>
  <c r="AB930" i="28"/>
  <c r="AB929" i="28"/>
  <c r="AB928" i="28"/>
  <c r="AB927" i="28"/>
  <c r="AB926" i="28"/>
  <c r="AB925" i="28"/>
  <c r="AB924" i="28"/>
  <c r="AB923" i="28"/>
  <c r="AB922" i="28"/>
  <c r="AB921" i="28"/>
  <c r="AB920" i="28"/>
  <c r="AB919" i="28"/>
  <c r="AB918" i="28"/>
  <c r="AB917" i="28"/>
  <c r="AB916" i="28"/>
  <c r="AB915" i="28"/>
  <c r="AB914" i="28"/>
  <c r="AB913" i="28"/>
  <c r="AB912" i="28"/>
  <c r="AB911" i="28"/>
  <c r="AB910" i="28"/>
  <c r="AB909" i="28"/>
  <c r="AB908" i="28"/>
  <c r="AB907" i="28"/>
  <c r="AB906" i="28"/>
  <c r="AB905" i="28"/>
  <c r="AB904" i="28"/>
  <c r="AB903" i="28"/>
  <c r="AB902" i="28"/>
  <c r="AB901" i="28"/>
  <c r="AB900" i="28"/>
  <c r="AB899" i="28"/>
  <c r="AB898" i="28"/>
  <c r="AB897" i="28"/>
  <c r="AB896" i="28"/>
  <c r="AB895" i="28"/>
  <c r="AB894" i="28"/>
  <c r="AB893" i="28"/>
  <c r="AB892" i="28"/>
  <c r="AB891" i="28"/>
  <c r="AB890" i="28"/>
  <c r="AB889" i="28"/>
  <c r="AB888" i="28"/>
  <c r="AB887" i="28"/>
  <c r="AB886" i="28"/>
  <c r="AB885" i="28"/>
  <c r="AB884" i="28"/>
  <c r="AB883" i="28"/>
  <c r="AB882" i="28"/>
  <c r="AB881" i="28"/>
  <c r="AB880" i="28"/>
  <c r="AB879" i="28"/>
  <c r="AB878" i="28"/>
  <c r="AB877" i="28"/>
  <c r="AB876" i="28"/>
  <c r="AB875" i="28"/>
  <c r="AB874" i="28"/>
  <c r="AB873" i="28"/>
  <c r="AB872" i="28"/>
  <c r="AB871" i="28"/>
  <c r="AB870" i="28"/>
  <c r="AB869" i="28"/>
  <c r="AB868" i="28"/>
  <c r="AB867" i="28"/>
  <c r="AB866" i="28"/>
  <c r="AB865" i="28"/>
  <c r="AB864" i="28"/>
  <c r="AB863" i="28"/>
  <c r="AB862" i="28"/>
  <c r="AB861" i="28"/>
  <c r="AB860" i="28"/>
  <c r="AB859" i="28"/>
  <c r="AB858" i="28"/>
  <c r="AB857" i="28"/>
  <c r="AB856" i="28"/>
  <c r="AB855" i="28"/>
  <c r="AB854" i="28"/>
  <c r="AB853" i="28"/>
  <c r="AB852" i="28"/>
  <c r="AB851" i="28"/>
  <c r="AB850" i="28"/>
  <c r="AB849" i="28"/>
  <c r="AB848" i="28"/>
  <c r="AB847" i="28"/>
  <c r="AB846" i="28"/>
  <c r="AB845" i="28"/>
  <c r="AB844" i="28"/>
  <c r="AB843" i="28"/>
  <c r="AB842" i="28"/>
  <c r="AB841" i="28"/>
  <c r="AB840" i="28"/>
  <c r="AB839" i="28"/>
  <c r="AB838" i="28"/>
  <c r="AB837" i="28"/>
  <c r="AB836" i="28"/>
  <c r="AB835" i="28"/>
  <c r="AB834" i="28"/>
  <c r="AB833" i="28"/>
  <c r="AB832" i="28"/>
  <c r="AB831" i="28"/>
  <c r="AB830" i="28"/>
  <c r="AB829" i="28"/>
  <c r="AB828" i="28"/>
  <c r="AB827" i="28"/>
  <c r="AB826" i="28"/>
  <c r="AB825" i="28"/>
  <c r="AB824" i="28"/>
  <c r="AB823" i="28"/>
  <c r="AB822" i="28"/>
  <c r="AB821" i="28"/>
  <c r="AB820" i="28"/>
  <c r="AB819" i="28"/>
  <c r="AB818" i="28"/>
  <c r="AB817" i="28"/>
  <c r="AB816" i="28"/>
  <c r="AB815" i="28"/>
  <c r="AB814" i="28"/>
  <c r="AB813" i="28"/>
  <c r="AB812" i="28"/>
  <c r="AB811" i="28"/>
  <c r="AB810" i="28"/>
  <c r="AB809" i="28"/>
  <c r="AB808" i="28"/>
  <c r="AB807" i="28"/>
  <c r="AB806" i="28"/>
  <c r="AB805" i="28"/>
  <c r="AB804" i="28"/>
  <c r="AB803" i="28"/>
  <c r="AB802" i="28"/>
  <c r="AB801" i="28"/>
  <c r="AB800" i="28"/>
  <c r="AB799" i="28"/>
  <c r="AB798" i="28"/>
  <c r="AB797" i="28"/>
  <c r="AB796" i="28"/>
  <c r="AB795" i="28"/>
  <c r="AB794" i="28"/>
  <c r="AB793" i="28"/>
  <c r="AB792" i="28"/>
  <c r="AB791" i="28"/>
  <c r="AB790" i="28"/>
  <c r="AB789" i="28"/>
  <c r="AB788" i="28"/>
  <c r="AB787" i="28"/>
  <c r="AB786" i="28"/>
  <c r="AB785" i="28"/>
  <c r="AB784" i="28"/>
  <c r="AB783" i="28"/>
  <c r="AB782" i="28"/>
  <c r="AB781" i="28"/>
  <c r="AB780" i="28"/>
  <c r="AB779" i="28"/>
  <c r="AB778" i="28"/>
  <c r="AB777" i="28"/>
  <c r="AB776" i="28"/>
  <c r="AB775" i="28"/>
  <c r="AB774" i="28"/>
  <c r="AB773" i="28"/>
  <c r="AB772" i="28"/>
  <c r="AB771" i="28"/>
  <c r="AB770" i="28"/>
  <c r="AB769" i="28"/>
  <c r="AB768" i="28"/>
  <c r="AB767" i="28"/>
  <c r="AB766" i="28"/>
  <c r="AB765" i="28"/>
  <c r="AB764" i="28"/>
  <c r="AB763" i="28"/>
  <c r="AB762" i="28"/>
  <c r="AB761" i="28"/>
  <c r="AB760" i="28"/>
  <c r="AB759" i="28"/>
  <c r="AB758" i="28"/>
  <c r="AB757" i="28"/>
  <c r="AB756" i="28"/>
  <c r="AB755" i="28"/>
  <c r="AB754" i="28"/>
  <c r="AB753" i="28"/>
  <c r="AB752" i="28"/>
  <c r="AB751" i="28"/>
  <c r="AB750" i="28"/>
  <c r="AB749" i="28"/>
  <c r="AB748" i="28"/>
  <c r="AB747" i="28"/>
  <c r="AB746" i="28"/>
  <c r="AB745" i="28"/>
  <c r="AB744" i="28"/>
  <c r="AB743" i="28"/>
  <c r="AB742" i="28"/>
  <c r="AB741" i="28"/>
  <c r="AB740" i="28"/>
  <c r="AB739" i="28"/>
  <c r="AB738" i="28"/>
  <c r="AB737" i="28"/>
  <c r="AB736" i="28"/>
  <c r="AB735" i="28"/>
  <c r="AB734" i="28"/>
  <c r="AB733" i="28"/>
  <c r="AB732" i="28"/>
  <c r="AB731" i="28"/>
  <c r="AB730" i="28"/>
  <c r="AB729" i="28"/>
  <c r="AB728" i="28"/>
  <c r="AB727" i="28"/>
  <c r="AB726" i="28"/>
  <c r="AB725" i="28"/>
  <c r="AB724" i="28"/>
  <c r="AB723" i="28"/>
  <c r="AB722" i="28"/>
  <c r="AB721" i="28"/>
  <c r="AB720" i="28"/>
  <c r="AB719" i="28"/>
  <c r="AB718" i="28"/>
  <c r="AB717" i="28"/>
  <c r="AB716" i="28"/>
  <c r="AB715" i="28"/>
  <c r="AB714" i="28"/>
  <c r="AB713" i="28"/>
  <c r="AB712" i="28"/>
  <c r="AB711" i="28"/>
  <c r="AB710" i="28"/>
  <c r="AB709" i="28"/>
  <c r="AB708" i="28"/>
  <c r="AB707" i="28"/>
  <c r="AB706" i="28"/>
  <c r="AB705" i="28"/>
  <c r="AB704" i="28"/>
  <c r="AB703" i="28"/>
  <c r="AB702" i="28"/>
  <c r="AB701" i="28"/>
  <c r="AB700" i="28"/>
  <c r="AB699" i="28"/>
  <c r="AB698" i="28"/>
  <c r="AB697" i="28"/>
  <c r="AB696" i="28"/>
  <c r="AB695" i="28"/>
  <c r="AB694" i="28"/>
  <c r="AB693" i="28"/>
  <c r="AB692" i="28"/>
  <c r="AB691" i="28"/>
  <c r="AB690" i="28"/>
  <c r="AB689" i="28"/>
  <c r="AB688" i="28"/>
  <c r="AB687" i="28"/>
  <c r="AB686" i="28"/>
  <c r="AB685" i="28"/>
  <c r="AB684" i="28"/>
  <c r="AB683" i="28"/>
  <c r="AB682" i="28"/>
  <c r="AB681" i="28"/>
  <c r="AB680" i="28"/>
  <c r="AB679" i="28"/>
  <c r="AB678" i="28"/>
  <c r="AB677" i="28"/>
  <c r="AB676" i="28"/>
  <c r="AB675" i="28"/>
  <c r="AB674" i="28"/>
  <c r="AB673" i="28"/>
  <c r="AB672" i="28"/>
  <c r="AB671" i="28"/>
  <c r="AB670" i="28"/>
  <c r="AB669" i="28"/>
  <c r="AB668" i="28"/>
  <c r="AB667" i="28"/>
  <c r="AB666" i="28"/>
  <c r="AB665" i="28"/>
  <c r="AB664" i="28"/>
  <c r="AB663" i="28"/>
  <c r="AB662" i="28"/>
  <c r="AB661" i="28"/>
  <c r="AB660" i="28"/>
  <c r="AB659" i="28"/>
  <c r="AB658" i="28"/>
  <c r="AB657" i="28"/>
  <c r="AB656" i="28"/>
  <c r="AB655" i="28"/>
  <c r="AB654" i="28"/>
  <c r="AB653" i="28"/>
  <c r="AB652" i="28"/>
  <c r="AB651" i="28"/>
  <c r="AB650" i="28"/>
  <c r="AB649" i="28"/>
  <c r="AB648" i="28"/>
  <c r="AB647" i="28"/>
  <c r="AB646" i="28"/>
  <c r="AB645" i="28"/>
  <c r="AB644" i="28"/>
  <c r="AB643" i="28"/>
  <c r="AB642" i="28"/>
  <c r="AB641" i="28"/>
  <c r="AB640" i="28"/>
  <c r="AB639" i="28"/>
  <c r="AB638" i="28"/>
  <c r="AB637" i="28"/>
  <c r="AB636" i="28"/>
  <c r="AB635" i="28"/>
  <c r="AB634" i="28"/>
  <c r="AB633" i="28"/>
  <c r="AB632" i="28"/>
  <c r="AB631" i="28"/>
  <c r="AB630" i="28"/>
  <c r="AB629" i="28"/>
  <c r="AB628" i="28"/>
  <c r="AB627" i="28"/>
  <c r="AB626" i="28"/>
  <c r="AB625" i="28"/>
  <c r="AB624" i="28"/>
  <c r="AB623" i="28"/>
  <c r="AB622" i="28"/>
  <c r="AB621" i="28"/>
  <c r="AB620" i="28"/>
  <c r="AB619" i="28"/>
  <c r="AB618" i="28"/>
  <c r="AB617" i="28"/>
  <c r="AB616" i="28"/>
  <c r="AB615" i="28"/>
  <c r="AB614" i="28"/>
  <c r="AB613" i="28"/>
  <c r="AB612" i="28"/>
  <c r="AB611" i="28"/>
  <c r="AB610" i="28"/>
  <c r="AB609" i="28"/>
  <c r="AB608" i="28"/>
  <c r="AB607" i="28"/>
  <c r="AB606" i="28"/>
  <c r="AB605" i="28"/>
  <c r="AB604" i="28"/>
  <c r="AB603" i="28"/>
  <c r="AB602" i="28"/>
  <c r="AB601" i="28"/>
  <c r="AB600" i="28"/>
  <c r="AB599" i="28"/>
  <c r="AB598" i="28"/>
  <c r="AB597" i="28"/>
  <c r="AB596" i="28"/>
  <c r="AB595" i="28"/>
  <c r="AB594" i="28"/>
  <c r="AB593" i="28"/>
  <c r="AB592" i="28"/>
  <c r="AB591" i="28"/>
  <c r="AB590" i="28"/>
  <c r="AB589" i="28"/>
  <c r="AB588" i="28"/>
  <c r="AB587" i="28"/>
  <c r="AB586" i="28"/>
  <c r="AB585" i="28"/>
  <c r="AB584" i="28"/>
  <c r="AB583" i="28"/>
  <c r="AB582" i="28"/>
  <c r="AB581" i="28"/>
  <c r="AB580" i="28"/>
  <c r="AB579" i="28"/>
  <c r="AB578" i="28"/>
  <c r="AB577" i="28"/>
  <c r="AB576" i="28"/>
  <c r="AB575" i="28"/>
  <c r="AB574" i="28"/>
  <c r="AB573" i="28"/>
  <c r="AB572" i="28"/>
  <c r="AB571" i="28"/>
  <c r="AB570" i="28"/>
  <c r="AB569" i="28"/>
  <c r="AB568" i="28"/>
  <c r="AB567" i="28"/>
  <c r="AB566" i="28"/>
  <c r="AB565" i="28"/>
  <c r="AB564" i="28"/>
  <c r="AB563" i="28"/>
  <c r="AB562" i="28"/>
  <c r="AB561" i="28"/>
  <c r="AB560" i="28"/>
  <c r="AB559" i="28"/>
  <c r="AB558" i="28"/>
  <c r="AB557" i="28"/>
  <c r="AB556" i="28"/>
  <c r="AB555" i="28"/>
  <c r="AB554" i="28"/>
  <c r="AB553" i="28"/>
  <c r="AB552" i="28"/>
  <c r="AB551" i="28"/>
  <c r="AB550" i="28"/>
  <c r="AB549" i="28"/>
  <c r="AB548" i="28"/>
  <c r="AB547" i="28"/>
  <c r="AB546" i="28"/>
  <c r="AB545" i="28"/>
  <c r="AB544" i="28"/>
  <c r="AB543" i="28"/>
  <c r="AB542" i="28"/>
  <c r="AB541" i="28"/>
  <c r="AB540" i="28"/>
  <c r="AB539" i="28"/>
  <c r="AB538" i="28"/>
  <c r="AB537" i="28"/>
  <c r="AB536" i="28"/>
  <c r="AB535" i="28"/>
  <c r="AB534" i="28"/>
  <c r="AB533" i="28"/>
  <c r="AB532" i="28"/>
  <c r="AB531" i="28"/>
  <c r="AB530" i="28"/>
  <c r="AB529" i="28"/>
  <c r="AB528" i="28"/>
  <c r="AB527" i="28"/>
  <c r="AB526" i="28"/>
  <c r="AB525" i="28"/>
  <c r="AB524" i="28"/>
  <c r="AB523" i="28"/>
  <c r="AB522" i="28"/>
  <c r="AB521" i="28"/>
  <c r="AB520" i="28"/>
  <c r="AB519" i="28"/>
  <c r="AB518" i="28"/>
  <c r="AB517" i="28"/>
  <c r="AB516" i="28"/>
  <c r="AB515" i="28"/>
  <c r="AB514" i="28"/>
  <c r="AB513" i="28"/>
  <c r="AB512" i="28"/>
  <c r="AB511" i="28"/>
  <c r="AB510" i="28"/>
  <c r="AB509" i="28"/>
  <c r="AB508" i="28"/>
  <c r="AB507" i="28"/>
  <c r="AB506" i="28"/>
  <c r="AB505" i="28"/>
  <c r="AB504" i="28"/>
  <c r="AB503" i="28"/>
  <c r="AB502" i="28"/>
  <c r="AB501" i="28"/>
  <c r="AB500" i="28"/>
  <c r="AB499" i="28"/>
  <c r="AB498" i="28"/>
  <c r="AB497" i="28"/>
  <c r="AB496" i="28"/>
  <c r="AB495" i="28"/>
  <c r="AB494" i="28"/>
  <c r="AB493" i="28"/>
  <c r="AB492" i="28"/>
  <c r="AB491" i="28"/>
  <c r="AB490" i="28"/>
  <c r="AB489" i="28"/>
  <c r="AB488" i="28"/>
  <c r="AB487" i="28"/>
  <c r="AB486" i="28"/>
  <c r="AB485" i="28"/>
  <c r="AB484" i="28"/>
  <c r="AB483" i="28"/>
  <c r="AB482" i="28"/>
  <c r="AB481" i="28"/>
  <c r="AB480" i="28"/>
  <c r="AB479" i="28"/>
  <c r="AB478" i="28"/>
  <c r="AB477" i="28"/>
  <c r="AB476" i="28"/>
  <c r="AB475" i="28"/>
  <c r="AB474" i="28"/>
  <c r="AB473" i="28"/>
  <c r="AB472" i="28"/>
  <c r="AB471" i="28"/>
  <c r="AB470" i="28"/>
  <c r="AB469" i="28"/>
  <c r="AB468" i="28"/>
  <c r="AB467" i="28"/>
  <c r="AB466" i="28"/>
  <c r="AB465" i="28"/>
  <c r="AB464" i="28"/>
  <c r="AB463" i="28"/>
  <c r="AB462" i="28"/>
  <c r="AB461" i="28"/>
  <c r="AB460" i="28"/>
  <c r="AB459" i="28"/>
  <c r="AB458" i="28"/>
  <c r="AB457" i="28"/>
  <c r="AB456" i="28"/>
  <c r="AB455" i="28"/>
  <c r="AB454" i="28"/>
  <c r="AB453" i="28"/>
  <c r="AB452" i="28"/>
  <c r="AB451" i="28"/>
  <c r="AB450" i="28"/>
  <c r="AB449" i="28"/>
  <c r="AB448" i="28"/>
  <c r="AB447" i="28"/>
  <c r="AB446" i="28"/>
  <c r="AB445" i="28"/>
  <c r="AB444" i="28"/>
  <c r="AB443" i="28"/>
  <c r="AB442" i="28"/>
  <c r="AB441" i="28"/>
  <c r="AB440" i="28"/>
  <c r="AB439" i="28"/>
  <c r="AB438" i="28"/>
  <c r="AB437" i="28"/>
  <c r="AB436" i="28"/>
  <c r="AB435" i="28"/>
  <c r="AB434" i="28"/>
  <c r="AB433" i="28"/>
  <c r="AB432" i="28"/>
  <c r="AB431" i="28"/>
  <c r="AB430" i="28"/>
  <c r="AB429" i="28"/>
  <c r="AB428" i="28"/>
  <c r="AB427" i="28"/>
  <c r="AB426" i="28"/>
  <c r="AB425" i="28"/>
  <c r="AB424" i="28"/>
  <c r="AB423" i="28"/>
  <c r="AB422" i="28"/>
  <c r="AB421" i="28"/>
  <c r="AB420" i="28"/>
  <c r="AB419" i="28"/>
  <c r="AB418" i="28"/>
  <c r="AB417" i="28"/>
  <c r="AB416" i="28"/>
  <c r="AB415" i="28"/>
  <c r="AB414" i="28"/>
  <c r="AB413" i="28"/>
  <c r="AB412" i="28"/>
  <c r="AB411" i="28"/>
  <c r="AB410" i="28"/>
  <c r="AB409" i="28"/>
  <c r="AB408" i="28"/>
  <c r="AB407" i="28"/>
  <c r="AB406" i="28"/>
  <c r="AB405" i="28"/>
  <c r="AB404" i="28"/>
  <c r="AB403" i="28"/>
  <c r="AB402" i="28"/>
  <c r="AB401" i="28"/>
  <c r="AB400" i="28"/>
  <c r="AB399" i="28"/>
  <c r="AB398" i="28"/>
  <c r="AB397" i="28"/>
  <c r="AB396" i="28"/>
  <c r="AB395" i="28"/>
  <c r="AB394" i="28"/>
  <c r="AB393" i="28"/>
  <c r="AB392" i="28"/>
  <c r="AB391" i="28"/>
  <c r="AB390" i="28"/>
  <c r="AB389" i="28"/>
  <c r="AB388" i="28"/>
  <c r="AB387" i="28"/>
  <c r="AB386" i="28"/>
  <c r="AB385" i="28"/>
  <c r="AB384" i="28"/>
  <c r="AB383" i="28"/>
  <c r="AB382" i="28"/>
  <c r="AB381" i="28"/>
  <c r="AB380" i="28"/>
  <c r="AB379" i="28"/>
  <c r="AB378" i="28"/>
  <c r="AB377" i="28"/>
  <c r="AB376" i="28"/>
  <c r="AB375" i="28"/>
  <c r="AB374" i="28"/>
  <c r="AB373" i="28"/>
  <c r="AB372" i="28"/>
  <c r="AB371" i="28"/>
  <c r="AB370" i="28"/>
  <c r="AB369" i="28"/>
  <c r="AB368" i="28"/>
  <c r="AB367" i="28"/>
  <c r="AB366" i="28"/>
  <c r="AB365" i="28"/>
  <c r="AB364" i="28"/>
  <c r="AB363" i="28"/>
  <c r="AB362" i="28"/>
  <c r="AB361" i="28"/>
  <c r="AB360" i="28"/>
  <c r="AB359" i="28"/>
  <c r="AB358" i="28"/>
  <c r="AB357" i="28"/>
  <c r="AB356" i="28"/>
  <c r="AB355" i="28"/>
  <c r="AB354" i="28"/>
  <c r="AB353" i="28"/>
  <c r="AB352" i="28"/>
  <c r="AB351" i="28"/>
  <c r="AB350" i="28"/>
  <c r="AB349" i="28"/>
  <c r="AB348" i="28"/>
  <c r="AB347" i="28"/>
  <c r="AB346" i="28"/>
  <c r="AB345" i="28"/>
  <c r="AB344" i="28"/>
  <c r="AB343" i="28"/>
  <c r="AB342" i="28"/>
  <c r="AB341" i="28"/>
  <c r="AB340" i="28"/>
  <c r="AB339" i="28"/>
  <c r="AB338" i="28"/>
  <c r="AB337" i="28"/>
  <c r="AB336" i="28"/>
  <c r="AB335" i="28"/>
  <c r="AB334" i="28"/>
  <c r="AB333" i="28"/>
  <c r="AB332" i="28"/>
  <c r="AB331" i="28"/>
  <c r="AB330" i="28"/>
  <c r="AB329" i="28"/>
  <c r="AB328" i="28"/>
  <c r="AB327" i="28"/>
  <c r="AB326" i="28"/>
  <c r="AB325" i="28"/>
  <c r="AB324" i="28"/>
  <c r="AB323" i="28"/>
  <c r="AB322" i="28"/>
  <c r="AB321" i="28"/>
  <c r="AB320" i="28"/>
  <c r="AB319" i="28"/>
  <c r="AB318" i="28"/>
  <c r="AB317" i="28"/>
  <c r="AB316" i="28"/>
  <c r="AB315" i="28"/>
  <c r="AB314" i="28"/>
  <c r="AB313" i="28"/>
  <c r="AB312" i="28"/>
  <c r="AB311" i="28"/>
  <c r="AB310" i="28"/>
  <c r="AB309" i="28"/>
  <c r="AB308" i="28"/>
  <c r="AB307" i="28"/>
  <c r="AB306" i="28"/>
  <c r="AB305" i="28"/>
  <c r="AB304" i="28"/>
  <c r="AB303" i="28"/>
  <c r="AB302" i="28"/>
  <c r="AB301" i="28"/>
  <c r="AB300" i="28"/>
  <c r="AB299" i="28"/>
  <c r="AB298" i="28"/>
  <c r="AB297" i="28"/>
  <c r="AB296" i="28"/>
  <c r="AB295" i="28"/>
  <c r="AB294" i="28"/>
  <c r="AB293" i="28"/>
  <c r="AB292" i="28"/>
  <c r="AB291" i="28"/>
  <c r="AB290" i="28"/>
  <c r="AB289" i="28"/>
  <c r="AB288" i="28"/>
  <c r="AB287" i="28"/>
  <c r="AB286" i="28"/>
  <c r="AB285" i="28"/>
  <c r="AB284" i="28"/>
  <c r="AB283" i="28"/>
  <c r="AB282" i="28"/>
  <c r="AB281" i="28"/>
  <c r="AB280" i="28"/>
  <c r="AB279" i="28"/>
  <c r="AB278" i="28"/>
  <c r="AB277" i="28"/>
  <c r="AB276" i="28"/>
  <c r="AB275" i="28"/>
  <c r="AB274" i="28"/>
  <c r="AB273" i="28"/>
  <c r="AB272" i="28"/>
  <c r="AB271" i="28"/>
  <c r="AB270" i="28"/>
  <c r="AB269" i="28"/>
  <c r="AB268" i="28"/>
  <c r="AB267" i="28"/>
  <c r="AB266" i="28"/>
  <c r="AB265" i="28"/>
  <c r="AB264" i="28"/>
  <c r="AB263" i="28"/>
  <c r="AB262" i="28"/>
  <c r="AB261" i="28"/>
  <c r="AB260" i="28"/>
  <c r="AB259" i="28"/>
  <c r="AB258" i="28"/>
  <c r="AB257" i="28"/>
  <c r="AB256" i="28"/>
  <c r="AB255" i="28"/>
  <c r="AB254" i="28"/>
  <c r="AB253" i="28"/>
  <c r="AB252" i="28"/>
  <c r="AB251" i="28"/>
  <c r="AB250" i="28"/>
  <c r="AB249" i="28"/>
  <c r="AB248" i="28"/>
  <c r="AB247" i="28"/>
  <c r="AB246" i="28"/>
  <c r="AB245" i="28"/>
  <c r="AB244" i="28"/>
  <c r="AB243" i="28"/>
  <c r="AB242" i="28"/>
  <c r="AB241" i="28"/>
  <c r="AB240" i="28"/>
  <c r="AB239" i="28"/>
  <c r="AB238" i="28"/>
  <c r="AB237" i="28"/>
  <c r="AB236" i="28"/>
  <c r="AB235" i="28"/>
  <c r="AB234" i="28"/>
  <c r="AB233" i="28"/>
  <c r="AB232" i="28"/>
  <c r="AB231" i="28"/>
  <c r="AB230" i="28"/>
  <c r="AB229" i="28"/>
  <c r="AB228" i="28"/>
  <c r="AB227" i="28"/>
  <c r="AB226" i="28"/>
  <c r="AB225" i="28"/>
  <c r="AB224" i="28"/>
  <c r="AB223" i="28"/>
  <c r="AB222" i="28"/>
  <c r="AB221" i="28"/>
  <c r="AB220" i="28"/>
  <c r="AB219" i="28"/>
  <c r="AB218" i="28"/>
  <c r="AB217" i="28"/>
  <c r="AB216" i="28"/>
  <c r="AB215" i="28"/>
  <c r="AB214" i="28"/>
  <c r="AB213" i="28"/>
  <c r="AB212" i="28"/>
  <c r="AB211" i="28"/>
  <c r="AB210" i="28"/>
  <c r="AB209" i="28"/>
  <c r="AB208" i="28"/>
  <c r="AB207" i="28"/>
  <c r="AB206" i="28"/>
  <c r="AB205" i="28"/>
  <c r="AB204" i="28"/>
  <c r="AB203" i="28"/>
  <c r="AB202" i="28"/>
  <c r="AB201" i="28"/>
  <c r="AB200" i="28"/>
  <c r="AB199" i="28"/>
  <c r="AB198" i="28"/>
  <c r="AB197" i="28"/>
  <c r="AB196" i="28"/>
  <c r="AB195" i="28"/>
  <c r="AB194" i="28"/>
  <c r="AB193" i="28"/>
  <c r="AB192" i="28"/>
  <c r="AB191" i="28"/>
  <c r="AB190" i="28"/>
  <c r="AB189" i="28"/>
  <c r="AB188" i="28"/>
  <c r="AB187" i="28"/>
  <c r="AB186" i="28"/>
  <c r="AB185" i="28"/>
  <c r="AB184" i="28"/>
  <c r="AB183" i="28"/>
  <c r="AB182" i="28"/>
  <c r="AB181" i="28"/>
  <c r="AB180" i="28"/>
  <c r="AB179" i="28"/>
  <c r="AB178" i="28"/>
  <c r="AB177" i="28"/>
  <c r="AB176" i="28"/>
  <c r="AB175" i="28"/>
  <c r="AB174" i="28"/>
  <c r="AB173" i="28"/>
  <c r="AB172" i="28"/>
  <c r="AB171" i="28"/>
  <c r="AB170" i="28"/>
  <c r="AB169" i="28"/>
  <c r="AB168" i="28"/>
  <c r="AB167" i="28"/>
  <c r="AB166" i="28"/>
  <c r="AB165" i="28"/>
  <c r="AB164" i="28"/>
  <c r="AB163" i="28"/>
  <c r="AB162" i="28"/>
  <c r="AB161" i="28"/>
  <c r="AB160" i="28"/>
  <c r="AB159" i="28"/>
  <c r="AB158" i="28"/>
  <c r="AB157" i="28"/>
  <c r="AB156" i="28"/>
  <c r="AB155" i="28"/>
  <c r="AB154" i="28"/>
  <c r="AB153" i="28"/>
  <c r="AB152" i="28"/>
  <c r="AB151" i="28"/>
  <c r="AB150" i="28"/>
  <c r="AB149" i="28"/>
  <c r="AB148" i="28"/>
  <c r="AB147" i="28"/>
  <c r="AB146" i="28"/>
  <c r="AB145" i="28"/>
  <c r="AB144" i="28"/>
  <c r="AB143" i="28"/>
  <c r="AB142" i="28"/>
  <c r="AB141" i="28"/>
  <c r="AB140" i="28"/>
  <c r="AB139" i="28"/>
  <c r="AB138" i="28"/>
  <c r="AB137" i="28"/>
  <c r="AB136" i="28"/>
  <c r="AB135" i="28"/>
  <c r="AB134" i="28"/>
  <c r="AB133" i="28"/>
  <c r="AB132" i="28"/>
  <c r="AB131" i="28"/>
  <c r="AB130" i="28"/>
  <c r="AB129" i="28"/>
  <c r="AB128" i="28"/>
  <c r="AB127" i="28"/>
  <c r="AB126" i="28"/>
  <c r="AB125" i="28"/>
  <c r="AB124" i="28"/>
  <c r="AB123" i="28"/>
  <c r="AB122" i="28"/>
  <c r="AB121" i="28"/>
  <c r="AB120" i="28"/>
  <c r="AB119" i="28"/>
  <c r="AB118" i="28"/>
  <c r="AB117" i="28"/>
  <c r="AB116" i="28"/>
  <c r="AB115" i="28"/>
  <c r="AB114" i="28"/>
  <c r="AB113" i="28"/>
  <c r="AB112" i="28"/>
  <c r="AB111" i="28"/>
  <c r="AB110" i="28"/>
  <c r="AB109" i="28"/>
  <c r="AB108" i="28"/>
  <c r="AB107" i="28"/>
  <c r="AB106" i="28"/>
  <c r="AB105" i="28"/>
  <c r="AB104" i="28"/>
  <c r="AB103" i="28"/>
  <c r="AB102" i="28"/>
  <c r="AB101" i="28"/>
  <c r="AB100" i="28"/>
  <c r="AB99" i="28"/>
  <c r="AB98" i="28"/>
  <c r="AB97" i="28"/>
  <c r="AB96" i="28"/>
  <c r="AB95" i="28"/>
  <c r="AB94" i="28"/>
  <c r="AB93" i="28"/>
  <c r="AB92" i="28"/>
  <c r="AB91" i="28"/>
  <c r="AB90" i="28"/>
  <c r="AB89" i="28"/>
  <c r="AB88" i="28"/>
  <c r="AB87" i="28"/>
  <c r="AB86" i="28"/>
  <c r="AB85" i="28"/>
  <c r="AB84" i="28"/>
  <c r="AB83" i="28"/>
  <c r="AB82" i="28"/>
  <c r="AB81" i="28"/>
  <c r="AB80" i="28"/>
  <c r="AB79" i="28"/>
  <c r="AB78" i="28"/>
  <c r="AB77" i="28"/>
  <c r="AB76" i="28"/>
  <c r="AB75" i="28"/>
  <c r="AB74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60" i="28"/>
  <c r="AB59" i="28"/>
  <c r="AB58" i="28"/>
  <c r="AB57" i="28"/>
  <c r="AB56" i="28"/>
  <c r="AB55" i="28"/>
  <c r="AB54" i="28"/>
  <c r="AB53" i="28"/>
  <c r="AB52" i="28"/>
  <c r="AB51" i="28"/>
  <c r="AB50" i="28"/>
  <c r="AB49" i="28"/>
  <c r="AB48" i="28"/>
  <c r="AB47" i="28"/>
  <c r="AB46" i="28"/>
  <c r="AB45" i="28"/>
  <c r="AB44" i="28"/>
  <c r="AB43" i="28"/>
  <c r="AB42" i="28"/>
  <c r="AB41" i="28"/>
  <c r="AB40" i="28"/>
  <c r="AB39" i="28"/>
  <c r="AB38" i="28"/>
  <c r="AB37" i="28"/>
  <c r="AB36" i="28"/>
  <c r="AB35" i="28"/>
  <c r="AB34" i="28"/>
  <c r="AB33" i="28"/>
  <c r="AB32" i="28"/>
  <c r="AB31" i="28"/>
  <c r="AB30" i="28"/>
  <c r="AB29" i="28"/>
  <c r="AB28" i="28"/>
  <c r="AB27" i="28"/>
  <c r="AB26" i="28"/>
  <c r="AB25" i="28"/>
  <c r="AB24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AB5" i="28"/>
  <c r="AB4" i="28"/>
  <c r="AB3" i="28"/>
  <c r="AB2" i="28"/>
  <c r="AB3" i="30"/>
  <c r="AB4" i="30"/>
  <c r="AB5" i="30"/>
  <c r="AB6" i="30"/>
  <c r="AB7" i="30"/>
  <c r="AB8" i="30"/>
  <c r="AB9" i="30"/>
  <c r="AB10" i="30"/>
  <c r="AB11" i="30"/>
  <c r="AB12" i="30"/>
  <c r="AB13" i="30"/>
  <c r="AB14" i="30"/>
  <c r="AB15" i="30"/>
  <c r="AB16" i="30"/>
  <c r="AB17" i="30"/>
  <c r="AB18" i="30"/>
  <c r="AB19" i="30"/>
  <c r="AB20" i="30"/>
  <c r="AB21" i="30"/>
  <c r="AB22" i="30"/>
  <c r="AB23" i="30"/>
  <c r="AB24" i="30"/>
  <c r="AB25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73" i="30"/>
  <c r="AB74" i="30"/>
  <c r="AB75" i="30"/>
  <c r="AB76" i="30"/>
  <c r="AB77" i="30"/>
  <c r="AB78" i="30"/>
  <c r="AB79" i="30"/>
  <c r="AB80" i="30"/>
  <c r="AB81" i="30"/>
  <c r="AB82" i="30"/>
  <c r="AB83" i="30"/>
  <c r="AB84" i="30"/>
  <c r="AB85" i="30"/>
  <c r="AB86" i="30"/>
  <c r="AB87" i="30"/>
  <c r="AB88" i="30"/>
  <c r="AB89" i="30"/>
  <c r="AB90" i="30"/>
  <c r="AB91" i="30"/>
  <c r="AB92" i="30"/>
  <c r="AB93" i="30"/>
  <c r="AB94" i="30"/>
  <c r="AB95" i="30"/>
  <c r="AB96" i="30"/>
  <c r="AB97" i="30"/>
  <c r="AB98" i="30"/>
  <c r="AB99" i="30"/>
  <c r="AB100" i="30"/>
  <c r="AB101" i="30"/>
  <c r="AB102" i="30"/>
  <c r="AB103" i="30"/>
  <c r="AB104" i="30"/>
  <c r="AB105" i="30"/>
  <c r="AB106" i="30"/>
  <c r="AB107" i="30"/>
  <c r="AB108" i="30"/>
  <c r="AB109" i="30"/>
  <c r="AB110" i="30"/>
  <c r="AB111" i="30"/>
  <c r="AB112" i="30"/>
  <c r="AB113" i="30"/>
  <c r="AB114" i="30"/>
  <c r="AB115" i="30"/>
  <c r="AB116" i="30"/>
  <c r="AB117" i="30"/>
  <c r="AB118" i="30"/>
  <c r="AB119" i="30"/>
  <c r="AB120" i="30"/>
  <c r="AB121" i="30"/>
  <c r="AB122" i="30"/>
  <c r="AB123" i="30"/>
  <c r="AB124" i="30"/>
  <c r="AB125" i="30"/>
  <c r="AB126" i="30"/>
  <c r="AB127" i="30"/>
  <c r="AB128" i="30"/>
  <c r="AB129" i="30"/>
  <c r="AB130" i="30"/>
  <c r="AB131" i="30"/>
  <c r="AB132" i="30"/>
  <c r="AB133" i="30"/>
  <c r="AB134" i="30"/>
  <c r="AB135" i="30"/>
  <c r="AB136" i="30"/>
  <c r="AB137" i="30"/>
  <c r="AB138" i="30"/>
  <c r="AB139" i="30"/>
  <c r="AB140" i="30"/>
  <c r="AB141" i="30"/>
  <c r="AB142" i="30"/>
  <c r="AB143" i="30"/>
  <c r="AB144" i="30"/>
  <c r="AB145" i="30"/>
  <c r="AB146" i="30"/>
  <c r="AB147" i="30"/>
  <c r="AB148" i="30"/>
  <c r="AB149" i="30"/>
  <c r="AB150" i="30"/>
  <c r="AB151" i="30"/>
  <c r="AB152" i="30"/>
  <c r="AB153" i="30"/>
  <c r="AB154" i="30"/>
  <c r="AB155" i="30"/>
  <c r="AB156" i="30"/>
  <c r="AB157" i="30"/>
  <c r="AB158" i="30"/>
  <c r="AB159" i="30"/>
  <c r="AB160" i="30"/>
  <c r="AB161" i="30"/>
  <c r="AB162" i="30"/>
  <c r="AB163" i="30"/>
  <c r="AB164" i="30"/>
  <c r="AB165" i="30"/>
  <c r="AB166" i="30"/>
  <c r="AB167" i="30"/>
  <c r="AB168" i="30"/>
  <c r="AB169" i="30"/>
  <c r="AB170" i="30"/>
  <c r="AB171" i="30"/>
  <c r="AB172" i="30"/>
  <c r="AB173" i="30"/>
  <c r="AB174" i="30"/>
  <c r="AB175" i="30"/>
  <c r="AB176" i="30"/>
  <c r="AB177" i="30"/>
  <c r="AB178" i="30"/>
  <c r="AB179" i="30"/>
  <c r="AB180" i="30"/>
  <c r="AB181" i="30"/>
  <c r="AB182" i="30"/>
  <c r="AB183" i="30"/>
  <c r="AB184" i="30"/>
  <c r="AB185" i="30"/>
  <c r="AB186" i="30"/>
  <c r="AB187" i="30"/>
  <c r="AB188" i="30"/>
  <c r="AB189" i="30"/>
  <c r="AB190" i="30"/>
  <c r="AB191" i="30"/>
  <c r="AB192" i="30"/>
  <c r="AB193" i="30"/>
  <c r="AB194" i="30"/>
  <c r="AB195" i="30"/>
  <c r="AB196" i="30"/>
  <c r="AB197" i="30"/>
  <c r="AB198" i="30"/>
  <c r="AB199" i="30"/>
  <c r="AB200" i="30"/>
  <c r="AB201" i="30"/>
  <c r="AB202" i="30"/>
  <c r="AB203" i="30"/>
  <c r="AB204" i="30"/>
  <c r="AB205" i="30"/>
  <c r="AB206" i="30"/>
  <c r="AB207" i="30"/>
  <c r="AB208" i="30"/>
  <c r="AB209" i="30"/>
  <c r="AB210" i="30"/>
  <c r="AB211" i="30"/>
  <c r="AB212" i="30"/>
  <c r="AB213" i="30"/>
  <c r="AB214" i="30"/>
  <c r="AB215" i="30"/>
  <c r="AB216" i="30"/>
  <c r="AB217" i="30"/>
  <c r="AB218" i="30"/>
  <c r="AB219" i="30"/>
  <c r="AB220" i="30"/>
  <c r="AB221" i="30"/>
  <c r="AB222" i="30"/>
  <c r="AB223" i="30"/>
  <c r="AB224" i="30"/>
  <c r="AB225" i="30"/>
  <c r="AB226" i="30"/>
  <c r="AB227" i="30"/>
  <c r="AB228" i="30"/>
  <c r="AB229" i="30"/>
  <c r="AB230" i="30"/>
  <c r="AB231" i="30"/>
  <c r="AB232" i="30"/>
  <c r="AB233" i="30"/>
  <c r="AB234" i="30"/>
  <c r="AB235" i="30"/>
  <c r="AB236" i="30"/>
  <c r="AB237" i="30"/>
  <c r="AB238" i="30"/>
  <c r="AB239" i="30"/>
  <c r="AB240" i="30"/>
  <c r="AB241" i="30"/>
  <c r="AB242" i="30"/>
  <c r="AB243" i="30"/>
  <c r="AB244" i="30"/>
  <c r="AB245" i="30"/>
  <c r="AB246" i="30"/>
  <c r="AB247" i="30"/>
  <c r="AB248" i="30"/>
  <c r="AB249" i="30"/>
  <c r="AB250" i="30"/>
  <c r="AB251" i="30"/>
  <c r="AB252" i="30"/>
  <c r="AB253" i="30"/>
  <c r="AB254" i="30"/>
  <c r="AB255" i="30"/>
  <c r="AB256" i="30"/>
  <c r="AB257" i="30"/>
  <c r="AB258" i="30"/>
  <c r="AB259" i="30"/>
  <c r="AB260" i="30"/>
  <c r="AB261" i="30"/>
  <c r="AB262" i="30"/>
  <c r="AB263" i="30"/>
  <c r="AB264" i="30"/>
  <c r="AB265" i="30"/>
  <c r="AB266" i="30"/>
  <c r="AB267" i="30"/>
  <c r="AB268" i="30"/>
  <c r="AB269" i="30"/>
  <c r="AB270" i="30"/>
  <c r="AB271" i="30"/>
  <c r="AB272" i="30"/>
  <c r="AB273" i="30"/>
  <c r="AB274" i="30"/>
  <c r="AB275" i="30"/>
  <c r="AB276" i="30"/>
  <c r="AB277" i="30"/>
  <c r="AB278" i="30"/>
  <c r="AB279" i="30"/>
  <c r="AB280" i="30"/>
  <c r="AB281" i="30"/>
  <c r="AB282" i="30"/>
  <c r="AB283" i="30"/>
  <c r="AB284" i="30"/>
  <c r="AB285" i="30"/>
  <c r="AB286" i="30"/>
  <c r="AB287" i="30"/>
  <c r="AB288" i="30"/>
  <c r="AB289" i="30"/>
  <c r="AB290" i="30"/>
  <c r="AB291" i="30"/>
  <c r="AB292" i="30"/>
  <c r="AB293" i="30"/>
  <c r="AB294" i="30"/>
  <c r="AB295" i="30"/>
  <c r="AB296" i="30"/>
  <c r="AB297" i="30"/>
  <c r="AB298" i="30"/>
  <c r="AB299" i="30"/>
  <c r="AB300" i="30"/>
  <c r="AB301" i="30"/>
  <c r="AB302" i="30"/>
  <c r="AB303" i="30"/>
  <c r="AB304" i="30"/>
  <c r="AB305" i="30"/>
  <c r="AB306" i="30"/>
  <c r="AB307" i="30"/>
  <c r="AB308" i="30"/>
  <c r="AB309" i="30"/>
  <c r="AB310" i="30"/>
  <c r="AB311" i="30"/>
  <c r="AB312" i="30"/>
  <c r="AB313" i="30"/>
  <c r="AB314" i="30"/>
  <c r="AB315" i="30"/>
  <c r="AB316" i="30"/>
  <c r="AB317" i="30"/>
  <c r="AB318" i="30"/>
  <c r="AB319" i="30"/>
  <c r="AB320" i="30"/>
  <c r="AB321" i="30"/>
  <c r="AB322" i="30"/>
  <c r="AB323" i="30"/>
  <c r="AB324" i="30"/>
  <c r="AB325" i="30"/>
  <c r="AB326" i="30"/>
  <c r="AB327" i="30"/>
  <c r="AB328" i="30"/>
  <c r="AB329" i="30"/>
  <c r="AB330" i="30"/>
  <c r="AB331" i="30"/>
  <c r="AB332" i="30"/>
  <c r="AB333" i="30"/>
  <c r="AB334" i="30"/>
  <c r="AB335" i="30"/>
  <c r="AB336" i="30"/>
  <c r="AB337" i="30"/>
  <c r="AB338" i="30"/>
  <c r="AB339" i="30"/>
  <c r="AB340" i="30"/>
  <c r="AB341" i="30"/>
  <c r="AB342" i="30"/>
  <c r="AB343" i="30"/>
  <c r="AB344" i="30"/>
  <c r="AB345" i="30"/>
  <c r="AB346" i="30"/>
  <c r="AB347" i="30"/>
  <c r="AB348" i="30"/>
  <c r="AB349" i="30"/>
  <c r="AB350" i="30"/>
  <c r="AB351" i="30"/>
  <c r="AB352" i="30"/>
  <c r="AB353" i="30"/>
  <c r="AB354" i="30"/>
  <c r="AB355" i="30"/>
  <c r="AB356" i="30"/>
  <c r="AB357" i="30"/>
  <c r="AB358" i="30"/>
  <c r="AB359" i="30"/>
  <c r="AB360" i="30"/>
  <c r="AB361" i="30"/>
  <c r="AB362" i="30"/>
  <c r="AB363" i="30"/>
  <c r="AB364" i="30"/>
  <c r="AB365" i="30"/>
  <c r="AB366" i="30"/>
  <c r="AB367" i="30"/>
  <c r="AB368" i="30"/>
  <c r="AB369" i="30"/>
  <c r="AB370" i="30"/>
  <c r="AB371" i="30"/>
  <c r="AB372" i="30"/>
  <c r="AB373" i="30"/>
  <c r="AB374" i="30"/>
  <c r="AB375" i="30"/>
  <c r="AB376" i="30"/>
  <c r="AB377" i="30"/>
  <c r="AB378" i="30"/>
  <c r="AB379" i="30"/>
  <c r="AB380" i="30"/>
  <c r="AB381" i="30"/>
  <c r="AB382" i="30"/>
  <c r="AB383" i="30"/>
  <c r="AB384" i="30"/>
  <c r="AB385" i="30"/>
  <c r="AB386" i="30"/>
  <c r="AB387" i="30"/>
  <c r="AB388" i="30"/>
  <c r="AB389" i="30"/>
  <c r="AB390" i="30"/>
  <c r="AB391" i="30"/>
  <c r="AB392" i="30"/>
  <c r="AB393" i="30"/>
  <c r="AB394" i="30"/>
  <c r="AB395" i="30"/>
  <c r="AB396" i="30"/>
  <c r="AB397" i="30"/>
  <c r="AB398" i="30"/>
  <c r="AB399" i="30"/>
  <c r="AB400" i="30"/>
  <c r="AB401" i="30"/>
  <c r="AB402" i="30"/>
  <c r="AB403" i="30"/>
  <c r="AB404" i="30"/>
  <c r="AB405" i="30"/>
  <c r="AB406" i="30"/>
  <c r="AB407" i="30"/>
  <c r="AB408" i="30"/>
  <c r="AB409" i="30"/>
  <c r="AB410" i="30"/>
  <c r="AB411" i="30"/>
  <c r="AB412" i="30"/>
  <c r="AB413" i="30"/>
  <c r="AB414" i="30"/>
  <c r="AB415" i="30"/>
  <c r="AB416" i="30"/>
  <c r="AB417" i="30"/>
  <c r="AB418" i="30"/>
  <c r="AB419" i="30"/>
  <c r="AB420" i="30"/>
  <c r="AB421" i="30"/>
  <c r="AB422" i="30"/>
  <c r="AB423" i="30"/>
  <c r="AB424" i="30"/>
  <c r="AB425" i="30"/>
  <c r="AB426" i="30"/>
  <c r="AB427" i="30"/>
  <c r="AB428" i="30"/>
  <c r="AB429" i="30"/>
  <c r="AB430" i="30"/>
  <c r="AB431" i="30"/>
  <c r="AB432" i="30"/>
  <c r="AB433" i="30"/>
  <c r="AB434" i="30"/>
  <c r="AB435" i="30"/>
  <c r="AB436" i="30"/>
  <c r="AB437" i="30"/>
  <c r="AB438" i="30"/>
  <c r="AB439" i="30"/>
  <c r="AB440" i="30"/>
  <c r="AB441" i="30"/>
  <c r="AB442" i="30"/>
  <c r="AB443" i="30"/>
  <c r="AB444" i="30"/>
  <c r="AB445" i="30"/>
  <c r="AB446" i="30"/>
  <c r="AB447" i="30"/>
  <c r="AB448" i="30"/>
  <c r="AB449" i="30"/>
  <c r="AB450" i="30"/>
  <c r="AB451" i="30"/>
  <c r="AB452" i="30"/>
  <c r="AB453" i="30"/>
  <c r="AB454" i="30"/>
  <c r="AB455" i="30"/>
  <c r="AB456" i="30"/>
  <c r="AB457" i="30"/>
  <c r="AB458" i="30"/>
  <c r="AB459" i="30"/>
  <c r="AB460" i="30"/>
  <c r="AB461" i="30"/>
  <c r="AB462" i="30"/>
  <c r="AB463" i="30"/>
  <c r="AB464" i="30"/>
  <c r="AB465" i="30"/>
  <c r="AB466" i="30"/>
  <c r="AB467" i="30"/>
  <c r="AB468" i="30"/>
  <c r="AB469" i="30"/>
  <c r="AB470" i="30"/>
  <c r="AB471" i="30"/>
  <c r="AB472" i="30"/>
  <c r="AB473" i="30"/>
  <c r="AB474" i="30"/>
  <c r="AB475" i="30"/>
  <c r="AB476" i="30"/>
  <c r="AB477" i="30"/>
  <c r="AB478" i="30"/>
  <c r="AB479" i="30"/>
  <c r="AB480" i="30"/>
  <c r="AB481" i="30"/>
  <c r="AB482" i="30"/>
  <c r="AB483" i="30"/>
  <c r="AB484" i="30"/>
  <c r="AB485" i="30"/>
  <c r="AB486" i="30"/>
  <c r="AB487" i="30"/>
  <c r="AB488" i="30"/>
  <c r="AB489" i="30"/>
  <c r="AB490" i="30"/>
  <c r="AB491" i="30"/>
  <c r="AB492" i="30"/>
  <c r="AB493" i="30"/>
  <c r="AB494" i="30"/>
  <c r="AB495" i="30"/>
  <c r="AB496" i="30"/>
  <c r="AB497" i="30"/>
  <c r="AB498" i="30"/>
  <c r="AB499" i="30"/>
  <c r="AB500" i="30"/>
  <c r="AB501" i="30"/>
  <c r="AB502" i="30"/>
  <c r="AB503" i="30"/>
  <c r="AB504" i="30"/>
  <c r="AB505" i="30"/>
  <c r="AB506" i="30"/>
  <c r="AB507" i="30"/>
  <c r="AB508" i="30"/>
  <c r="AB509" i="30"/>
  <c r="AB510" i="30"/>
  <c r="AB511" i="30"/>
  <c r="AB512" i="30"/>
  <c r="AB513" i="30"/>
  <c r="AB514" i="30"/>
  <c r="AB515" i="30"/>
  <c r="AB516" i="30"/>
  <c r="AB517" i="30"/>
  <c r="AB518" i="30"/>
  <c r="AB519" i="30"/>
  <c r="AB520" i="30"/>
  <c r="AB521" i="30"/>
  <c r="AB522" i="30"/>
  <c r="AB523" i="30"/>
  <c r="AB524" i="30"/>
  <c r="AB525" i="30"/>
  <c r="AB526" i="30"/>
  <c r="AB527" i="30"/>
  <c r="AB528" i="30"/>
  <c r="AB529" i="30"/>
  <c r="AB530" i="30"/>
  <c r="AB531" i="30"/>
  <c r="AB532" i="30"/>
  <c r="AB533" i="30"/>
  <c r="AB534" i="30"/>
  <c r="AB535" i="30"/>
  <c r="AB536" i="30"/>
  <c r="AB537" i="30"/>
  <c r="AB538" i="30"/>
  <c r="AB539" i="30"/>
  <c r="AB540" i="30"/>
  <c r="AB541" i="30"/>
  <c r="AB542" i="30"/>
  <c r="AB543" i="30"/>
  <c r="AB544" i="30"/>
  <c r="AB545" i="30"/>
  <c r="AB546" i="30"/>
  <c r="AB547" i="30"/>
  <c r="AB548" i="30"/>
  <c r="AB549" i="30"/>
  <c r="AB550" i="30"/>
  <c r="AB551" i="30"/>
  <c r="AB552" i="30"/>
  <c r="AB553" i="30"/>
  <c r="AB554" i="30"/>
  <c r="AB555" i="30"/>
  <c r="AB556" i="30"/>
  <c r="AB557" i="30"/>
  <c r="AB558" i="30"/>
  <c r="AB559" i="30"/>
  <c r="AB560" i="30"/>
  <c r="AB561" i="30"/>
  <c r="AB562" i="30"/>
  <c r="AB563" i="30"/>
  <c r="AB564" i="30"/>
  <c r="AB565" i="30"/>
  <c r="AB566" i="30"/>
  <c r="AB567" i="30"/>
  <c r="AB568" i="30"/>
  <c r="AB569" i="30"/>
  <c r="AB570" i="30"/>
  <c r="AB571" i="30"/>
  <c r="AB572" i="30"/>
  <c r="AB573" i="30"/>
  <c r="AB574" i="30"/>
  <c r="AB575" i="30"/>
  <c r="AB576" i="30"/>
  <c r="AB577" i="30"/>
  <c r="AB578" i="30"/>
  <c r="AB579" i="30"/>
  <c r="AB580" i="30"/>
  <c r="AB581" i="30"/>
  <c r="AB582" i="30"/>
  <c r="AB583" i="30"/>
  <c r="AB584" i="30"/>
  <c r="AB585" i="30"/>
  <c r="AB586" i="30"/>
  <c r="AB587" i="30"/>
  <c r="AB588" i="30"/>
  <c r="AB589" i="30"/>
  <c r="AB590" i="30"/>
  <c r="AB591" i="30"/>
  <c r="AB592" i="30"/>
  <c r="AB593" i="30"/>
  <c r="AB594" i="30"/>
  <c r="AB595" i="30"/>
  <c r="AB596" i="30"/>
  <c r="AB597" i="30"/>
  <c r="AB598" i="30"/>
  <c r="AB599" i="30"/>
  <c r="AB600" i="30"/>
  <c r="AB601" i="30"/>
  <c r="AB602" i="30"/>
  <c r="AB603" i="30"/>
  <c r="AB604" i="30"/>
  <c r="AB605" i="30"/>
  <c r="AB606" i="30"/>
  <c r="AB607" i="30"/>
  <c r="AB608" i="30"/>
  <c r="AB609" i="30"/>
  <c r="AB610" i="30"/>
  <c r="AB611" i="30"/>
  <c r="AB612" i="30"/>
  <c r="AB613" i="30"/>
  <c r="AB614" i="30"/>
  <c r="AB615" i="30"/>
  <c r="AB616" i="30"/>
  <c r="AB617" i="30"/>
  <c r="AB618" i="30"/>
  <c r="AB619" i="30"/>
  <c r="AB620" i="30"/>
  <c r="AB621" i="30"/>
  <c r="AB622" i="30"/>
  <c r="AB623" i="30"/>
  <c r="AB624" i="30"/>
  <c r="AB625" i="30"/>
  <c r="AB626" i="30"/>
  <c r="AB627" i="30"/>
  <c r="AB628" i="30"/>
  <c r="AB629" i="30"/>
  <c r="AB630" i="30"/>
  <c r="AB631" i="30"/>
  <c r="AB632" i="30"/>
  <c r="AB633" i="30"/>
  <c r="AB634" i="30"/>
  <c r="AB635" i="30"/>
  <c r="AB636" i="30"/>
  <c r="AB637" i="30"/>
  <c r="AB638" i="30"/>
  <c r="AB639" i="30"/>
  <c r="AB640" i="30"/>
  <c r="AB641" i="30"/>
  <c r="AB642" i="30"/>
  <c r="AB643" i="30"/>
  <c r="AB644" i="30"/>
  <c r="AB645" i="30"/>
  <c r="AB646" i="30"/>
  <c r="AB647" i="30"/>
  <c r="AB648" i="30"/>
  <c r="AB649" i="30"/>
  <c r="AB650" i="30"/>
  <c r="AB651" i="30"/>
  <c r="AB652" i="30"/>
  <c r="AB653" i="30"/>
  <c r="AB654" i="30"/>
  <c r="AB655" i="30"/>
  <c r="AB656" i="30"/>
  <c r="AB657" i="30"/>
  <c r="AB658" i="30"/>
  <c r="AB659" i="30"/>
  <c r="AB660" i="30"/>
  <c r="AB661" i="30"/>
  <c r="AB662" i="30"/>
  <c r="AB663" i="30"/>
  <c r="AB664" i="30"/>
  <c r="AB665" i="30"/>
  <c r="AB666" i="30"/>
  <c r="AB667" i="30"/>
  <c r="AB668" i="30"/>
  <c r="AB669" i="30"/>
  <c r="AB670" i="30"/>
  <c r="AB671" i="30"/>
  <c r="AB672" i="30"/>
  <c r="AB673" i="30"/>
  <c r="AB674" i="30"/>
  <c r="AB675" i="30"/>
  <c r="AB676" i="30"/>
  <c r="AB677" i="30"/>
  <c r="AB678" i="30"/>
  <c r="AB679" i="30"/>
  <c r="AB680" i="30"/>
  <c r="AB681" i="30"/>
  <c r="AB682" i="30"/>
  <c r="AB683" i="30"/>
  <c r="AB684" i="30"/>
  <c r="AB685" i="30"/>
  <c r="AB686" i="30"/>
  <c r="AB687" i="30"/>
  <c r="AB688" i="30"/>
  <c r="AB689" i="30"/>
  <c r="AB690" i="30"/>
  <c r="AB691" i="30"/>
  <c r="AB692" i="30"/>
  <c r="AB693" i="30"/>
  <c r="AB694" i="30"/>
  <c r="AB695" i="30"/>
  <c r="AB696" i="30"/>
  <c r="AB697" i="30"/>
  <c r="AB698" i="30"/>
  <c r="AB699" i="30"/>
  <c r="AB700" i="30"/>
  <c r="AB701" i="30"/>
  <c r="AB702" i="30"/>
  <c r="AB703" i="30"/>
  <c r="AB704" i="30"/>
  <c r="AB705" i="30"/>
  <c r="AB706" i="30"/>
  <c r="AB707" i="30"/>
  <c r="AB708" i="30"/>
  <c r="AB709" i="30"/>
  <c r="AB710" i="30"/>
  <c r="AB711" i="30"/>
  <c r="AB712" i="30"/>
  <c r="AB713" i="30"/>
  <c r="AB714" i="30"/>
  <c r="AB715" i="30"/>
  <c r="AB716" i="30"/>
  <c r="AB717" i="30"/>
  <c r="AB718" i="30"/>
  <c r="AB719" i="30"/>
  <c r="AB720" i="30"/>
  <c r="AB721" i="30"/>
  <c r="AB722" i="30"/>
  <c r="AB723" i="30"/>
  <c r="AB724" i="30"/>
  <c r="AB725" i="30"/>
  <c r="AB726" i="30"/>
  <c r="AB727" i="30"/>
  <c r="AB728" i="30"/>
  <c r="AB729" i="30"/>
  <c r="AB730" i="30"/>
  <c r="AB731" i="30"/>
  <c r="AB732" i="30"/>
  <c r="AB733" i="30"/>
  <c r="AB734" i="30"/>
  <c r="AB735" i="30"/>
  <c r="AB736" i="30"/>
  <c r="AB737" i="30"/>
  <c r="AB738" i="30"/>
  <c r="AB739" i="30"/>
  <c r="AB740" i="30"/>
  <c r="AB741" i="30"/>
  <c r="AB742" i="30"/>
  <c r="AB743" i="30"/>
  <c r="AB744" i="30"/>
  <c r="AB745" i="30"/>
  <c r="AB746" i="30"/>
  <c r="AB747" i="30"/>
  <c r="AB748" i="30"/>
  <c r="AB749" i="30"/>
  <c r="AB750" i="30"/>
  <c r="AB751" i="30"/>
  <c r="AB752" i="30"/>
  <c r="AB753" i="30"/>
  <c r="AB754" i="30"/>
  <c r="AB755" i="30"/>
  <c r="AB756" i="30"/>
  <c r="AB757" i="30"/>
  <c r="AB758" i="30"/>
  <c r="AB759" i="30"/>
  <c r="AB760" i="30"/>
  <c r="AB761" i="30"/>
  <c r="AB762" i="30"/>
  <c r="AB763" i="30"/>
  <c r="AB764" i="30"/>
  <c r="AB765" i="30"/>
  <c r="AB766" i="30"/>
  <c r="AB767" i="30"/>
  <c r="AB768" i="30"/>
  <c r="AB769" i="30"/>
  <c r="AB770" i="30"/>
  <c r="AB771" i="30"/>
  <c r="AB772" i="30"/>
  <c r="AB773" i="30"/>
  <c r="AB774" i="30"/>
  <c r="AB775" i="30"/>
  <c r="AB776" i="30"/>
  <c r="AB777" i="30"/>
  <c r="AB778" i="30"/>
  <c r="AB779" i="30"/>
  <c r="AB780" i="30"/>
  <c r="AB781" i="30"/>
  <c r="AB782" i="30"/>
  <c r="AB783" i="30"/>
  <c r="AB784" i="30"/>
  <c r="AB785" i="30"/>
  <c r="AB786" i="30"/>
  <c r="AB787" i="30"/>
  <c r="AB788" i="30"/>
  <c r="AB789" i="30"/>
  <c r="AB790" i="30"/>
  <c r="AB791" i="30"/>
  <c r="AB792" i="30"/>
  <c r="AB793" i="30"/>
  <c r="AB794" i="30"/>
  <c r="AB795" i="30"/>
  <c r="AB796" i="30"/>
  <c r="AB797" i="30"/>
  <c r="AB798" i="30"/>
  <c r="AB799" i="30"/>
  <c r="AB800" i="30"/>
  <c r="AB801" i="30"/>
  <c r="AB802" i="30"/>
  <c r="AB803" i="30"/>
  <c r="AB804" i="30"/>
  <c r="AB805" i="30"/>
  <c r="AB806" i="30"/>
  <c r="AB807" i="30"/>
  <c r="AB808" i="30"/>
  <c r="AB809" i="30"/>
  <c r="AB810" i="30"/>
  <c r="AB811" i="30"/>
  <c r="AB812" i="30"/>
  <c r="AB813" i="30"/>
  <c r="AB814" i="30"/>
  <c r="AB815" i="30"/>
  <c r="AB816" i="30"/>
  <c r="AB817" i="30"/>
  <c r="AB818" i="30"/>
  <c r="AB819" i="30"/>
  <c r="AB820" i="30"/>
  <c r="AB821" i="30"/>
  <c r="AB822" i="30"/>
  <c r="AB823" i="30"/>
  <c r="AB824" i="30"/>
  <c r="AB825" i="30"/>
  <c r="AB826" i="30"/>
  <c r="AB827" i="30"/>
  <c r="AB828" i="30"/>
  <c r="AB829" i="30"/>
  <c r="AB830" i="30"/>
  <c r="AB831" i="30"/>
  <c r="AB832" i="30"/>
  <c r="AB833" i="30"/>
  <c r="AB834" i="30"/>
  <c r="AB835" i="30"/>
  <c r="AB836" i="30"/>
  <c r="AB837" i="30"/>
  <c r="AB838" i="30"/>
  <c r="AB839" i="30"/>
  <c r="AB840" i="30"/>
  <c r="AB841" i="30"/>
  <c r="AB842" i="30"/>
  <c r="AB843" i="30"/>
  <c r="AB844" i="30"/>
  <c r="AB845" i="30"/>
  <c r="AB846" i="30"/>
  <c r="AB847" i="30"/>
  <c r="AB848" i="30"/>
  <c r="AB849" i="30"/>
  <c r="AB850" i="30"/>
  <c r="AB851" i="30"/>
  <c r="AB852" i="30"/>
  <c r="AB853" i="30"/>
  <c r="AB854" i="30"/>
  <c r="AB855" i="30"/>
  <c r="AB856" i="30"/>
  <c r="AB857" i="30"/>
  <c r="AB858" i="30"/>
  <c r="AB859" i="30"/>
  <c r="AB860" i="30"/>
  <c r="AB861" i="30"/>
  <c r="AB862" i="30"/>
  <c r="AB863" i="30"/>
  <c r="AB864" i="30"/>
  <c r="AB865" i="30"/>
  <c r="AB866" i="30"/>
  <c r="AB867" i="30"/>
  <c r="AB868" i="30"/>
  <c r="AB869" i="30"/>
  <c r="AB870" i="30"/>
  <c r="AB871" i="30"/>
  <c r="AB872" i="30"/>
  <c r="AB873" i="30"/>
  <c r="AB874" i="30"/>
  <c r="AB875" i="30"/>
  <c r="AB876" i="30"/>
  <c r="AB877" i="30"/>
  <c r="AB878" i="30"/>
  <c r="AB879" i="30"/>
  <c r="AB880" i="30"/>
  <c r="AB881" i="30"/>
  <c r="AB882" i="30"/>
  <c r="AB883" i="30"/>
  <c r="AB884" i="30"/>
  <c r="AB885" i="30"/>
  <c r="AB886" i="30"/>
  <c r="AB887" i="30"/>
  <c r="AB888" i="30"/>
  <c r="AB889" i="30"/>
  <c r="AB890" i="30"/>
  <c r="AB891" i="30"/>
  <c r="AB892" i="30"/>
  <c r="AB893" i="30"/>
  <c r="AB894" i="30"/>
  <c r="AB895" i="30"/>
  <c r="AB896" i="30"/>
  <c r="AB897" i="30"/>
  <c r="AB898" i="30"/>
  <c r="AB899" i="30"/>
  <c r="AB900" i="30"/>
  <c r="AB901" i="30"/>
  <c r="AB902" i="30"/>
  <c r="AB903" i="30"/>
  <c r="AB904" i="30"/>
  <c r="AB905" i="30"/>
  <c r="AB906" i="30"/>
  <c r="AB907" i="30"/>
  <c r="AB908" i="30"/>
  <c r="AB909" i="30"/>
  <c r="AB910" i="30"/>
  <c r="AB911" i="30"/>
  <c r="AB912" i="30"/>
  <c r="AB913" i="30"/>
  <c r="AB914" i="30"/>
  <c r="AB915" i="30"/>
  <c r="AB916" i="30"/>
  <c r="AB917" i="30"/>
  <c r="AB918" i="30"/>
  <c r="AB919" i="30"/>
  <c r="AB920" i="30"/>
  <c r="AB921" i="30"/>
  <c r="AB922" i="30"/>
  <c r="AB923" i="30"/>
  <c r="AB924" i="30"/>
  <c r="AB925" i="30"/>
  <c r="AB926" i="30"/>
  <c r="AB927" i="30"/>
  <c r="AB928" i="30"/>
  <c r="AB929" i="30"/>
  <c r="AB930" i="30"/>
  <c r="AB931" i="30"/>
  <c r="AB932" i="30"/>
  <c r="AB933" i="30"/>
  <c r="AB934" i="30"/>
  <c r="AB935" i="30"/>
  <c r="AB936" i="30"/>
  <c r="AB937" i="30"/>
  <c r="AB938" i="30"/>
  <c r="AB939" i="30"/>
  <c r="AB940" i="30"/>
  <c r="AB941" i="30"/>
  <c r="AB942" i="30"/>
  <c r="AB943" i="30"/>
  <c r="AB944" i="30"/>
  <c r="AB945" i="30"/>
  <c r="AB946" i="30"/>
  <c r="AB947" i="30"/>
  <c r="AB948" i="30"/>
  <c r="AB949" i="30"/>
  <c r="AB950" i="30"/>
  <c r="AB951" i="30"/>
  <c r="AB952" i="30"/>
  <c r="AB953" i="30"/>
  <c r="AB954" i="30"/>
  <c r="AB955" i="30"/>
  <c r="AB956" i="30"/>
  <c r="AB957" i="30"/>
  <c r="AB958" i="30"/>
  <c r="AB959" i="30"/>
  <c r="AB960" i="30"/>
  <c r="AB961" i="30"/>
  <c r="AB962" i="30"/>
  <c r="AB963" i="30"/>
  <c r="AB964" i="30"/>
  <c r="AB965" i="30"/>
  <c r="AB966" i="30"/>
  <c r="AB967" i="30"/>
  <c r="AB968" i="30"/>
  <c r="AB969" i="30"/>
  <c r="AB970" i="30"/>
  <c r="AB971" i="30"/>
  <c r="AB972" i="30"/>
  <c r="AB973" i="30"/>
  <c r="AB974" i="30"/>
  <c r="AB975" i="30"/>
  <c r="AB976" i="30"/>
  <c r="AB977" i="30"/>
  <c r="AB978" i="30"/>
  <c r="AB979" i="30"/>
  <c r="AB980" i="30"/>
  <c r="AB981" i="30"/>
  <c r="AB982" i="30"/>
  <c r="AB983" i="30"/>
  <c r="AB984" i="30"/>
  <c r="AB985" i="30"/>
  <c r="AB986" i="30"/>
  <c r="AB987" i="30"/>
  <c r="AB988" i="30"/>
  <c r="AB989" i="30"/>
  <c r="AB990" i="30"/>
  <c r="AB991" i="30"/>
  <c r="AB992" i="30"/>
  <c r="AB993" i="30"/>
  <c r="AB994" i="30"/>
  <c r="AB995" i="30"/>
  <c r="AB996" i="30"/>
  <c r="AB997" i="30"/>
  <c r="AB998" i="30"/>
  <c r="AB999" i="30"/>
  <c r="AB1000" i="30"/>
  <c r="AB2" i="30"/>
  <c r="E13" i="23"/>
  <c r="AA1" i="21"/>
  <c r="A14" i="37"/>
  <c r="C48" i="37"/>
  <c r="A14" i="36"/>
  <c r="D4" i="21"/>
  <c r="D3" i="21"/>
  <c r="D2" i="21"/>
  <c r="C48" i="36"/>
  <c r="C21" i="36"/>
  <c r="A11" i="37"/>
  <c r="C18" i="37"/>
  <c r="A2" i="37"/>
  <c r="C15" i="37"/>
  <c r="A11" i="36"/>
  <c r="C18" i="36"/>
  <c r="A2" i="36"/>
  <c r="C15" i="36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3" i="27"/>
  <c r="AC4" i="27"/>
  <c r="AC2" i="27"/>
  <c r="Z2" i="27"/>
  <c r="E69" i="23"/>
  <c r="H11" i="21" s="1"/>
  <c r="F12" i="20" s="1"/>
  <c r="C12" i="20" s="1"/>
  <c r="E67" i="23"/>
  <c r="E66" i="23"/>
  <c r="B8" i="21"/>
  <c r="E62" i="23"/>
  <c r="E53" i="23"/>
  <c r="E35" i="23"/>
  <c r="E34" i="23"/>
  <c r="S22" i="27" s="1"/>
  <c r="E33" i="23"/>
  <c r="E32" i="23"/>
  <c r="E31" i="23"/>
  <c r="E30" i="23"/>
  <c r="E21" i="23"/>
  <c r="C47" i="24"/>
  <c r="E26" i="23" s="1"/>
  <c r="E17" i="23"/>
  <c r="E12" i="23"/>
  <c r="E11" i="23"/>
  <c r="Q22" i="27" s="1"/>
  <c r="E10" i="23"/>
  <c r="E79" i="21" s="1"/>
  <c r="O21" i="17"/>
  <c r="E52" i="23"/>
  <c r="E18" i="23"/>
  <c r="E81" i="21" s="1"/>
  <c r="O18" i="17"/>
  <c r="P21" i="17"/>
  <c r="C122" i="35" s="1"/>
  <c r="P22" i="17"/>
  <c r="P23" i="17" s="1"/>
  <c r="K13" i="33"/>
  <c r="K14" i="33"/>
  <c r="K21" i="33"/>
  <c r="K22" i="33"/>
  <c r="K9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C21" i="21"/>
  <c r="C14" i="21"/>
  <c r="C37" i="21"/>
  <c r="C28" i="21"/>
  <c r="B11" i="21"/>
  <c r="C11" i="21"/>
  <c r="B9" i="21"/>
  <c r="B10" i="21"/>
  <c r="C10" i="21" s="1"/>
  <c r="AE5" i="21"/>
  <c r="E87" i="21"/>
  <c r="B6" i="21"/>
  <c r="B5" i="21"/>
  <c r="E85" i="21"/>
  <c r="B4" i="21"/>
  <c r="E83" i="21" s="1"/>
  <c r="B3" i="21"/>
  <c r="E80" i="21" s="1"/>
  <c r="B2" i="21"/>
  <c r="E76" i="21" s="1"/>
  <c r="E77" i="21"/>
  <c r="E86" i="21"/>
  <c r="E178" i="23"/>
  <c r="E38" i="23"/>
  <c r="E36" i="23"/>
  <c r="E29" i="23"/>
  <c r="E28" i="23"/>
  <c r="E27" i="23"/>
  <c r="E24" i="23"/>
  <c r="E23" i="23"/>
  <c r="E9" i="23"/>
  <c r="E8" i="23"/>
  <c r="E89" i="21"/>
  <c r="AD5" i="21" s="1"/>
  <c r="C53" i="21"/>
  <c r="C61" i="21"/>
  <c r="C24" i="21"/>
  <c r="F60" i="20"/>
  <c r="C60" i="20"/>
  <c r="F47" i="20"/>
  <c r="C47" i="20"/>
  <c r="F33" i="20"/>
  <c r="C33" i="20"/>
  <c r="F21" i="20"/>
  <c r="C21" i="20"/>
  <c r="E88" i="21"/>
  <c r="E74" i="21"/>
  <c r="E73" i="21"/>
  <c r="E68" i="21"/>
  <c r="C60" i="21"/>
  <c r="C52" i="21"/>
  <c r="F44" i="20"/>
  <c r="C44" i="20"/>
  <c r="F58" i="20"/>
  <c r="C58" i="20"/>
  <c r="B42" i="21"/>
  <c r="C42" i="21" s="1"/>
  <c r="AL5" i="21" s="1"/>
  <c r="B45" i="21"/>
  <c r="C45" i="21" s="1"/>
  <c r="I14" i="39" s="1"/>
  <c r="J14" i="39" s="1"/>
  <c r="J19" i="26" a="1"/>
  <c r="J19" i="26" s="1"/>
  <c r="L19" i="26" s="1"/>
  <c r="I19" i="26" a="1"/>
  <c r="I19" i="26" s="1"/>
  <c r="K19" i="26" s="1"/>
  <c r="C31" i="20"/>
  <c r="F30" i="20"/>
  <c r="F29" i="20"/>
  <c r="C29" i="20"/>
  <c r="C30" i="20"/>
  <c r="C23" i="21"/>
  <c r="E69" i="21"/>
  <c r="E70" i="21"/>
  <c r="E71" i="21"/>
  <c r="E75" i="21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4" i="27"/>
  <c r="F19" i="20"/>
  <c r="C19" i="20"/>
  <c r="E174" i="23"/>
  <c r="E170" i="23"/>
  <c r="E172" i="23"/>
  <c r="C57" i="21"/>
  <c r="C56" i="21"/>
  <c r="C49" i="21"/>
  <c r="C48" i="21"/>
  <c r="C29" i="21"/>
  <c r="C22" i="21"/>
  <c r="C15" i="21"/>
  <c r="C20" i="21"/>
  <c r="C27" i="21"/>
  <c r="B7" i="39" s="1"/>
  <c r="B65" i="21"/>
  <c r="C65" i="21" s="1"/>
  <c r="B64" i="21"/>
  <c r="C64" i="21" s="1"/>
  <c r="F24" i="20"/>
  <c r="T14" i="28"/>
  <c r="AE2" i="27"/>
  <c r="AF2" i="27" s="1"/>
  <c r="AE3" i="27"/>
  <c r="AF3" i="27" s="1"/>
  <c r="AE4" i="27"/>
  <c r="AF4" i="27" s="1"/>
  <c r="AE5" i="27"/>
  <c r="AF5" i="27" s="1"/>
  <c r="AE6" i="27"/>
  <c r="AF6" i="27" s="1"/>
  <c r="AG6" i="27" s="1"/>
  <c r="AI6" i="27" s="1"/>
  <c r="AE7" i="27"/>
  <c r="AF7" i="27" s="1"/>
  <c r="AE8" i="27"/>
  <c r="AF8" i="27" s="1"/>
  <c r="AG8" i="27" s="1"/>
  <c r="AI8" i="27" s="1"/>
  <c r="AE9" i="27"/>
  <c r="AF9" i="27" s="1"/>
  <c r="AG9" i="27" s="1"/>
  <c r="AI9" i="27" s="1"/>
  <c r="AE10" i="27"/>
  <c r="AF10" i="27" s="1"/>
  <c r="AG10" i="27" s="1"/>
  <c r="AI10" i="27" s="1"/>
  <c r="AE11" i="27"/>
  <c r="AF11" i="27" s="1"/>
  <c r="AG11" i="27" s="1"/>
  <c r="AI11" i="27" s="1"/>
  <c r="AE12" i="27"/>
  <c r="AF12" i="27" s="1"/>
  <c r="AE13" i="27"/>
  <c r="AF13" i="27" s="1"/>
  <c r="AG13" i="27" s="1"/>
  <c r="AI13" i="27" s="1"/>
  <c r="AE14" i="27"/>
  <c r="AF14" i="27" s="1"/>
  <c r="AG14" i="27" s="1"/>
  <c r="AI14" i="27" s="1"/>
  <c r="AE15" i="27"/>
  <c r="AF15" i="27" s="1"/>
  <c r="AE16" i="27"/>
  <c r="AF16" i="27" s="1"/>
  <c r="AG16" i="27" s="1"/>
  <c r="AI16" i="27" s="1"/>
  <c r="AE17" i="27"/>
  <c r="AF17" i="27" s="1"/>
  <c r="AG17" i="27" s="1"/>
  <c r="AI17" i="27" s="1"/>
  <c r="AE18" i="27"/>
  <c r="AF18" i="27" s="1"/>
  <c r="AE19" i="27"/>
  <c r="AF19" i="27" s="1"/>
  <c r="AG19" i="27" s="1"/>
  <c r="AI19" i="27" s="1"/>
  <c r="AE20" i="27"/>
  <c r="AF20" i="27" s="1"/>
  <c r="AE21" i="27"/>
  <c r="AF21" i="27" s="1"/>
  <c r="AG21" i="27" s="1"/>
  <c r="AI21" i="27" s="1"/>
  <c r="AE22" i="27"/>
  <c r="AF22" i="27" s="1"/>
  <c r="AG22" i="27" s="1"/>
  <c r="AI22" i="27" s="1"/>
  <c r="AE23" i="27"/>
  <c r="AF23" i="27" s="1"/>
  <c r="AG23" i="27" s="1"/>
  <c r="AI23" i="27" s="1"/>
  <c r="AE24" i="27"/>
  <c r="AF24" i="27" s="1"/>
  <c r="AG24" i="27" s="1"/>
  <c r="AI24" i="27" s="1"/>
  <c r="AE25" i="27"/>
  <c r="AF25" i="27" s="1"/>
  <c r="AG25" i="27" s="1"/>
  <c r="AI25" i="27" s="1"/>
  <c r="AE26" i="27"/>
  <c r="AF26" i="27" s="1"/>
  <c r="AG26" i="27" s="1"/>
  <c r="AI26" i="27" s="1"/>
  <c r="AE27" i="27"/>
  <c r="AF27" i="27" s="1"/>
  <c r="AG27" i="27" s="1"/>
  <c r="AI27" i="27" s="1"/>
  <c r="AE28" i="27"/>
  <c r="AF28" i="27" s="1"/>
  <c r="AG28" i="27" s="1"/>
  <c r="AI28" i="27" s="1"/>
  <c r="AE29" i="27"/>
  <c r="AF29" i="27" s="1"/>
  <c r="AG29" i="27" s="1"/>
  <c r="AI29" i="27" s="1"/>
  <c r="AE30" i="27"/>
  <c r="AF30" i="27" s="1"/>
  <c r="AG30" i="27" s="1"/>
  <c r="AI30" i="27" s="1"/>
  <c r="AE31" i="27"/>
  <c r="AF31" i="27" s="1"/>
  <c r="AG31" i="27" s="1"/>
  <c r="AI31" i="27" s="1"/>
  <c r="AE32" i="27"/>
  <c r="AF32" i="27" s="1"/>
  <c r="AG32" i="27" s="1"/>
  <c r="AI32" i="27" s="1"/>
  <c r="AE33" i="27"/>
  <c r="AF33" i="27" s="1"/>
  <c r="AG33" i="27" s="1"/>
  <c r="AI33" i="27" s="1"/>
  <c r="AE34" i="27"/>
  <c r="AF34" i="27" s="1"/>
  <c r="AE35" i="27"/>
  <c r="AF35" i="27" s="1"/>
  <c r="AG35" i="27" s="1"/>
  <c r="AI35" i="27" s="1"/>
  <c r="AE36" i="27"/>
  <c r="AF36" i="27" s="1"/>
  <c r="AG36" i="27" s="1"/>
  <c r="AI36" i="27" s="1"/>
  <c r="AE37" i="27"/>
  <c r="AF37" i="27" s="1"/>
  <c r="AE38" i="27"/>
  <c r="AF38" i="27" s="1"/>
  <c r="AG38" i="27" s="1"/>
  <c r="AI38" i="27" s="1"/>
  <c r="AE39" i="27"/>
  <c r="AF39" i="27" s="1"/>
  <c r="AG39" i="27" s="1"/>
  <c r="AI39" i="27" s="1"/>
  <c r="AE40" i="27"/>
  <c r="AF40" i="27" s="1"/>
  <c r="AG40" i="27" s="1"/>
  <c r="AI40" i="27" s="1"/>
  <c r="AE41" i="27"/>
  <c r="AF41" i="27" s="1"/>
  <c r="AG41" i="27" s="1"/>
  <c r="AI41" i="27" s="1"/>
  <c r="AE42" i="27"/>
  <c r="AF42" i="27" s="1"/>
  <c r="AG42" i="27" s="1"/>
  <c r="AI42" i="27" s="1"/>
  <c r="AE43" i="27"/>
  <c r="AF43" i="27" s="1"/>
  <c r="AE44" i="27"/>
  <c r="AF44" i="27" s="1"/>
  <c r="AE45" i="27"/>
  <c r="AF45" i="27" s="1"/>
  <c r="AG45" i="27" s="1"/>
  <c r="AI45" i="27" s="1"/>
  <c r="AE46" i="27"/>
  <c r="AF46" i="27" s="1"/>
  <c r="AG46" i="27" s="1"/>
  <c r="AI46" i="27" s="1"/>
  <c r="AE47" i="27"/>
  <c r="AF47" i="27" s="1"/>
  <c r="AG47" i="27" s="1"/>
  <c r="AI47" i="27" s="1"/>
  <c r="AE48" i="27"/>
  <c r="AF48" i="27" s="1"/>
  <c r="AE49" i="27"/>
  <c r="AF49" i="27" s="1"/>
  <c r="AG49" i="27" s="1"/>
  <c r="AI49" i="27" s="1"/>
  <c r="AE50" i="27"/>
  <c r="AF50" i="27" s="1"/>
  <c r="AG50" i="27" s="1"/>
  <c r="AI50" i="27" s="1"/>
  <c r="AE51" i="27"/>
  <c r="AF51" i="27" s="1"/>
  <c r="AG51" i="27" s="1"/>
  <c r="AI51" i="27" s="1"/>
  <c r="J59" i="20"/>
  <c r="J46" i="20"/>
  <c r="J27" i="20"/>
  <c r="J63" i="20" s="1"/>
  <c r="F62" i="20"/>
  <c r="I62" i="20"/>
  <c r="C62" i="20" s="1"/>
  <c r="B58" i="21"/>
  <c r="B50" i="21"/>
  <c r="P6" i="28"/>
  <c r="Q6" i="28" s="1"/>
  <c r="T14" i="30"/>
  <c r="P6" i="30"/>
  <c r="R6" i="30" s="1"/>
  <c r="R18" i="30" s="1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N737" i="30"/>
  <c r="N738" i="30"/>
  <c r="N739" i="30"/>
  <c r="N740" i="30"/>
  <c r="N741" i="30"/>
  <c r="N742" i="30"/>
  <c r="N743" i="30"/>
  <c r="N744" i="30"/>
  <c r="N745" i="30"/>
  <c r="N746" i="30"/>
  <c r="N747" i="30"/>
  <c r="N748" i="30"/>
  <c r="N749" i="30"/>
  <c r="N750" i="30"/>
  <c r="N751" i="30"/>
  <c r="N752" i="30"/>
  <c r="N753" i="30"/>
  <c r="N754" i="30"/>
  <c r="N755" i="30"/>
  <c r="N756" i="30"/>
  <c r="N757" i="30"/>
  <c r="N758" i="30"/>
  <c r="N759" i="30"/>
  <c r="N760" i="30"/>
  <c r="N761" i="30"/>
  <c r="N762" i="30"/>
  <c r="N763" i="30"/>
  <c r="N764" i="30"/>
  <c r="N765" i="30"/>
  <c r="N766" i="30"/>
  <c r="N767" i="30"/>
  <c r="N768" i="30"/>
  <c r="N769" i="30"/>
  <c r="N770" i="30"/>
  <c r="N771" i="30"/>
  <c r="N772" i="30"/>
  <c r="N773" i="30"/>
  <c r="N774" i="30"/>
  <c r="N775" i="30"/>
  <c r="N776" i="30"/>
  <c r="N777" i="30"/>
  <c r="N778" i="30"/>
  <c r="N779" i="30"/>
  <c r="N780" i="30"/>
  <c r="N781" i="30"/>
  <c r="N782" i="30"/>
  <c r="N783" i="30"/>
  <c r="N784" i="30"/>
  <c r="N785" i="30"/>
  <c r="N786" i="30"/>
  <c r="N787" i="30"/>
  <c r="N788" i="30"/>
  <c r="N789" i="30"/>
  <c r="N790" i="30"/>
  <c r="N791" i="30"/>
  <c r="N792" i="30"/>
  <c r="N793" i="30"/>
  <c r="N794" i="30"/>
  <c r="N795" i="30"/>
  <c r="N796" i="30"/>
  <c r="N797" i="30"/>
  <c r="N798" i="30"/>
  <c r="N799" i="30"/>
  <c r="N800" i="30"/>
  <c r="N801" i="30"/>
  <c r="N802" i="30"/>
  <c r="N803" i="30"/>
  <c r="N804" i="30"/>
  <c r="N805" i="30"/>
  <c r="N806" i="30"/>
  <c r="N807" i="30"/>
  <c r="N808" i="30"/>
  <c r="N809" i="30"/>
  <c r="N810" i="30"/>
  <c r="N811" i="30"/>
  <c r="N812" i="30"/>
  <c r="N813" i="30"/>
  <c r="N814" i="30"/>
  <c r="N815" i="30"/>
  <c r="N816" i="30"/>
  <c r="N817" i="30"/>
  <c r="N818" i="30"/>
  <c r="N819" i="30"/>
  <c r="N820" i="30"/>
  <c r="N821" i="30"/>
  <c r="N822" i="30"/>
  <c r="N823" i="30"/>
  <c r="N824" i="30"/>
  <c r="N825" i="30"/>
  <c r="N826" i="30"/>
  <c r="N827" i="30"/>
  <c r="N828" i="30"/>
  <c r="N829" i="30"/>
  <c r="N830" i="30"/>
  <c r="N831" i="30"/>
  <c r="N832" i="30"/>
  <c r="N833" i="30"/>
  <c r="N834" i="30"/>
  <c r="N835" i="30"/>
  <c r="N836" i="30"/>
  <c r="N837" i="30"/>
  <c r="N838" i="30"/>
  <c r="N839" i="30"/>
  <c r="N840" i="30"/>
  <c r="N841" i="30"/>
  <c r="N842" i="30"/>
  <c r="N843" i="30"/>
  <c r="N844" i="30"/>
  <c r="N845" i="30"/>
  <c r="N846" i="30"/>
  <c r="N847" i="30"/>
  <c r="N848" i="30"/>
  <c r="N849" i="30"/>
  <c r="N850" i="30"/>
  <c r="N851" i="30"/>
  <c r="N852" i="30"/>
  <c r="N853" i="30"/>
  <c r="N854" i="30"/>
  <c r="N855" i="30"/>
  <c r="N856" i="30"/>
  <c r="N857" i="30"/>
  <c r="N858" i="30"/>
  <c r="N859" i="30"/>
  <c r="N860" i="30"/>
  <c r="N861" i="30"/>
  <c r="N862" i="30"/>
  <c r="N863" i="30"/>
  <c r="N864" i="30"/>
  <c r="N865" i="30"/>
  <c r="N866" i="30"/>
  <c r="N867" i="30"/>
  <c r="N868" i="30"/>
  <c r="N869" i="30"/>
  <c r="N870" i="30"/>
  <c r="N871" i="30"/>
  <c r="N872" i="30"/>
  <c r="N873" i="30"/>
  <c r="N874" i="30"/>
  <c r="N875" i="30"/>
  <c r="N876" i="30"/>
  <c r="N877" i="30"/>
  <c r="N878" i="30"/>
  <c r="N879" i="30"/>
  <c r="N880" i="30"/>
  <c r="N881" i="30"/>
  <c r="N882" i="30"/>
  <c r="N883" i="30"/>
  <c r="N884" i="30"/>
  <c r="N885" i="30"/>
  <c r="N886" i="30"/>
  <c r="N887" i="30"/>
  <c r="N888" i="30"/>
  <c r="N889" i="30"/>
  <c r="N890" i="30"/>
  <c r="N891" i="30"/>
  <c r="N892" i="30"/>
  <c r="N893" i="30"/>
  <c r="N894" i="30"/>
  <c r="N895" i="30"/>
  <c r="N896" i="30"/>
  <c r="N897" i="30"/>
  <c r="N898" i="30"/>
  <c r="N899" i="30"/>
  <c r="N900" i="30"/>
  <c r="N901" i="30"/>
  <c r="N902" i="30"/>
  <c r="N903" i="30"/>
  <c r="N904" i="30"/>
  <c r="N905" i="30"/>
  <c r="N906" i="30"/>
  <c r="N907" i="30"/>
  <c r="N908" i="30"/>
  <c r="N909" i="30"/>
  <c r="N910" i="30"/>
  <c r="N911" i="30"/>
  <c r="N912" i="30"/>
  <c r="N913" i="30"/>
  <c r="N914" i="30"/>
  <c r="N915" i="30"/>
  <c r="N916" i="30"/>
  <c r="N917" i="30"/>
  <c r="N918" i="30"/>
  <c r="N919" i="30"/>
  <c r="N920" i="30"/>
  <c r="N921" i="30"/>
  <c r="N922" i="30"/>
  <c r="N923" i="30"/>
  <c r="N924" i="30"/>
  <c r="N925" i="30"/>
  <c r="N926" i="30"/>
  <c r="N927" i="30"/>
  <c r="N928" i="30"/>
  <c r="N929" i="30"/>
  <c r="N930" i="30"/>
  <c r="N931" i="30"/>
  <c r="N932" i="30"/>
  <c r="N933" i="30"/>
  <c r="N934" i="30"/>
  <c r="N935" i="30"/>
  <c r="N936" i="30"/>
  <c r="N937" i="30"/>
  <c r="N938" i="30"/>
  <c r="N939" i="30"/>
  <c r="N940" i="30"/>
  <c r="N941" i="30"/>
  <c r="N942" i="30"/>
  <c r="N943" i="30"/>
  <c r="N944" i="30"/>
  <c r="N945" i="30"/>
  <c r="N946" i="30"/>
  <c r="N947" i="30"/>
  <c r="N948" i="30"/>
  <c r="N949" i="30"/>
  <c r="N950" i="30"/>
  <c r="N951" i="30"/>
  <c r="N952" i="30"/>
  <c r="N953" i="30"/>
  <c r="N954" i="30"/>
  <c r="N955" i="30"/>
  <c r="N956" i="30"/>
  <c r="N957" i="30"/>
  <c r="N958" i="30"/>
  <c r="N959" i="30"/>
  <c r="N960" i="30"/>
  <c r="N961" i="30"/>
  <c r="N962" i="30"/>
  <c r="N963" i="30"/>
  <c r="N964" i="30"/>
  <c r="N965" i="30"/>
  <c r="N966" i="30"/>
  <c r="N967" i="30"/>
  <c r="N968" i="30"/>
  <c r="N969" i="30"/>
  <c r="N970" i="30"/>
  <c r="N971" i="30"/>
  <c r="N972" i="30"/>
  <c r="N973" i="30"/>
  <c r="N974" i="30"/>
  <c r="N975" i="30"/>
  <c r="N976" i="30"/>
  <c r="N977" i="30"/>
  <c r="N978" i="30"/>
  <c r="N979" i="30"/>
  <c r="N980" i="30"/>
  <c r="N981" i="30"/>
  <c r="N982" i="30"/>
  <c r="N983" i="30"/>
  <c r="N984" i="30"/>
  <c r="N985" i="30"/>
  <c r="N986" i="30"/>
  <c r="N987" i="30"/>
  <c r="N988" i="30"/>
  <c r="N989" i="30"/>
  <c r="N990" i="30"/>
  <c r="N991" i="30"/>
  <c r="N992" i="30"/>
  <c r="N993" i="30"/>
  <c r="N994" i="30"/>
  <c r="N995" i="30"/>
  <c r="N996" i="30"/>
  <c r="N997" i="30"/>
  <c r="N998" i="30"/>
  <c r="N999" i="30"/>
  <c r="R22" i="27"/>
  <c r="P22" i="27"/>
  <c r="B43" i="21"/>
  <c r="C43" i="21" s="1"/>
  <c r="I11" i="39" s="1"/>
  <c r="J11" i="39" s="1"/>
  <c r="B44" i="21"/>
  <c r="C44" i="21" s="1"/>
  <c r="I8" i="39" s="1"/>
  <c r="J8" i="39" s="1"/>
  <c r="B40" i="21"/>
  <c r="C40" i="21" s="1"/>
  <c r="AN5" i="21" s="1"/>
  <c r="B41" i="21"/>
  <c r="C41" i="21" s="1"/>
  <c r="AM5" i="21" s="1"/>
  <c r="C19" i="21"/>
  <c r="D19" i="21" s="1"/>
  <c r="C8" i="21"/>
  <c r="E82" i="21"/>
  <c r="C9" i="21"/>
  <c r="D16" i="21"/>
  <c r="I46" i="20"/>
  <c r="C46" i="20" s="1"/>
  <c r="C24" i="20"/>
  <c r="C10" i="20"/>
  <c r="F32" i="20"/>
  <c r="F45" i="20"/>
  <c r="C45" i="20"/>
  <c r="F46" i="20"/>
  <c r="F43" i="20"/>
  <c r="C43" i="20"/>
  <c r="F59" i="20"/>
  <c r="C59" i="20"/>
  <c r="F57" i="20"/>
  <c r="C57" i="20"/>
  <c r="F55" i="20"/>
  <c r="C55" i="20"/>
  <c r="F56" i="20"/>
  <c r="C56" i="20"/>
  <c r="F54" i="20"/>
  <c r="C54" i="20"/>
  <c r="F52" i="20"/>
  <c r="C52" i="20"/>
  <c r="F53" i="20"/>
  <c r="C53" i="20"/>
  <c r="F42" i="20"/>
  <c r="C42" i="20"/>
  <c r="F41" i="20"/>
  <c r="C41" i="20"/>
  <c r="F38" i="20"/>
  <c r="C38" i="20"/>
  <c r="F39" i="20"/>
  <c r="C39" i="20"/>
  <c r="F40" i="20"/>
  <c r="C40" i="20"/>
  <c r="F17" i="20"/>
  <c r="C17" i="20"/>
  <c r="F18" i="20"/>
  <c r="C18" i="20"/>
  <c r="F20" i="20"/>
  <c r="C20" i="20"/>
  <c r="F16" i="20"/>
  <c r="C16" i="20"/>
  <c r="E168" i="23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P6" i="27"/>
  <c r="R6" i="27" s="1"/>
  <c r="R14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J70" i="27"/>
  <c r="J71" i="27"/>
  <c r="J72" i="27"/>
  <c r="F6" i="19"/>
  <c r="E176" i="23"/>
  <c r="F7" i="19"/>
  <c r="E177" i="23"/>
  <c r="E171" i="23"/>
  <c r="F27" i="20"/>
  <c r="C27" i="20"/>
  <c r="F28" i="20"/>
  <c r="C28" i="20"/>
  <c r="E49" i="20"/>
  <c r="F51" i="20"/>
  <c r="C51" i="20"/>
  <c r="F50" i="20"/>
  <c r="C50" i="20"/>
  <c r="F37" i="20"/>
  <c r="C37" i="20"/>
  <c r="F26" i="20"/>
  <c r="C26" i="20"/>
  <c r="F15" i="20"/>
  <c r="C15" i="20"/>
  <c r="F14" i="20"/>
  <c r="C14" i="20"/>
  <c r="F13" i="20"/>
  <c r="C13" i="20"/>
  <c r="F11" i="20"/>
  <c r="C11" i="20"/>
  <c r="F8" i="20"/>
  <c r="C8" i="20"/>
  <c r="F7" i="20"/>
  <c r="C7" i="20"/>
  <c r="F36" i="20"/>
  <c r="C36" i="20"/>
  <c r="F25" i="20"/>
  <c r="C25" i="20"/>
  <c r="F9" i="20"/>
  <c r="C9" i="20"/>
  <c r="F6" i="20"/>
  <c r="C6" i="20"/>
  <c r="J5" i="27"/>
  <c r="J21" i="27"/>
  <c r="J37" i="27"/>
  <c r="J53" i="27"/>
  <c r="J69" i="27"/>
  <c r="J10" i="27"/>
  <c r="J26" i="27"/>
  <c r="J42" i="27"/>
  <c r="J58" i="27"/>
  <c r="J52" i="27"/>
  <c r="J15" i="27"/>
  <c r="J31" i="27"/>
  <c r="J47" i="27"/>
  <c r="J63" i="27"/>
  <c r="J24" i="27"/>
  <c r="J40" i="27"/>
  <c r="J68" i="27"/>
  <c r="J4" i="27"/>
  <c r="J29" i="27"/>
  <c r="J61" i="27"/>
  <c r="J18" i="27"/>
  <c r="J66" i="27"/>
  <c r="J7" i="27"/>
  <c r="J39" i="27"/>
  <c r="J16" i="27"/>
  <c r="J48" i="27"/>
  <c r="J33" i="27"/>
  <c r="J49" i="27"/>
  <c r="J6" i="27"/>
  <c r="J38" i="27"/>
  <c r="J12" i="27"/>
  <c r="J27" i="27"/>
  <c r="J43" i="27"/>
  <c r="J20" i="27"/>
  <c r="J9" i="27"/>
  <c r="J25" i="27"/>
  <c r="J41" i="27"/>
  <c r="J57" i="27"/>
  <c r="J8" i="27"/>
  <c r="J14" i="27"/>
  <c r="J30" i="27"/>
  <c r="J46" i="27"/>
  <c r="J62" i="27"/>
  <c r="J64" i="27"/>
  <c r="J19" i="27"/>
  <c r="J35" i="27"/>
  <c r="J51" i="27"/>
  <c r="J67" i="27"/>
  <c r="J28" i="27"/>
  <c r="J44" i="27"/>
  <c r="J13" i="27"/>
  <c r="J45" i="27"/>
  <c r="J60" i="27"/>
  <c r="J34" i="27"/>
  <c r="J50" i="27"/>
  <c r="J23" i="27"/>
  <c r="J55" i="27"/>
  <c r="J32" i="27"/>
  <c r="J17" i="27"/>
  <c r="J65" i="27"/>
  <c r="J22" i="27"/>
  <c r="J54" i="27"/>
  <c r="J11" i="27"/>
  <c r="J59" i="27"/>
  <c r="J36" i="27"/>
  <c r="J56" i="27"/>
  <c r="V7" i="28"/>
  <c r="X7" i="28" s="1"/>
  <c r="E180" i="23"/>
  <c r="E35" i="20"/>
  <c r="E23" i="20"/>
  <c r="E5" i="20"/>
  <c r="E61" i="23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5" i="19"/>
  <c r="E59" i="23"/>
  <c r="E60" i="23"/>
  <c r="E63" i="23"/>
  <c r="E64" i="23"/>
  <c r="E58" i="23"/>
  <c r="E56" i="23"/>
  <c r="E57" i="23"/>
  <c r="E55" i="23"/>
  <c r="E65" i="23"/>
  <c r="T10" i="28"/>
  <c r="K63" i="20" l="1"/>
  <c r="L63" i="20" s="1"/>
  <c r="M63" i="20" s="1"/>
  <c r="N63" i="20" s="1"/>
  <c r="E63" i="20" s="1"/>
  <c r="J64" i="20"/>
  <c r="J65" i="20" s="1"/>
  <c r="K65" i="20" s="1"/>
  <c r="L65" i="20" s="1"/>
  <c r="M65" i="20" s="1"/>
  <c r="N65" i="20" s="1"/>
  <c r="D28" i="21"/>
  <c r="AG5" i="27"/>
  <c r="AI5" i="27" s="1"/>
  <c r="AG3" i="27"/>
  <c r="AI3" i="27" s="1"/>
  <c r="AH7" i="27"/>
  <c r="AH15" i="27"/>
  <c r="AG15" i="27"/>
  <c r="AI15" i="27" s="1"/>
  <c r="AH40" i="27"/>
  <c r="AH6" i="27"/>
  <c r="AH22" i="27"/>
  <c r="AH26" i="27"/>
  <c r="AG7" i="27"/>
  <c r="AI7" i="27" s="1"/>
  <c r="AH37" i="27"/>
  <c r="AH17" i="27"/>
  <c r="AH9" i="27"/>
  <c r="AH48" i="27"/>
  <c r="AH46" i="27"/>
  <c r="AH29" i="27"/>
  <c r="AG48" i="27"/>
  <c r="AI48" i="27" s="1"/>
  <c r="AK46" i="27" s="1"/>
  <c r="A113" i="21" s="1"/>
  <c r="AH42" i="27"/>
  <c r="AH25" i="27"/>
  <c r="AH49" i="27"/>
  <c r="AH14" i="27"/>
  <c r="AH3" i="27"/>
  <c r="AH11" i="27"/>
  <c r="AH47" i="27"/>
  <c r="AH27" i="27"/>
  <c r="AH18" i="27"/>
  <c r="AG37" i="27"/>
  <c r="AI37" i="27" s="1"/>
  <c r="AH43" i="27"/>
  <c r="AH34" i="27"/>
  <c r="AH51" i="27"/>
  <c r="AH50" i="27"/>
  <c r="AH33" i="27"/>
  <c r="AH10" i="27"/>
  <c r="AH41" i="27"/>
  <c r="AH8" i="27"/>
  <c r="AH16" i="27"/>
  <c r="AH38" i="27"/>
  <c r="AH32" i="27"/>
  <c r="AH23" i="27"/>
  <c r="AH39" i="27"/>
  <c r="AH31" i="27"/>
  <c r="AH30" i="27"/>
  <c r="P31" i="28"/>
  <c r="B51" i="21" s="1"/>
  <c r="S6" i="30"/>
  <c r="L14" i="39"/>
  <c r="M14" i="39" s="1"/>
  <c r="S6" i="28"/>
  <c r="AI5" i="21"/>
  <c r="F14" i="39"/>
  <c r="G14" i="39" s="1"/>
  <c r="AF5" i="21"/>
  <c r="C14" i="39"/>
  <c r="D14" i="39" s="1"/>
  <c r="E4" i="33"/>
  <c r="J20" i="33" s="1"/>
  <c r="K20" i="33" s="1"/>
  <c r="D4" i="33"/>
  <c r="I41" i="33" s="1"/>
  <c r="K41" i="33" s="1"/>
  <c r="C8" i="39"/>
  <c r="D8" i="39" s="1"/>
  <c r="AJ5" i="21"/>
  <c r="F8" i="39"/>
  <c r="G8" i="39" s="1"/>
  <c r="AH5" i="21"/>
  <c r="C11" i="39"/>
  <c r="D11" i="39" s="1"/>
  <c r="C4" i="33"/>
  <c r="H11" i="33" s="1"/>
  <c r="K11" i="33" s="1"/>
  <c r="F11" i="39"/>
  <c r="G11" i="39" s="1"/>
  <c r="AK5" i="21"/>
  <c r="S6" i="27"/>
  <c r="T6" i="27"/>
  <c r="D14" i="21"/>
  <c r="P31" i="30"/>
  <c r="B59" i="21" s="1"/>
  <c r="G19" i="26"/>
  <c r="H32" i="20" s="1"/>
  <c r="C32" i="20" s="1"/>
  <c r="A63" i="20"/>
  <c r="I63" i="20"/>
  <c r="F63" i="20"/>
  <c r="D63" i="20"/>
  <c r="K64" i="20"/>
  <c r="L64" i="20" s="1"/>
  <c r="M64" i="20" s="1"/>
  <c r="N64" i="20" s="1"/>
  <c r="L11" i="39"/>
  <c r="M11" i="39" s="1"/>
  <c r="Q24" i="27"/>
  <c r="M3" i="21" s="1"/>
  <c r="P10" i="27"/>
  <c r="Q26" i="27" s="1"/>
  <c r="M5" i="21" s="1"/>
  <c r="V7" i="30"/>
  <c r="X7" i="30" s="1"/>
  <c r="Q6" i="30"/>
  <c r="R6" i="28"/>
  <c r="R18" i="28" s="1"/>
  <c r="AH4" i="27"/>
  <c r="AH5" i="27"/>
  <c r="AG4" i="27"/>
  <c r="AH13" i="27"/>
  <c r="AG12" i="27"/>
  <c r="AI12" i="27" s="1"/>
  <c r="AG20" i="27"/>
  <c r="AI20" i="27" s="1"/>
  <c r="AH21" i="27"/>
  <c r="AH2" i="27"/>
  <c r="AK2" i="27" s="1"/>
  <c r="A69" i="21" s="1"/>
  <c r="AG2" i="27"/>
  <c r="AL2" i="27" s="1"/>
  <c r="B69" i="21" s="1"/>
  <c r="AH20" i="27"/>
  <c r="AK51" i="27"/>
  <c r="A118" i="21" s="1"/>
  <c r="AG44" i="27"/>
  <c r="AI44" i="27" s="1"/>
  <c r="AH45" i="27"/>
  <c r="AH44" i="27"/>
  <c r="AL50" i="27"/>
  <c r="B117" i="21" s="1"/>
  <c r="AH28" i="27"/>
  <c r="AH35" i="27"/>
  <c r="AH12" i="27"/>
  <c r="AG43" i="27"/>
  <c r="AI43" i="27" s="1"/>
  <c r="AK49" i="27"/>
  <c r="A116" i="21" s="1"/>
  <c r="AG18" i="27"/>
  <c r="AI18" i="27" s="1"/>
  <c r="AK50" i="27"/>
  <c r="A117" i="21" s="1"/>
  <c r="AH24" i="27"/>
  <c r="AG34" i="27"/>
  <c r="AI34" i="27" s="1"/>
  <c r="AL49" i="27"/>
  <c r="B116" i="21" s="1"/>
  <c r="AL51" i="27"/>
  <c r="B118" i="21" s="1"/>
  <c r="AH36" i="27"/>
  <c r="AH19" i="27"/>
  <c r="Q6" i="27"/>
  <c r="E84" i="21"/>
  <c r="C123" i="35"/>
  <c r="E78" i="21"/>
  <c r="E14" i="23"/>
  <c r="E173" i="23"/>
  <c r="P24" i="17"/>
  <c r="C124" i="35"/>
  <c r="Q31" i="27"/>
  <c r="M10" i="21" s="1"/>
  <c r="S10" i="27"/>
  <c r="S10" i="28"/>
  <c r="T10" i="30"/>
  <c r="R10" i="28"/>
  <c r="J66" i="20" l="1"/>
  <c r="I35" i="33"/>
  <c r="K35" i="33" s="1"/>
  <c r="I47" i="33"/>
  <c r="K47" i="33" s="1"/>
  <c r="I29" i="33"/>
  <c r="K29" i="33" s="1"/>
  <c r="I38" i="33"/>
  <c r="K38" i="33" s="1"/>
  <c r="J28" i="33"/>
  <c r="K28" i="33" s="1"/>
  <c r="J34" i="33"/>
  <c r="K34" i="33" s="1"/>
  <c r="J25" i="33"/>
  <c r="K25" i="33" s="1"/>
  <c r="J17" i="33"/>
  <c r="K17" i="33" s="1"/>
  <c r="AI4" i="27"/>
  <c r="AL4" i="27" s="1"/>
  <c r="B71" i="21" s="1"/>
  <c r="AL45" i="27"/>
  <c r="B112" i="21" s="1"/>
  <c r="AK47" i="27"/>
  <c r="A114" i="21" s="1"/>
  <c r="AK45" i="27"/>
  <c r="A112" i="21" s="1"/>
  <c r="AK5" i="27"/>
  <c r="A72" i="21" s="1"/>
  <c r="AK15" i="27"/>
  <c r="A82" i="21" s="1"/>
  <c r="AL42" i="27"/>
  <c r="B109" i="21" s="1"/>
  <c r="AL48" i="27"/>
  <c r="B115" i="21" s="1"/>
  <c r="AL47" i="27"/>
  <c r="B114" i="21" s="1"/>
  <c r="AL46" i="27"/>
  <c r="B113" i="21" s="1"/>
  <c r="AL20" i="27"/>
  <c r="B87" i="21" s="1"/>
  <c r="AK48" i="27"/>
  <c r="A115" i="21" s="1"/>
  <c r="AL32" i="27"/>
  <c r="B99" i="21" s="1"/>
  <c r="AL28" i="27"/>
  <c r="B95" i="21" s="1"/>
  <c r="AL30" i="27"/>
  <c r="B97" i="21" s="1"/>
  <c r="AK44" i="27"/>
  <c r="A111" i="21" s="1"/>
  <c r="AK21" i="27"/>
  <c r="A88" i="21" s="1"/>
  <c r="AK23" i="27"/>
  <c r="A90" i="21" s="1"/>
  <c r="AK36" i="27"/>
  <c r="A103" i="21" s="1"/>
  <c r="AL13" i="27"/>
  <c r="B80" i="21" s="1"/>
  <c r="AK29" i="27"/>
  <c r="A96" i="21" s="1"/>
  <c r="AK13" i="27"/>
  <c r="A80" i="21" s="1"/>
  <c r="AK3" i="27"/>
  <c r="A70" i="21" s="1"/>
  <c r="AL23" i="27"/>
  <c r="B90" i="21" s="1"/>
  <c r="AK14" i="27"/>
  <c r="A81" i="21" s="1"/>
  <c r="AL38" i="27"/>
  <c r="B105" i="21" s="1"/>
  <c r="AL21" i="27"/>
  <c r="B88" i="21" s="1"/>
  <c r="AK42" i="27"/>
  <c r="A109" i="21" s="1"/>
  <c r="AK38" i="27"/>
  <c r="A105" i="21" s="1"/>
  <c r="AK41" i="27"/>
  <c r="A108" i="21" s="1"/>
  <c r="AL25" i="27"/>
  <c r="B92" i="21" s="1"/>
  <c r="AK7" i="27"/>
  <c r="A74" i="21" s="1"/>
  <c r="AK34" i="27"/>
  <c r="A101" i="21" s="1"/>
  <c r="AL36" i="27"/>
  <c r="B103" i="21" s="1"/>
  <c r="AK12" i="27"/>
  <c r="A79" i="21" s="1"/>
  <c r="AK11" i="27"/>
  <c r="A78" i="21" s="1"/>
  <c r="AL17" i="27"/>
  <c r="B84" i="21" s="1"/>
  <c r="AK25" i="27"/>
  <c r="A92" i="21" s="1"/>
  <c r="AL33" i="27"/>
  <c r="B100" i="21" s="1"/>
  <c r="AL31" i="27"/>
  <c r="B98" i="21" s="1"/>
  <c r="AK28" i="27"/>
  <c r="A95" i="21" s="1"/>
  <c r="AK40" i="27"/>
  <c r="A107" i="21" s="1"/>
  <c r="AL18" i="27"/>
  <c r="B85" i="21" s="1"/>
  <c r="AK35" i="27"/>
  <c r="A102" i="21" s="1"/>
  <c r="AK31" i="27"/>
  <c r="A98" i="21" s="1"/>
  <c r="AL8" i="27"/>
  <c r="B75" i="21" s="1"/>
  <c r="AL16" i="27"/>
  <c r="B83" i="21" s="1"/>
  <c r="AL7" i="27"/>
  <c r="B74" i="21" s="1"/>
  <c r="AK22" i="27"/>
  <c r="A89" i="21" s="1"/>
  <c r="AL12" i="27"/>
  <c r="B79" i="21" s="1"/>
  <c r="AL35" i="27"/>
  <c r="B102" i="21" s="1"/>
  <c r="AK33" i="27"/>
  <c r="A100" i="21" s="1"/>
  <c r="AK8" i="27"/>
  <c r="A75" i="21" s="1"/>
  <c r="AL19" i="27"/>
  <c r="B86" i="21" s="1"/>
  <c r="AL41" i="27"/>
  <c r="B108" i="21" s="1"/>
  <c r="H30" i="33"/>
  <c r="K30" i="33" s="1"/>
  <c r="H36" i="33"/>
  <c r="K36" i="33" s="1"/>
  <c r="H19" i="33"/>
  <c r="K19" i="33" s="1"/>
  <c r="I50" i="33"/>
  <c r="K50" i="33" s="1"/>
  <c r="J52" i="33"/>
  <c r="K52" i="33" s="1"/>
  <c r="J49" i="33"/>
  <c r="K49" i="33" s="1"/>
  <c r="I26" i="33"/>
  <c r="K26" i="33" s="1"/>
  <c r="H42" i="33"/>
  <c r="K42" i="33" s="1"/>
  <c r="J12" i="33"/>
  <c r="K12" i="33" s="1"/>
  <c r="J46" i="33"/>
  <c r="K46" i="33" s="1"/>
  <c r="I32" i="33"/>
  <c r="K32" i="33" s="1"/>
  <c r="J43" i="33"/>
  <c r="K43" i="33" s="1"/>
  <c r="J40" i="33"/>
  <c r="K40" i="33" s="1"/>
  <c r="I44" i="33"/>
  <c r="K44" i="33" s="1"/>
  <c r="J37" i="33"/>
  <c r="K37" i="33" s="1"/>
  <c r="J31" i="33"/>
  <c r="K31" i="33" s="1"/>
  <c r="I10" i="33"/>
  <c r="K10" i="33" s="1"/>
  <c r="I23" i="33"/>
  <c r="K23" i="33" s="1"/>
  <c r="I15" i="33"/>
  <c r="K15" i="33" s="1"/>
  <c r="I18" i="33"/>
  <c r="K18" i="33" s="1"/>
  <c r="H27" i="33"/>
  <c r="K27" i="33" s="1"/>
  <c r="H24" i="33"/>
  <c r="K24" i="33" s="1"/>
  <c r="H45" i="33"/>
  <c r="K45" i="33" s="1"/>
  <c r="H16" i="33"/>
  <c r="K16" i="33" s="1"/>
  <c r="H51" i="33"/>
  <c r="K51" i="33" s="1"/>
  <c r="H33" i="33"/>
  <c r="K33" i="33" s="1"/>
  <c r="H39" i="33"/>
  <c r="K39" i="33" s="1"/>
  <c r="H48" i="33"/>
  <c r="K48" i="33" s="1"/>
  <c r="I64" i="20"/>
  <c r="A64" i="20"/>
  <c r="D64" i="20"/>
  <c r="F64" i="20"/>
  <c r="E64" i="20"/>
  <c r="K66" i="20"/>
  <c r="L66" i="20" s="1"/>
  <c r="M66" i="20" s="1"/>
  <c r="N66" i="20" s="1"/>
  <c r="J67" i="20"/>
  <c r="A65" i="20"/>
  <c r="I65" i="20"/>
  <c r="F65" i="20"/>
  <c r="D65" i="20"/>
  <c r="E65" i="20"/>
  <c r="T10" i="27"/>
  <c r="S10" i="30"/>
  <c r="AK27" i="27"/>
  <c r="A94" i="21" s="1"/>
  <c r="AK6" i="27"/>
  <c r="A73" i="21" s="1"/>
  <c r="AK37" i="27"/>
  <c r="A104" i="21" s="1"/>
  <c r="E92" i="21"/>
  <c r="AC5" i="21" s="1"/>
  <c r="AK30" i="27"/>
  <c r="A97" i="21" s="1"/>
  <c r="AK4" i="27"/>
  <c r="A71" i="21" s="1"/>
  <c r="AK26" i="27"/>
  <c r="A93" i="21" s="1"/>
  <c r="AL27" i="27"/>
  <c r="B94" i="21" s="1"/>
  <c r="AL5" i="27"/>
  <c r="B72" i="21" s="1"/>
  <c r="AL43" i="27"/>
  <c r="B110" i="21" s="1"/>
  <c r="AL44" i="27"/>
  <c r="B111" i="21" s="1"/>
  <c r="AK18" i="27"/>
  <c r="A85" i="21" s="1"/>
  <c r="AK20" i="27"/>
  <c r="A87" i="21" s="1"/>
  <c r="AL24" i="27"/>
  <c r="B91" i="21" s="1"/>
  <c r="AL9" i="27"/>
  <c r="B76" i="21" s="1"/>
  <c r="AL40" i="27"/>
  <c r="B107" i="21" s="1"/>
  <c r="AK39" i="27"/>
  <c r="A106" i="21" s="1"/>
  <c r="AL39" i="27"/>
  <c r="B106" i="21" s="1"/>
  <c r="AK9" i="27"/>
  <c r="A76" i="21" s="1"/>
  <c r="AL29" i="27"/>
  <c r="B96" i="21" s="1"/>
  <c r="AK16" i="27"/>
  <c r="A83" i="21" s="1"/>
  <c r="AK32" i="27"/>
  <c r="A99" i="21" s="1"/>
  <c r="AL15" i="27"/>
  <c r="B82" i="21" s="1"/>
  <c r="AL22" i="27"/>
  <c r="B89" i="21" s="1"/>
  <c r="AK17" i="27"/>
  <c r="A84" i="21" s="1"/>
  <c r="AL14" i="27"/>
  <c r="B81" i="21" s="1"/>
  <c r="AL34" i="27"/>
  <c r="B101" i="21" s="1"/>
  <c r="AL10" i="27"/>
  <c r="B77" i="21" s="1"/>
  <c r="AK43" i="27"/>
  <c r="A110" i="21" s="1"/>
  <c r="AL26" i="27"/>
  <c r="B93" i="21" s="1"/>
  <c r="AL37" i="27"/>
  <c r="B104" i="21" s="1"/>
  <c r="AK19" i="27"/>
  <c r="A86" i="21" s="1"/>
  <c r="AK10" i="27"/>
  <c r="A77" i="21" s="1"/>
  <c r="AK24" i="27"/>
  <c r="A91" i="21" s="1"/>
  <c r="AL6" i="27"/>
  <c r="B73" i="21" s="1"/>
  <c r="AL11" i="27"/>
  <c r="B78" i="21" s="1"/>
  <c r="C125" i="35"/>
  <c r="E175" i="23"/>
  <c r="Q10" i="27"/>
  <c r="S18" i="28"/>
  <c r="T14" i="27"/>
  <c r="S14" i="28"/>
  <c r="P10" i="28"/>
  <c r="Q10" i="28"/>
  <c r="Q10" i="30"/>
  <c r="AL3" i="27" l="1"/>
  <c r="B70" i="21" s="1"/>
  <c r="E91" i="21" s="1"/>
  <c r="AB5" i="21" s="1"/>
  <c r="E90" i="21"/>
  <c r="AA5" i="21" s="1"/>
  <c r="I66" i="20"/>
  <c r="A66" i="20"/>
  <c r="D66" i="20"/>
  <c r="E66" i="20"/>
  <c r="F66" i="20"/>
  <c r="K67" i="20"/>
  <c r="L67" i="20" s="1"/>
  <c r="M67" i="20" s="1"/>
  <c r="N67" i="20" s="1"/>
  <c r="J68" i="20"/>
  <c r="R10" i="27"/>
  <c r="Q18" i="28"/>
  <c r="P18" i="28"/>
  <c r="P14" i="28"/>
  <c r="R10" i="30"/>
  <c r="Q14" i="27"/>
  <c r="P14" i="27"/>
  <c r="S14" i="30"/>
  <c r="S18" i="30"/>
  <c r="P10" i="30"/>
  <c r="R14" i="28"/>
  <c r="Q14" i="28"/>
  <c r="Q25" i="27" l="1"/>
  <c r="M4" i="21" s="1"/>
  <c r="X9" i="28"/>
  <c r="W9" i="28" s="1"/>
  <c r="M11" i="21" s="1"/>
  <c r="W10" i="28"/>
  <c r="M12" i="21" s="1"/>
  <c r="Q27" i="27"/>
  <c r="M6" i="21" s="1"/>
  <c r="R30" i="27"/>
  <c r="Q30" i="27" s="1"/>
  <c r="M9" i="21" s="1"/>
  <c r="K68" i="20"/>
  <c r="L68" i="20" s="1"/>
  <c r="M68" i="20" s="1"/>
  <c r="N68" i="20" s="1"/>
  <c r="J69" i="20"/>
  <c r="I67" i="20"/>
  <c r="A67" i="20"/>
  <c r="F67" i="20"/>
  <c r="D67" i="20"/>
  <c r="E67" i="20"/>
  <c r="S14" i="27"/>
  <c r="P14" i="30"/>
  <c r="Q14" i="30"/>
  <c r="Q18" i="30"/>
  <c r="P18" i="30"/>
  <c r="R14" i="30"/>
  <c r="R18" i="27" l="1"/>
  <c r="X9" i="30"/>
  <c r="W9" i="30" s="1"/>
  <c r="M13" i="21" s="1"/>
  <c r="W10" i="30"/>
  <c r="M14" i="21" s="1"/>
  <c r="J70" i="20"/>
  <c r="K69" i="20"/>
  <c r="L69" i="20" s="1"/>
  <c r="M69" i="20" s="1"/>
  <c r="N69" i="20" s="1"/>
  <c r="D68" i="20"/>
  <c r="I68" i="20"/>
  <c r="A68" i="20"/>
  <c r="F68" i="20"/>
  <c r="E68" i="20"/>
  <c r="T18" i="27"/>
  <c r="F69" i="20" l="1"/>
  <c r="D69" i="20"/>
  <c r="E69" i="20"/>
  <c r="I69" i="20"/>
  <c r="A69" i="20"/>
  <c r="K70" i="20"/>
  <c r="L70" i="20" s="1"/>
  <c r="M70" i="20" s="1"/>
  <c r="N70" i="20" s="1"/>
  <c r="J71" i="20"/>
  <c r="Q18" i="27"/>
  <c r="P18" i="27"/>
  <c r="S18" i="27" s="1"/>
  <c r="R29" i="27" l="1"/>
  <c r="Q29" i="27" s="1"/>
  <c r="M8" i="21" s="1"/>
  <c r="Q28" i="27"/>
  <c r="M7" i="21" s="1"/>
  <c r="J72" i="20"/>
  <c r="K71" i="20"/>
  <c r="L71" i="20" s="1"/>
  <c r="M71" i="20" s="1"/>
  <c r="N71" i="20" s="1"/>
  <c r="A70" i="20"/>
  <c r="F70" i="20"/>
  <c r="D70" i="20"/>
  <c r="E70" i="20"/>
  <c r="I70" i="20"/>
  <c r="A71" i="20" l="1"/>
  <c r="F71" i="20"/>
  <c r="I71" i="20"/>
  <c r="E71" i="20"/>
  <c r="D71" i="20"/>
  <c r="K72" i="20"/>
  <c r="L72" i="20" s="1"/>
  <c r="M72" i="20" s="1"/>
  <c r="N72" i="20" s="1"/>
  <c r="J73" i="20"/>
  <c r="D72" i="20" l="1"/>
  <c r="A72" i="20"/>
  <c r="E72" i="20"/>
  <c r="I72" i="20"/>
  <c r="F72" i="20"/>
  <c r="K73" i="20"/>
  <c r="L73" i="20" s="1"/>
  <c r="M73" i="20" s="1"/>
  <c r="N73" i="20" s="1"/>
  <c r="J74" i="20"/>
  <c r="F73" i="20" l="1"/>
  <c r="A73" i="20"/>
  <c r="E73" i="20"/>
  <c r="I73" i="20"/>
  <c r="D73" i="20"/>
  <c r="K74" i="20"/>
  <c r="L74" i="20" s="1"/>
  <c r="M74" i="20" s="1"/>
  <c r="N74" i="20" s="1"/>
  <c r="J75" i="20"/>
  <c r="K75" i="20" l="1"/>
  <c r="L75" i="20" s="1"/>
  <c r="M75" i="20" s="1"/>
  <c r="N75" i="20" s="1"/>
  <c r="J76" i="20"/>
  <c r="D74" i="20"/>
  <c r="F74" i="20"/>
  <c r="A74" i="20"/>
  <c r="I74" i="20"/>
  <c r="E74" i="20"/>
  <c r="K76" i="20" l="1"/>
  <c r="L76" i="20" s="1"/>
  <c r="M76" i="20" s="1"/>
  <c r="N76" i="20" s="1"/>
  <c r="J77" i="20"/>
  <c r="A75" i="20"/>
  <c r="D75" i="20"/>
  <c r="E75" i="20"/>
  <c r="F75" i="20"/>
  <c r="I75" i="20"/>
  <c r="K77" i="20" l="1"/>
  <c r="L77" i="20" s="1"/>
  <c r="M77" i="20" s="1"/>
  <c r="N77" i="20" s="1"/>
  <c r="J78" i="20"/>
  <c r="E76" i="20"/>
  <c r="D76" i="20"/>
  <c r="I76" i="20"/>
  <c r="F76" i="20"/>
  <c r="A76" i="20"/>
  <c r="K78" i="20" l="1"/>
  <c r="L78" i="20" s="1"/>
  <c r="M78" i="20" s="1"/>
  <c r="N78" i="20" s="1"/>
  <c r="J79" i="20"/>
  <c r="E77" i="20"/>
  <c r="F77" i="20"/>
  <c r="A77" i="20"/>
  <c r="I77" i="20"/>
  <c r="D77" i="20"/>
  <c r="J80" i="20" l="1"/>
  <c r="K79" i="20"/>
  <c r="L79" i="20" s="1"/>
  <c r="M79" i="20" s="1"/>
  <c r="N79" i="20" s="1"/>
  <c r="F78" i="20"/>
  <c r="D78" i="20"/>
  <c r="E78" i="20"/>
  <c r="I78" i="20"/>
  <c r="A78" i="20"/>
  <c r="E79" i="20" l="1"/>
  <c r="I79" i="20"/>
  <c r="A79" i="20"/>
  <c r="F79" i="20"/>
  <c r="D79" i="20"/>
  <c r="K80" i="20"/>
  <c r="L80" i="20" s="1"/>
  <c r="M80" i="20" s="1"/>
  <c r="N80" i="20" s="1"/>
  <c r="J81" i="20"/>
  <c r="I80" i="20" l="1"/>
  <c r="F80" i="20"/>
  <c r="D80" i="20"/>
  <c r="A80" i="20"/>
  <c r="E80" i="20"/>
  <c r="K81" i="20"/>
  <c r="L81" i="20" s="1"/>
  <c r="M81" i="20" s="1"/>
  <c r="N81" i="20" s="1"/>
  <c r="J82" i="20"/>
  <c r="F81" i="20" l="1"/>
  <c r="E81" i="20"/>
  <c r="A81" i="20"/>
  <c r="D81" i="20"/>
  <c r="I81" i="20"/>
  <c r="K82" i="20"/>
  <c r="L82" i="20" s="1"/>
  <c r="M82" i="20" s="1"/>
  <c r="N82" i="20" s="1"/>
  <c r="J83" i="20"/>
  <c r="K83" i="20" l="1"/>
  <c r="L83" i="20" s="1"/>
  <c r="M83" i="20" s="1"/>
  <c r="N83" i="20" s="1"/>
  <c r="J84" i="20"/>
  <c r="A82" i="20"/>
  <c r="E82" i="20"/>
  <c r="D82" i="20"/>
  <c r="I82" i="20"/>
  <c r="F82" i="20"/>
  <c r="K84" i="20" l="1"/>
  <c r="L84" i="20" s="1"/>
  <c r="M84" i="20" s="1"/>
  <c r="N84" i="20" s="1"/>
  <c r="J85" i="20"/>
  <c r="E83" i="20"/>
  <c r="I83" i="20"/>
  <c r="D83" i="20"/>
  <c r="F83" i="20"/>
  <c r="A83" i="20"/>
  <c r="K85" i="20" l="1"/>
  <c r="L85" i="20" s="1"/>
  <c r="M85" i="20" s="1"/>
  <c r="N85" i="20" s="1"/>
  <c r="J86" i="20"/>
  <c r="F84" i="20"/>
  <c r="E84" i="20"/>
  <c r="I84" i="20"/>
  <c r="A84" i="20"/>
  <c r="D84" i="20"/>
  <c r="K86" i="20" l="1"/>
  <c r="L86" i="20" s="1"/>
  <c r="M86" i="20" s="1"/>
  <c r="N86" i="20" s="1"/>
  <c r="J87" i="20"/>
  <c r="A85" i="20"/>
  <c r="E85" i="20"/>
  <c r="I85" i="20"/>
  <c r="D85" i="20"/>
  <c r="F85" i="20"/>
  <c r="J88" i="20" l="1"/>
  <c r="K87" i="20"/>
  <c r="L87" i="20" s="1"/>
  <c r="M87" i="20" s="1"/>
  <c r="N87" i="20" s="1"/>
  <c r="F86" i="20"/>
  <c r="D86" i="20"/>
  <c r="A86" i="20"/>
  <c r="I86" i="20"/>
  <c r="E86" i="20"/>
  <c r="A87" i="20" l="1"/>
  <c r="D87" i="20"/>
  <c r="F87" i="20"/>
  <c r="E87" i="20"/>
  <c r="I87" i="20"/>
  <c r="K88" i="20"/>
  <c r="L88" i="20" s="1"/>
  <c r="M88" i="20" s="1"/>
  <c r="N88" i="20" s="1"/>
  <c r="J89" i="20"/>
  <c r="K89" i="20" l="1"/>
  <c r="L89" i="20" s="1"/>
  <c r="M89" i="20" s="1"/>
  <c r="N89" i="20" s="1"/>
  <c r="J90" i="20"/>
  <c r="F88" i="20"/>
  <c r="A88" i="20"/>
  <c r="I88" i="20"/>
  <c r="D88" i="20"/>
  <c r="E88" i="20"/>
  <c r="K90" i="20" l="1"/>
  <c r="L90" i="20" s="1"/>
  <c r="M90" i="20" s="1"/>
  <c r="N90" i="20" s="1"/>
  <c r="J91" i="20"/>
  <c r="I89" i="20"/>
  <c r="E89" i="20"/>
  <c r="D89" i="20"/>
  <c r="F89" i="20"/>
  <c r="A89" i="20"/>
  <c r="K91" i="20" l="1"/>
  <c r="L91" i="20" s="1"/>
  <c r="M91" i="20" s="1"/>
  <c r="N91" i="20" s="1"/>
  <c r="J92" i="20"/>
  <c r="I90" i="20"/>
  <c r="E90" i="20"/>
  <c r="A90" i="20"/>
  <c r="D90" i="20"/>
  <c r="F90" i="20"/>
  <c r="K92" i="20" l="1"/>
  <c r="L92" i="20" s="1"/>
  <c r="M92" i="20" s="1"/>
  <c r="N92" i="20" s="1"/>
  <c r="J93" i="20"/>
  <c r="I91" i="20"/>
  <c r="A91" i="20"/>
  <c r="F91" i="20"/>
  <c r="E91" i="20"/>
  <c r="D91" i="20"/>
  <c r="K93" i="20" l="1"/>
  <c r="L93" i="20" s="1"/>
  <c r="M93" i="20" s="1"/>
  <c r="N93" i="20" s="1"/>
  <c r="J94" i="20"/>
  <c r="F92" i="20"/>
  <c r="E92" i="20"/>
  <c r="D92" i="20"/>
  <c r="A92" i="20"/>
  <c r="I92" i="20"/>
  <c r="K94" i="20" l="1"/>
  <c r="L94" i="20" s="1"/>
  <c r="M94" i="20" s="1"/>
  <c r="N94" i="20" s="1"/>
  <c r="J95" i="20"/>
  <c r="I93" i="20"/>
  <c r="D93" i="20"/>
  <c r="F93" i="20"/>
  <c r="A93" i="20"/>
  <c r="E93" i="20"/>
  <c r="J96" i="20" l="1"/>
  <c r="K95" i="20"/>
  <c r="L95" i="20" s="1"/>
  <c r="M95" i="20" s="1"/>
  <c r="N95" i="20" s="1"/>
  <c r="I94" i="20"/>
  <c r="E94" i="20"/>
  <c r="A94" i="20"/>
  <c r="D94" i="20"/>
  <c r="F94" i="20"/>
  <c r="D95" i="20" l="1"/>
  <c r="A95" i="20"/>
  <c r="F95" i="20"/>
  <c r="E95" i="20"/>
  <c r="I95" i="20"/>
  <c r="K96" i="20"/>
  <c r="L96" i="20" s="1"/>
  <c r="M96" i="20" s="1"/>
  <c r="N96" i="20" s="1"/>
  <c r="J97" i="20"/>
  <c r="K97" i="20" l="1"/>
  <c r="L97" i="20" s="1"/>
  <c r="M97" i="20" s="1"/>
  <c r="N97" i="20" s="1"/>
  <c r="J98" i="20"/>
  <c r="A96" i="20"/>
  <c r="D96" i="20"/>
  <c r="E96" i="20"/>
  <c r="F96" i="20"/>
  <c r="I96" i="20"/>
  <c r="K98" i="20" l="1"/>
  <c r="L98" i="20" s="1"/>
  <c r="M98" i="20" s="1"/>
  <c r="N98" i="20" s="1"/>
  <c r="J99" i="20"/>
  <c r="A97" i="20"/>
  <c r="E97" i="20"/>
  <c r="I97" i="20"/>
  <c r="D97" i="20"/>
  <c r="F97" i="20"/>
  <c r="K99" i="20" l="1"/>
  <c r="L99" i="20" s="1"/>
  <c r="M99" i="20" s="1"/>
  <c r="N99" i="20" s="1"/>
  <c r="J100" i="20"/>
  <c r="A98" i="20"/>
  <c r="F98" i="20"/>
  <c r="D98" i="20"/>
  <c r="I98" i="20"/>
  <c r="E98" i="20"/>
  <c r="J101" i="20" l="1"/>
  <c r="K100" i="20"/>
  <c r="L100" i="20" s="1"/>
  <c r="M100" i="20" s="1"/>
  <c r="N100" i="20" s="1"/>
  <c r="A99" i="20"/>
  <c r="F99" i="20"/>
  <c r="E99" i="20"/>
  <c r="I99" i="20"/>
  <c r="D99" i="20"/>
  <c r="F100" i="20" l="1"/>
  <c r="E100" i="20"/>
  <c r="D100" i="20"/>
  <c r="I100" i="20"/>
  <c r="A100" i="20"/>
  <c r="K101" i="20"/>
  <c r="L101" i="20" s="1"/>
  <c r="M101" i="20" s="1"/>
  <c r="N101" i="20" s="1"/>
  <c r="J102" i="20"/>
  <c r="K102" i="20" l="1"/>
  <c r="L102" i="20" s="1"/>
  <c r="M102" i="20" s="1"/>
  <c r="N102" i="20" s="1"/>
  <c r="J103" i="20"/>
  <c r="D101" i="20"/>
  <c r="A101" i="20"/>
  <c r="E101" i="20"/>
  <c r="F101" i="20"/>
  <c r="I101" i="20"/>
  <c r="J104" i="20" l="1"/>
  <c r="K103" i="20"/>
  <c r="L103" i="20" s="1"/>
  <c r="M103" i="20" s="1"/>
  <c r="N103" i="20" s="1"/>
  <c r="I102" i="20"/>
  <c r="E102" i="20"/>
  <c r="D102" i="20"/>
  <c r="F102" i="20"/>
  <c r="A102" i="20"/>
  <c r="I103" i="20" l="1"/>
  <c r="F103" i="20"/>
  <c r="E103" i="20"/>
  <c r="D103" i="20"/>
  <c r="A103" i="20"/>
  <c r="K104" i="20"/>
  <c r="L104" i="20" s="1"/>
  <c r="M104" i="20" s="1"/>
  <c r="N104" i="20" s="1"/>
  <c r="J105" i="20"/>
  <c r="K105" i="20" l="1"/>
  <c r="L105" i="20" s="1"/>
  <c r="M105" i="20" s="1"/>
  <c r="N105" i="20" s="1"/>
  <c r="J106" i="20"/>
  <c r="A104" i="20"/>
  <c r="I104" i="20"/>
  <c r="F104" i="20"/>
  <c r="D104" i="20"/>
  <c r="E104" i="20"/>
  <c r="K106" i="20" l="1"/>
  <c r="L106" i="20" s="1"/>
  <c r="M106" i="20" s="1"/>
  <c r="N106" i="20" s="1"/>
  <c r="J107" i="20"/>
  <c r="A105" i="20"/>
  <c r="E105" i="20"/>
  <c r="D105" i="20"/>
  <c r="I105" i="20"/>
  <c r="F105" i="20"/>
  <c r="K107" i="20" l="1"/>
  <c r="L107" i="20" s="1"/>
  <c r="M107" i="20" s="1"/>
  <c r="N107" i="20" s="1"/>
  <c r="J108" i="20"/>
  <c r="A106" i="20"/>
  <c r="E106" i="20"/>
  <c r="F106" i="20"/>
  <c r="D106" i="20"/>
  <c r="I106" i="20"/>
  <c r="K108" i="20" l="1"/>
  <c r="L108" i="20" s="1"/>
  <c r="M108" i="20" s="1"/>
  <c r="N108" i="20" s="1"/>
  <c r="J109" i="20"/>
  <c r="I107" i="20"/>
  <c r="D107" i="20"/>
  <c r="A107" i="20"/>
  <c r="F107" i="20"/>
  <c r="E107" i="20"/>
  <c r="K109" i="20" l="1"/>
  <c r="L109" i="20" s="1"/>
  <c r="M109" i="20" s="1"/>
  <c r="N109" i="20" s="1"/>
  <c r="J110" i="20"/>
  <c r="F108" i="20"/>
  <c r="E108" i="20"/>
  <c r="D108" i="20"/>
  <c r="I108" i="20"/>
  <c r="A108" i="20"/>
  <c r="K110" i="20" l="1"/>
  <c r="L110" i="20" s="1"/>
  <c r="M110" i="20" s="1"/>
  <c r="N110" i="20" s="1"/>
  <c r="J111" i="20"/>
  <c r="I109" i="20"/>
  <c r="E109" i="20"/>
  <c r="D109" i="20"/>
  <c r="F109" i="20"/>
  <c r="A109" i="20"/>
  <c r="J112" i="20" l="1"/>
  <c r="K111" i="20"/>
  <c r="L111" i="20" s="1"/>
  <c r="M111" i="20" s="1"/>
  <c r="N111" i="20" s="1"/>
  <c r="I110" i="20"/>
  <c r="E110" i="20"/>
  <c r="F110" i="20"/>
  <c r="A110" i="20"/>
  <c r="D110" i="20"/>
  <c r="I111" i="20" l="1"/>
  <c r="A111" i="20"/>
  <c r="D111" i="20"/>
  <c r="F111" i="20"/>
  <c r="E111" i="20"/>
  <c r="K112" i="20"/>
  <c r="L112" i="20" s="1"/>
  <c r="M112" i="20" s="1"/>
  <c r="N112" i="20" s="1"/>
  <c r="J113" i="20"/>
  <c r="A112" i="20" l="1"/>
  <c r="F112" i="20"/>
  <c r="I112" i="20"/>
  <c r="E112" i="20"/>
  <c r="D112" i="20"/>
  <c r="J114" i="20"/>
  <c r="K113" i="20"/>
  <c r="L113" i="20" s="1"/>
  <c r="M113" i="20" s="1"/>
  <c r="N113" i="20" s="1"/>
  <c r="K114" i="20" l="1"/>
  <c r="L114" i="20" s="1"/>
  <c r="M114" i="20" s="1"/>
  <c r="N114" i="20" s="1"/>
  <c r="E114" i="20" s="1"/>
  <c r="D113" i="20"/>
  <c r="F113" i="20"/>
  <c r="E113" i="20"/>
  <c r="I113" i="20"/>
  <c r="A113" i="20"/>
  <c r="I114" i="20" l="1"/>
  <c r="A114" i="20"/>
  <c r="F114" i="20"/>
  <c r="D11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tc={C228270A-4B13-4673-BE0C-73455681A415}</author>
  </authors>
  <commentList>
    <comment ref="C15" authorId="0" shapeId="0" xr:uid="{25F020CE-8DB5-4BA9-8FCB-80CDF249DFAA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85666B4F-8FA7-4F1B-BC1F-9CCD83683A8B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9A3B8FA5-C1CC-4B20-AB8C-49231C70DF19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D44" authorId="2" shapeId="0" xr:uid="{C228270A-4B13-4673-BE0C-73455681A415}">
      <text>
        <t>[Threaded comment]
Your version of Excel allows you to read this threaded comment; however, any edits to it will get removed if the file is opened in a newer version of Excel. Learn more: https://go.microsoft.com/fwlink/?linkid=870924
Comment:
    Deve ser considerado o ID presente no desenho ou ID do duto no data sheet.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E24BCCA1-A119-48E4-91A0-D71E5318586C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256BC87F-33C0-4A1F-9789-A4177CB458CF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J6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3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3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I1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  <comment ref="J19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Matheus Couto-External</author>
  </authors>
  <commentList>
    <comment ref="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É o Arc Length da linha sob a vértebra</t>
        </r>
      </text>
    </comment>
    <comment ref="P8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Medidas em relação ao centro da linha.</t>
        </r>
      </text>
    </comment>
    <comment ref="Q29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29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 D, E e G, e assim determinar o rebatimento do raio da linha no eixo horizontal.</t>
        </r>
      </text>
    </comment>
    <comment ref="Q30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30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cotas, E e G, e assim determinar o rebatimento do raio da linha no eixo horizontal.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14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  <author>Matheus Couto</author>
  </authors>
  <commentList>
    <comment ref="M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Distancia do Flange ao solo</t>
        </r>
      </text>
    </comment>
    <comment ref="M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Diferença de altura entre o flange e a parte superior da linha no ponto mais próximo ao solo</t>
        </r>
      </text>
    </comment>
    <comment ref="M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Comprimento de arco do flange ao ponto mais próximo ao solo</t>
        </r>
      </text>
    </comment>
    <comment ref="M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Comprimento de arco do ponto mais proximo ao solo até o ponto na altura do flange</t>
        </r>
      </text>
    </comment>
    <comment ref="M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Comprimento de arco do ponto de mesma altura do flange até o ponto de altura Bm a mais</t>
        </r>
      </text>
    </comment>
    <comment ref="M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Distancia horizontal do flange até o ponto de altura Bm a mais</t>
        </r>
      </text>
    </comment>
    <comment ref="M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Distancia horizontal do flange até o ponto de mesma altura na linha</t>
        </r>
      </text>
    </comment>
    <comment ref="M1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Distancia mínima da linha ao solo</t>
        </r>
      </text>
    </comment>
    <comment ref="M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4" authorId="1" shapeId="0" xr:uid="{00000000-0006-0000-0E00-00000C000000}">
      <text>
        <r>
          <rPr>
            <b/>
            <sz val="10"/>
            <color indexed="81"/>
            <rFont val="Tahoma"/>
            <family val="2"/>
          </rPr>
          <t>Menor MBR entre o MBR da vértebra e da linha</t>
        </r>
      </text>
    </comment>
    <comment ref="M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6" authorId="1" shapeId="0" xr:uid="{00000000-0006-0000-0E00-00000E000000}">
      <text>
        <r>
          <rPr>
            <b/>
            <sz val="10"/>
            <color indexed="81"/>
            <rFont val="Tahoma"/>
            <family val="2"/>
          </rPr>
          <t>Menor distância ao solo entra a distância da linha e da vértebra</t>
        </r>
      </text>
    </comment>
    <comment ref="C19" authorId="1" shapeId="0" xr:uid="{00000000-0006-0000-0E00-00000F000000}">
      <text>
        <r>
          <rPr>
            <b/>
            <sz val="10"/>
            <color indexed="81"/>
            <rFont val="Tahoma"/>
            <family val="2"/>
          </rPr>
          <t>Distância do flange ao solo</t>
        </r>
      </text>
    </comment>
    <comment ref="G22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Número da RT</t>
        </r>
      </text>
    </comment>
    <comment ref="C23" authorId="1" shapeId="0" xr:uid="{00000000-0006-0000-0E00-000011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23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Versão da RT</t>
        </r>
      </text>
    </comment>
    <comment ref="D28" authorId="1" shapeId="0" xr:uid="{00000000-0006-0000-0E00-000013000000}">
      <text>
        <r>
          <rPr>
            <b/>
            <sz val="10"/>
            <color indexed="81"/>
            <rFont val="Tahoma"/>
            <family val="2"/>
          </rPr>
          <t>Menor MBR entre o MBR da vértebra e da linha.
OBS: Caso 3i e 3ii, de 0 a 72s</t>
        </r>
      </text>
    </comment>
    <comment ref="B33" authorId="1" shapeId="0" xr:uid="{00000000-0006-0000-0E00-000014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36" authorId="1" shapeId="0" xr:uid="{00000000-0006-0000-0E00-000015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37" authorId="1" shapeId="0" xr:uid="{00000000-0006-0000-0E00-000016000000}">
      <text>
        <r>
          <rPr>
            <b/>
            <sz val="9"/>
            <color indexed="81"/>
            <rFont val="Tahoma"/>
            <family val="2"/>
          </rPr>
          <t>Dados exclusivos para o relatório, não interferem na criação ou processamento de dados do modelo.
Não preencher se não houver dragagem</t>
        </r>
      </text>
    </comment>
    <comment ref="B42" authorId="1" shapeId="0" xr:uid="{00000000-0006-0000-0E00-000017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45" authorId="1" shapeId="0" xr:uid="{00000000-0006-0000-0E00-000018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</commentList>
</comments>
</file>

<file path=xl/sharedStrings.xml><?xml version="1.0" encoding="utf-8"?>
<sst xmlns="http://schemas.openxmlformats.org/spreadsheetml/2006/main" count="5010" uniqueCount="1631">
  <si>
    <t>Historico de Revisões</t>
  </si>
  <si>
    <t>Número da revisão</t>
  </si>
  <si>
    <t>Data</t>
  </si>
  <si>
    <t>Alterado por</t>
  </si>
  <si>
    <t>Chk</t>
  </si>
  <si>
    <t>Apr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</si>
  <si>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</si>
  <si>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</si>
  <si>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</si>
  <si>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</si>
  <si>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</si>
  <si>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</si>
  <si>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</si>
  <si>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</si>
  <si>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</si>
  <si>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</si>
  <si>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Revisão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</si>
  <si>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</si>
  <si>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</si>
  <si>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</si>
  <si>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</si>
  <si>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Revisão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</si>
  <si>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</si>
  <si>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</si>
  <si>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</si>
  <si>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</si>
  <si>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Revisão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</si>
  <si>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</si>
  <si>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</si>
  <si>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</si>
  <si>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</si>
  <si>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</si>
  <si>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</si>
  <si>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 para kg e mm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</si>
  <si>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</si>
  <si>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</si>
  <si>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</si>
  <si>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</si>
  <si>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</si>
  <si>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Revisão 6</t>
  </si>
  <si>
    <t>Inclusão inputs para o DB de CVD</t>
  </si>
  <si>
    <t>Revisão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</si>
  <si>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</si>
  <si>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</si>
  <si>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</si>
  <si>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</si>
  <si>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Revisão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</si>
  <si>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</si>
  <si>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</si>
  <si>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</si>
  <si>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</si>
  <si>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</si>
  <si>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Revisão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</si>
  <si>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</si>
  <si>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</si>
  <si>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</si>
  <si>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</si>
  <si>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</si>
  <si>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</si>
  <si>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</si>
  <si>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</si>
  <si>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</si>
  <si>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</si>
  <si>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 xml:space="preserve">Alteração do nome do arquivo Relatorio gerado e da pasta 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</si>
  <si>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</si>
  <si>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</si>
  <si>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</si>
  <si>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</si>
  <si>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</si>
  <si>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</si>
  <si>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</si>
  <si>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</si>
  <si>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</si>
  <si>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</si>
  <si>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</si>
  <si>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</si>
  <si>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</si>
  <si>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</si>
  <si>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</si>
  <si>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</si>
  <si>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</si>
  <si>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</si>
  <si>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</si>
  <si>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</si>
  <si>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</si>
  <si>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</si>
  <si>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</si>
  <si>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</si>
  <si>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</si>
  <si>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</si>
  <si>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</si>
  <si>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</si>
  <si>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</si>
  <si>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</si>
  <si>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</si>
  <si>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</si>
  <si>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</si>
  <si>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</si>
  <si>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</si>
  <si>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</si>
  <si>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Células</t>
  </si>
  <si>
    <t>Aba</t>
  </si>
  <si>
    <t>Estrutura</t>
  </si>
  <si>
    <t>LDA [m]</t>
  </si>
  <si>
    <t>Poço/ Manifold</t>
  </si>
  <si>
    <t>ok</t>
  </si>
  <si>
    <t>Equação 1:</t>
  </si>
  <si>
    <t>RT</t>
  </si>
  <si>
    <t>B5</t>
  </si>
  <si>
    <t>Results</t>
  </si>
  <si>
    <t>H33</t>
  </si>
  <si>
    <t>Identificação da Estrutura</t>
  </si>
  <si>
    <t>Peso vazio no ar [kg/m]</t>
  </si>
  <si>
    <t>Data Sheet</t>
  </si>
  <si>
    <t>Revisão da RT</t>
  </si>
  <si>
    <t>F5</t>
  </si>
  <si>
    <t>H34</t>
  </si>
  <si>
    <t>WSI 152.2553-RD-4042-6</t>
  </si>
  <si>
    <t>Peso cheio no ar [kg/m]</t>
  </si>
  <si>
    <t>Título da RT</t>
  </si>
  <si>
    <t>C13</t>
  </si>
  <si>
    <t>H35</t>
  </si>
  <si>
    <t>Revisão</t>
  </si>
  <si>
    <t>Peso vazio na água [kg/m]</t>
  </si>
  <si>
    <t>B6</t>
  </si>
  <si>
    <t>H26</t>
  </si>
  <si>
    <t>1</t>
  </si>
  <si>
    <t>Peso cheio na água [kg/m]</t>
  </si>
  <si>
    <t>PLSV</t>
  </si>
  <si>
    <t>J23</t>
  </si>
  <si>
    <t>H20</t>
  </si>
  <si>
    <t>OD [m]</t>
  </si>
  <si>
    <t>Calculado pela equação 1</t>
  </si>
  <si>
    <t>Poço/Manifold</t>
  </si>
  <si>
    <t>J24</t>
  </si>
  <si>
    <t>H19</t>
  </si>
  <si>
    <t>ID [m]</t>
  </si>
  <si>
    <t>Calculado pela equação 2</t>
  </si>
  <si>
    <t>Equação 2:</t>
  </si>
  <si>
    <t>Tipo de linha</t>
  </si>
  <si>
    <t>J25</t>
  </si>
  <si>
    <t>H17</t>
  </si>
  <si>
    <t>Contact diameter [mm]</t>
  </si>
  <si>
    <t>OD do Data Sheet</t>
  </si>
  <si>
    <t>LDA</t>
  </si>
  <si>
    <t>J27</t>
  </si>
  <si>
    <t>Values</t>
  </si>
  <si>
    <t>C3</t>
  </si>
  <si>
    <t>Diâmetro nominal ['']</t>
  </si>
  <si>
    <t>ID do Data Sheet [Polegadas]</t>
  </si>
  <si>
    <t>Campo</t>
  </si>
  <si>
    <t>J30</t>
  </si>
  <si>
    <t>H21</t>
  </si>
  <si>
    <t>MBR storage [m]</t>
  </si>
  <si>
    <t>Armazenamento</t>
  </si>
  <si>
    <t>Planilha EQSB</t>
  </si>
  <si>
    <t>B32</t>
  </si>
  <si>
    <t>MCV e Guindaste</t>
  </si>
  <si>
    <t>B3</t>
  </si>
  <si>
    <t>MBRi instalação [m]</t>
  </si>
  <si>
    <t>Verificar se não é fornecido no MD</t>
  </si>
  <si>
    <t>Revisão da Planilha EQSB</t>
  </si>
  <si>
    <t>F32</t>
  </si>
  <si>
    <t>B4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</si>
  <si>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</si>
  <si>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Usar curva de rigidez</t>
  </si>
  <si>
    <t>Equipamento Submarino</t>
  </si>
  <si>
    <t>C34</t>
  </si>
  <si>
    <t>H18</t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</si>
  <si>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</si>
  <si>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RL</t>
  </si>
  <si>
    <t>B36</t>
  </si>
  <si>
    <t>H30</t>
  </si>
  <si>
    <t>Rel. Elongation (%) for 100kN</t>
  </si>
  <si>
    <t xml:space="preserve">Ԑ = 100 * F / EA </t>
  </si>
  <si>
    <t>Revisão da RL</t>
  </si>
  <si>
    <t>F36</t>
  </si>
  <si>
    <t>H31</t>
  </si>
  <si>
    <t xml:space="preserve">Axial Stiffness [KN] </t>
  </si>
  <si>
    <t>Se indicado valor  no data sheet , sobrescrever a célula.</t>
  </si>
  <si>
    <t>Equação 3:</t>
  </si>
  <si>
    <t>Figura 1:</t>
  </si>
  <si>
    <t>Peso na água do MCV</t>
  </si>
  <si>
    <t>D38</t>
  </si>
  <si>
    <t>C19</t>
  </si>
  <si>
    <t>Bend Restrictor</t>
  </si>
  <si>
    <t>Comprimento [mm]</t>
  </si>
  <si>
    <t>Atentar para o número de anéis a serem montados</t>
  </si>
  <si>
    <t>Número do desenho do MCV</t>
  </si>
  <si>
    <t>B39</t>
  </si>
  <si>
    <t>Peso vazio no ar [kg]</t>
  </si>
  <si>
    <t>Estrututa</t>
  </si>
  <si>
    <t>J44</t>
  </si>
  <si>
    <t>A5</t>
  </si>
  <si>
    <t>CB-BR1522553-00-01</t>
  </si>
  <si>
    <t>Peso vazio na água [kg]</t>
  </si>
  <si>
    <t>Se não tiver no desenho usar Par*0,87. Vértebras de PU (não multiplicar por 0,87)</t>
  </si>
  <si>
    <t>Diâmetro de  contato</t>
  </si>
  <si>
    <t>J45</t>
  </si>
  <si>
    <t>C10</t>
  </si>
  <si>
    <t>Peso no ar/comp [t/m]</t>
  </si>
  <si>
    <t>Peso vazio no ar</t>
  </si>
  <si>
    <t>D47</t>
  </si>
  <si>
    <t>C4</t>
  </si>
  <si>
    <t>Peso na água/comp [t/m]</t>
  </si>
  <si>
    <t>Atentar para vértebras de PU (não multiplicar por 0,87)</t>
  </si>
  <si>
    <t>Peso vazio na água</t>
  </si>
  <si>
    <t>D48</t>
  </si>
  <si>
    <t>C6</t>
  </si>
  <si>
    <t>Calculado pela equação 3</t>
  </si>
  <si>
    <t>Peso cheio no ar</t>
  </si>
  <si>
    <t>J47</t>
  </si>
  <si>
    <t>C5</t>
  </si>
  <si>
    <t>OD [mm]</t>
  </si>
  <si>
    <t>OD da menor seção da vértebra (figura 1)</t>
  </si>
  <si>
    <t>J48</t>
  </si>
  <si>
    <t>C7</t>
  </si>
  <si>
    <t>ID [mm]</t>
  </si>
  <si>
    <t>ID da menor seção da vértebra (figura 1)</t>
  </si>
  <si>
    <t>MBR de instalação</t>
  </si>
  <si>
    <t>J49</t>
  </si>
  <si>
    <t>Maior diâmetro do acessório (colocar em contact e drag)</t>
  </si>
  <si>
    <t>Rigidez à flexão</t>
  </si>
  <si>
    <t>J50</t>
  </si>
  <si>
    <t>C14</t>
  </si>
  <si>
    <t>MBR travamento [m]</t>
  </si>
  <si>
    <t>Valor do Relatório de Esforços</t>
  </si>
  <si>
    <t>Rigidez axial</t>
  </si>
  <si>
    <t>J51</t>
  </si>
  <si>
    <t>C17</t>
  </si>
  <si>
    <t>Momento Fletor Admissível [kN.m]</t>
  </si>
  <si>
    <t>Valor do desenho</t>
  </si>
  <si>
    <t>Peso no ar do conector</t>
  </si>
  <si>
    <t>C56</t>
  </si>
  <si>
    <t>C38</t>
  </si>
  <si>
    <t>Força Cortante Admissível [kN]</t>
  </si>
  <si>
    <t>Peso na água do conector</t>
  </si>
  <si>
    <t>D56</t>
  </si>
  <si>
    <t>C39</t>
  </si>
  <si>
    <t>Bending Stiffness [kN.m2]</t>
  </si>
  <si>
    <t>Calculado pela equação 4</t>
  </si>
  <si>
    <t>Equação 4:</t>
  </si>
  <si>
    <t>Conector</t>
  </si>
  <si>
    <t>E56</t>
  </si>
  <si>
    <t>A39</t>
  </si>
  <si>
    <t>Axial Stiffness [kN]</t>
  </si>
  <si>
    <t>Peso no ar da vértebra</t>
  </si>
  <si>
    <t>C57</t>
  </si>
  <si>
    <t>Peso no água da vértebra</t>
  </si>
  <si>
    <t>D57</t>
  </si>
  <si>
    <t>C20</t>
  </si>
  <si>
    <t>Curvatura [1/m]</t>
  </si>
  <si>
    <t>Ver aba Bending Stiffness</t>
  </si>
  <si>
    <t>Vértebra</t>
  </si>
  <si>
    <t>E57</t>
  </si>
  <si>
    <t>A20</t>
  </si>
  <si>
    <t>Bend moment [kN.m]</t>
  </si>
  <si>
    <t>Peso no ar do adaptador</t>
  </si>
  <si>
    <t>C58</t>
  </si>
  <si>
    <t>C50</t>
  </si>
  <si>
    <t>Curvatura limit [1/m]</t>
  </si>
  <si>
    <t>Peso no água do adaptador</t>
  </si>
  <si>
    <t>D58</t>
  </si>
  <si>
    <t>C51</t>
  </si>
  <si>
    <t>Bend Moment limit [kN.m]</t>
  </si>
  <si>
    <t>Ver aba Bending Stiffness e equação 5</t>
  </si>
  <si>
    <t>Adaptador de flange</t>
  </si>
  <si>
    <t>E58</t>
  </si>
  <si>
    <t>A51</t>
  </si>
  <si>
    <t xml:space="preserve">End Fitting </t>
  </si>
  <si>
    <t>CB-EF1522540-00-05</t>
  </si>
  <si>
    <t xml:space="preserve">Se não tiver no desenho usar Par*0,87. </t>
  </si>
  <si>
    <t>4</t>
  </si>
  <si>
    <t xml:space="preserve">OD do pescoço presente no desenho </t>
  </si>
  <si>
    <t>not ok</t>
  </si>
  <si>
    <t>254, sem impacto</t>
  </si>
  <si>
    <t>ID presente no desenho ou OD do duto no data sheet</t>
  </si>
  <si>
    <t>Equação 5:</t>
  </si>
  <si>
    <t>Adaptador de flanges</t>
  </si>
  <si>
    <t>END B</t>
  </si>
  <si>
    <t>Testar configuração da PETROBRAS</t>
  </si>
  <si>
    <t>Equação 6:</t>
  </si>
  <si>
    <t>DESENHO MCV - Relatório PETROBRAS</t>
  </si>
  <si>
    <t>Comentário</t>
  </si>
  <si>
    <t>Drawing MCV (Orcaflex)</t>
  </si>
  <si>
    <t>EQSB</t>
  </si>
  <si>
    <t>FD-3A00.00-1514-276-PEK-001</t>
  </si>
  <si>
    <t>Fornecedor</t>
  </si>
  <si>
    <t>TechnipFMC</t>
  </si>
  <si>
    <t>Desenho</t>
  </si>
  <si>
    <t>P7000048060</t>
  </si>
  <si>
    <t>Equipamento</t>
  </si>
  <si>
    <t>MSIAGs FMC</t>
  </si>
  <si>
    <t>A [mm]</t>
  </si>
  <si>
    <t>B [mm]</t>
  </si>
  <si>
    <t>C [mm]</t>
  </si>
  <si>
    <t>D  [mm]</t>
  </si>
  <si>
    <t>E  [mm]</t>
  </si>
  <si>
    <t>F  [mm]</t>
  </si>
  <si>
    <t>G 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</si>
  <si>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</si>
  <si>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</si>
  <si>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</si>
  <si>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</si>
  <si>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</si>
  <si>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</si>
  <si>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</si>
  <si>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</si>
  <si>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</si>
  <si>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</si>
  <si>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</si>
  <si>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</si>
  <si>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</si>
  <si>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</si>
  <si>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</si>
  <si>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</si>
  <si>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</si>
  <si>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</si>
  <si>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</si>
  <si>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</si>
  <si>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</si>
  <si>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 . Peso ar deve ser igual ao peso na água</t>
  </si>
  <si>
    <t>Gráfico Flow [Curvature x Bending Stiffness]</t>
  </si>
  <si>
    <t>Gráfico Bend Restrictor [Curvature x Bending Stiffness]</t>
  </si>
  <si>
    <t>Rigidez Linha (Relatório de Esforços)</t>
  </si>
  <si>
    <t>Rigidez Bend Restrictor</t>
  </si>
  <si>
    <t>Curvature [1/m]</t>
  </si>
  <si>
    <t>BM [N.m]</t>
  </si>
  <si>
    <t>BM [kN.m]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</si>
  <si>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</si>
  <si>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</si>
  <si>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</si>
  <si>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</si>
  <si>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</si>
  <si>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</si>
  <si>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</si>
  <si>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</si>
  <si>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</si>
  <si>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</si>
  <si>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</si>
  <si>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A14</t>
  </si>
  <si>
    <t>B14</t>
  </si>
  <si>
    <t>Range Graph Min</t>
  </si>
  <si>
    <t>Static State</t>
  </si>
  <si>
    <t>Bend Radius</t>
  </si>
  <si>
    <t>A15</t>
  </si>
  <si>
    <t>B15</t>
  </si>
  <si>
    <t>A16</t>
  </si>
  <si>
    <t>B16</t>
  </si>
  <si>
    <t>Vertical Seabed Clearance</t>
  </si>
  <si>
    <t>A17</t>
  </si>
  <si>
    <t>B17</t>
  </si>
  <si>
    <t>A18</t>
  </si>
  <si>
    <t>B18</t>
  </si>
  <si>
    <t>Get Data</t>
  </si>
  <si>
    <t>Environment</t>
  </si>
  <si>
    <t>Depth</t>
  </si>
  <si>
    <t>A19</t>
  </si>
  <si>
    <t>B19</t>
  </si>
  <si>
    <t>Static Result</t>
  </si>
  <si>
    <t>End B</t>
  </si>
  <si>
    <t>Z</t>
  </si>
  <si>
    <t>B20</t>
  </si>
  <si>
    <t>Rotation 2</t>
  </si>
  <si>
    <t>A21</t>
  </si>
  <si>
    <t>B21</t>
  </si>
  <si>
    <t>End Ex-Force</t>
  </si>
  <si>
    <t>A22</t>
  </si>
  <si>
    <t>B22</t>
  </si>
  <si>
    <t>End Ez-Force</t>
  </si>
  <si>
    <t>A23</t>
  </si>
  <si>
    <t>B23</t>
  </si>
  <si>
    <t>End Ey-Moment</t>
  </si>
  <si>
    <t>Auxiliar2</t>
  </si>
  <si>
    <t>B2</t>
  </si>
  <si>
    <t>Range Graph</t>
  </si>
  <si>
    <t>X</t>
  </si>
  <si>
    <t>D2</t>
  </si>
  <si>
    <t>D3</t>
  </si>
  <si>
    <t>F2</t>
  </si>
  <si>
    <t>F3</t>
  </si>
  <si>
    <t>H2</t>
  </si>
  <si>
    <t>H3</t>
  </si>
  <si>
    <t>M2</t>
  </si>
  <si>
    <t>M3</t>
  </si>
  <si>
    <t>Declination</t>
  </si>
  <si>
    <t>A41</t>
  </si>
  <si>
    <t>B24</t>
  </si>
  <si>
    <t>Range Graph Max</t>
  </si>
  <si>
    <t>Bend Moment</t>
  </si>
  <si>
    <t>A25</t>
  </si>
  <si>
    <t>B25</t>
  </si>
  <si>
    <t>Shear Force</t>
  </si>
  <si>
    <t>A27</t>
  </si>
  <si>
    <t>B27</t>
  </si>
  <si>
    <t>StageValue[3]</t>
  </si>
  <si>
    <t>A28</t>
  </si>
  <si>
    <t>B28</t>
  </si>
  <si>
    <t>0 to 32</t>
  </si>
  <si>
    <t>A29</t>
  </si>
  <si>
    <t>B29</t>
  </si>
  <si>
    <t>A30</t>
  </si>
  <si>
    <t>B30</t>
  </si>
  <si>
    <t>NumberOfAttachments</t>
  </si>
  <si>
    <t>Auxiliar1</t>
  </si>
  <si>
    <t>A1</t>
  </si>
  <si>
    <t>A2</t>
  </si>
  <si>
    <t>Linked Statistics</t>
  </si>
  <si>
    <t>End Ex-Force,End Ez-Force,End Ey-Moment</t>
  </si>
  <si>
    <t>Auxiliar</t>
  </si>
  <si>
    <t>Time History</t>
  </si>
  <si>
    <t>Touchdown</t>
  </si>
  <si>
    <t>Whole Simulation</t>
  </si>
  <si>
    <t>Arc Length</t>
  </si>
  <si>
    <t>C18</t>
  </si>
  <si>
    <t>Sample Times</t>
  </si>
  <si>
    <t>G1</t>
  </si>
  <si>
    <t>G2</t>
  </si>
  <si>
    <t>A37</t>
  </si>
  <si>
    <t>B37</t>
  </si>
  <si>
    <t>A38</t>
  </si>
  <si>
    <t>B38</t>
  </si>
  <si>
    <t>A48</t>
  </si>
  <si>
    <t>B48</t>
  </si>
  <si>
    <t>A49</t>
  </si>
  <si>
    <t>B49</t>
  </si>
  <si>
    <t>Auxiliar3</t>
  </si>
  <si>
    <t>J2</t>
  </si>
  <si>
    <t>J3</t>
  </si>
  <si>
    <t>L2</t>
  </si>
  <si>
    <t>L3</t>
  </si>
  <si>
    <t>A52</t>
  </si>
  <si>
    <t>B52</t>
  </si>
  <si>
    <t>P26</t>
  </si>
  <si>
    <t>P27</t>
  </si>
  <si>
    <t>P28</t>
  </si>
  <si>
    <t>P29</t>
  </si>
  <si>
    <t>A53</t>
  </si>
  <si>
    <t>B53</t>
  </si>
  <si>
    <t>A54</t>
  </si>
  <si>
    <t>B54</t>
  </si>
  <si>
    <t>A56</t>
  </si>
  <si>
    <t>B56</t>
  </si>
  <si>
    <t>A57</t>
  </si>
  <si>
    <t>B57</t>
  </si>
  <si>
    <t>Auxiliar4</t>
  </si>
  <si>
    <t>A60</t>
  </si>
  <si>
    <t>B60</t>
  </si>
  <si>
    <t>A61</t>
  </si>
  <si>
    <t>B61</t>
  </si>
  <si>
    <t>A62</t>
  </si>
  <si>
    <t>B62</t>
  </si>
  <si>
    <t>Linked Statistics - Line - End B - 0 to 32 - End Ex-Force,End Ez-Force,End Ey-Moment</t>
  </si>
  <si>
    <t>Linked Statistics - Line - End B - 41,899 to 41,901 - End Ex-Force,End Ez-Force,End Ey-Moment</t>
  </si>
  <si>
    <t>Time</t>
  </si>
  <si>
    <t>Mean</t>
  </si>
  <si>
    <t>Std. dev.</t>
  </si>
  <si>
    <t>RMS</t>
  </si>
  <si>
    <t>Mean up-crossing period Tz (s)</t>
  </si>
  <si>
    <t>N/A</t>
  </si>
  <si>
    <t>Mean crest period Tc (s)</t>
  </si>
  <si>
    <t>m0</t>
  </si>
  <si>
    <t>m2</t>
  </si>
  <si>
    <t>m4</t>
  </si>
  <si>
    <t>Bandwidth (ε)</t>
  </si>
  <si>
    <t>Max.</t>
  </si>
  <si>
    <t>Min.</t>
  </si>
  <si>
    <t>Time History - Line - Touchdown - Whole Simulation - Arc Length</t>
  </si>
  <si>
    <t>Time History - Stiffener1 - Touchdown - Whole Simulation - Arc Length</t>
  </si>
  <si>
    <t>Sample Times - Whole Simulation</t>
  </si>
  <si>
    <t>Momento do Primeiro Toque</t>
  </si>
  <si>
    <t>Linha</t>
  </si>
  <si>
    <t>Valores extraídos para resultados</t>
  </si>
  <si>
    <t>Ex</t>
  </si>
  <si>
    <t>Ez</t>
  </si>
  <si>
    <t>Ey</t>
  </si>
  <si>
    <t>Cortante</t>
  </si>
  <si>
    <t>Tração</t>
  </si>
  <si>
    <t>Momento</t>
  </si>
  <si>
    <t>?</t>
  </si>
  <si>
    <t>Min</t>
  </si>
  <si>
    <t>Max</t>
  </si>
  <si>
    <t>Peso Morto ou Boia</t>
  </si>
  <si>
    <t>Attachment Type</t>
  </si>
  <si>
    <t>Z bouy (m)</t>
  </si>
  <si>
    <t>Num. Apenas</t>
  </si>
  <si>
    <t>Colunas de Apoio</t>
  </si>
  <si>
    <t>X - Line</t>
  </si>
  <si>
    <t>Z - Line</t>
  </si>
  <si>
    <t>Vertical Seabed Clearance - Line</t>
  </si>
  <si>
    <t>Vertical Seabed Clearance - Stiffener1</t>
  </si>
  <si>
    <t>Arc Length da Linha em Relação à Vértebra</t>
  </si>
  <si>
    <t>Arc Length - Line</t>
  </si>
  <si>
    <t>Declination - Line</t>
  </si>
  <si>
    <t>SKA_1320</t>
  </si>
  <si>
    <t>Arc length</t>
  </si>
  <si>
    <t>Vertical seabed clearance</t>
  </si>
  <si>
    <t>SKA_660</t>
  </si>
  <si>
    <t>SKA_741</t>
  </si>
  <si>
    <t>AL</t>
  </si>
  <si>
    <t>Sb Clearance</t>
  </si>
  <si>
    <t>Ponto Mais Próximo do Solo</t>
  </si>
  <si>
    <t>Ponto de Encontro das Cotas D, E e G</t>
  </si>
  <si>
    <t>Ponto de Encontro das Cotas E e F</t>
  </si>
  <si>
    <t>Diâmetro</t>
  </si>
  <si>
    <t>Cota A</t>
  </si>
  <si>
    <t>Cota B</t>
  </si>
  <si>
    <t>Cota C</t>
  </si>
  <si>
    <t>Cota D</t>
  </si>
  <si>
    <t>Cota E</t>
  </si>
  <si>
    <t>Cota F</t>
  </si>
  <si>
    <t>Cota G</t>
  </si>
  <si>
    <t>Cota H</t>
  </si>
  <si>
    <t>X - Stiffener1</t>
  </si>
  <si>
    <t>Tabela de Auxílio</t>
  </si>
  <si>
    <t>Linha até a vértebra</t>
  </si>
  <si>
    <t>Cont</t>
  </si>
  <si>
    <t>TDP Mais Distante ao Flange</t>
  </si>
  <si>
    <t>Ocorre na Vértebra?</t>
  </si>
  <si>
    <t>Cota I</t>
  </si>
  <si>
    <t>Cota J</t>
  </si>
  <si>
    <t>TDP Mais Próximo ao Flange</t>
  </si>
  <si>
    <t>Ponto de altura equivalente ao End B</t>
  </si>
  <si>
    <t>CONT1</t>
  </si>
  <si>
    <t>NumberOfAttachments - Line</t>
  </si>
  <si>
    <t>Attachmentz[6] - Line</t>
  </si>
  <si>
    <t>Somatório</t>
  </si>
  <si>
    <t>CONT2</t>
  </si>
  <si>
    <t>Nome do Arquivo Estático</t>
  </si>
  <si>
    <t>#!/usr/bin/env python</t>
  </si>
  <si>
    <t>Estatico.sim</t>
  </si>
  <si>
    <t># -*- coding: utf-8 -*-</t>
  </si>
  <si>
    <t>Nome do Arquivo Gerado</t>
  </si>
  <si>
    <t>import matplotlib.pyplot as plt</t>
  </si>
  <si>
    <t>estatico.png</t>
  </si>
  <si>
    <t>from OrcFxAPI import *</t>
  </si>
  <si>
    <t>from numpy import *</t>
  </si>
  <si>
    <t>Nome do Script Gerado</t>
  </si>
  <si>
    <t>from matplotlib.path import Path</t>
  </si>
  <si>
    <t>estatico.py</t>
  </si>
  <si>
    <t>import matplotlib.patches as patches</t>
  </si>
  <si>
    <t>Tamanho da Fonte</t>
  </si>
  <si>
    <t>##########################  UTILIZADOR  ##########################</t>
  </si>
  <si>
    <t>########################## INICIO INPUT ##########################</t>
  </si>
  <si>
    <t>##########################              ##########################</t>
  </si>
  <si>
    <t># Caminho do ficheiro da analise estatica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</si>
  <si>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</si>
  <si>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</si>
  <si>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</si>
  <si>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</si>
  <si>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</si>
  <si>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</si>
  <si>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</si>
  <si>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</si>
  <si>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</si>
  <si>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</si>
  <si>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</si>
  <si>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</si>
  <si>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</si>
  <si>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</si>
  <si>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</si>
  <si>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</si>
  <si>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</si>
  <si>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0.0</t>
  </si>
  <si>
    <t># Movimentar em X o texto da cota do comprimento de linha da flange ao ponto minimo da linha [m]</t>
  </si>
  <si>
    <t>mov_x_3 = 0.0</t>
  </si>
  <si>
    <t># Movimentar em Z o texto da cota do comprimento de linha da flange ao ponto minimo da linha [m]</t>
  </si>
  <si>
    <t>mov_z_3 = 0.0</t>
  </si>
  <si>
    <t># Movimentar em X o texto da cota do comprimento do ponto minimo da linha ao outro lado da flange [m]</t>
  </si>
  <si>
    <t>mov_x_4 = 0.0</t>
  </si>
  <si>
    <t># Movimentar em Z o texto da cota do comprimento do ponto minimo da linha ao outro lado da flange [m]</t>
  </si>
  <si>
    <t>mov_z_4 = 0.0</t>
  </si>
  <si>
    <t># Movimentar em X o texto da cota horizontal da flange ao outro lado do duto [m]</t>
  </si>
  <si>
    <t>mov_x_5 = 0.0</t>
  </si>
  <si>
    <t># Movimentar em Z a cota horizontal da flange ao outro lado do duto [m]</t>
  </si>
  <si>
    <t>mov_z_5 = 0.0</t>
  </si>
  <si>
    <t># Movimentar em X o texto da cota horizontal da flange ao outro lado do duto e acima [m]</t>
  </si>
  <si>
    <t>mov_x_6 = 0.0</t>
  </si>
  <si>
    <t># Movimentar em Z a cota horizontal da flange ao outro lado do duto e acima [m]</t>
  </si>
  <si>
    <t>mov_z_6 = 0.0</t>
  </si>
  <si>
    <t># Movimentar em X o texto da cota horizontal da flange 'a distancia minima ao solo marinho [m]</t>
  </si>
  <si>
    <t>mov_x_7 = 0.0</t>
  </si>
  <si>
    <t># Movimentar em Z a cota horizontal da flange 'a distancia minima ao solo marinho [m]</t>
  </si>
  <si>
    <t>mov_z_7 = 0.0</t>
  </si>
  <si>
    <t># Movimentar em X o texto cota da catenaria do ponto no duto que esta do outro lado da flange ate a acima da flange do mcv [m]</t>
  </si>
  <si>
    <t>mov_x_8 = 0.0</t>
  </si>
  <si>
    <t># Movimentar em Z o texto cota da catenaria do ponto no duto que esta do outro lado da flange ate a acima da flange do mcv [m]</t>
  </si>
  <si>
    <t>mov_z_8 = 0.0</t>
  </si>
  <si>
    <t># Movimentar em X a cota vertical do ponto no duto que esta do outro lado da flange ate a acima da flange do mcv</t>
  </si>
  <si>
    <t>mov_x_9 = 0.0</t>
  </si>
  <si>
    <t># Movimentar em Z o texto da cota vertical do ponto no duto que esta do outro lado da flange ate a acima da flange do mcv</t>
  </si>
  <si>
    <t>mov_z_9 = 0.0</t>
  </si>
  <si>
    <t># Movimentar em X o texto da descrição de flutuadores em relação ao da esquerda [m]</t>
  </si>
  <si>
    <t>mov_x_10 = 0.0</t>
  </si>
  <si>
    <t># Movimentar em Z o texto da descrição de flutuadores em relação ao da esquerda [m]</t>
  </si>
  <si>
    <t>mov_z_10 = 0.0</t>
  </si>
  <si>
    <t># Movimentar em X o texto da cota de distancia do flange à dragagem</t>
  </si>
  <si>
    <t>mov_x_11 = 0.0</t>
  </si>
  <si>
    <t># Movimentar em Z a cota de distancia do flange à dragagem</t>
  </si>
  <si>
    <t>mov_z_11 = 0.0</t>
  </si>
  <si>
    <t># Movimentar em X o texto da cota de comprimento da dragagem</t>
  </si>
  <si>
    <t>mov_x_12 = 0.0</t>
  </si>
  <si>
    <t># Movimentar em Z a cota de comprimento da dragagem</t>
  </si>
  <si>
    <t>mov_z_12 = 0.0</t>
  </si>
  <si>
    <t># Movimentar em X o texto da cota de profundidade da dragagem</t>
  </si>
  <si>
    <t>mov_x_13 = 0.0</t>
  </si>
  <si>
    <t># Movimentar em Z a cota de profundidade da dragagem</t>
  </si>
  <si>
    <t>mov_z_13 = 0.0</t>
  </si>
  <si>
    <t># Tamanho da fonte</t>
  </si>
  <si>
    <t>##########################   FIM INPUT  ##########################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</si>
  <si>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</si>
  <si>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</si>
  <si>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</si>
  <si>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</si>
  <si>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</si>
  <si>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</si>
  <si>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</si>
  <si>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</si>
  <si>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</si>
  <si>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</si>
  <si>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</si>
  <si>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</si>
  <si>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</si>
  <si>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</si>
  <si>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</si>
  <si>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</si>
  <si>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</si>
  <si>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</si>
  <si>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</si>
  <si>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</si>
  <si>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</si>
  <si>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</si>
  <si>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</si>
  <si>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Model()</t>
  </si>
  <si>
    <t>model.LoadSimulation(filename_static)</t>
  </si>
  <si>
    <t># ----Recognize MCVs ------------------------------------------------------------------------------------------------------------------#</t>
  </si>
  <si>
    <t>VCMs = [obj for obj in model.objects if obj.type == ot6DBuoy]</t>
  </si>
  <si>
    <t>if len(VCMs)&gt;1:</t>
  </si>
  <si>
    <t xml:space="preserve">    if VCMs[0].StaticResult('Z')&lt;VCMs[1].StaticResult('Z'):</t>
  </si>
  <si>
    <t xml:space="preserve">        VCM1 = VCMs[0]</t>
  </si>
  <si>
    <t xml:space="preserve">    else:</t>
  </si>
  <si>
    <t xml:space="preserve">        VCM1 = VCMs[1]</t>
  </si>
  <si>
    <t>else:</t>
  </si>
  <si>
    <t xml:space="preserve">    VCM1 = VCMs[0]</t>
  </si>
  <si>
    <t xml:space="preserve">#----Recognize Line and Attachemnt lines----------------------------------------------------------------------------------------------#       </t>
  </si>
  <si>
    <t>att_lines=[]</t>
  </si>
  <si>
    <t>lines        = [obj for obj in model.objects if obj.type == otLine]</t>
  </si>
  <si>
    <t>for line in lines:</t>
  </si>
  <si>
    <t xml:space="preserve">    if line.NumberOfSections&gt;2:</t>
  </si>
  <si>
    <t xml:space="preserve">        line1 = line</t>
  </si>
  <si>
    <t xml:space="preserve">        att_lines.append(line.Name)</t>
  </si>
  <si>
    <t xml:space="preserve">line=0    </t>
  </si>
  <si>
    <t xml:space="preserve">#----Recognize Crane Wire-------------------------------------------------------------------------------------------------------------#         </t>
  </si>
  <si>
    <t>wires       = [obj for obj in model.objects if obj.type == otWinch]</t>
  </si>
  <si>
    <t>for wire in wires:</t>
  </si>
  <si>
    <t xml:space="preserve">    if wire.Connection[0] == VCM1.Name or wire.Connection[1] == VCM1.Name:</t>
  </si>
  <si>
    <t xml:space="preserve">        Crane = wire</t>
  </si>
  <si>
    <t>#----Recognize Environment------------------------------------------------------------------------------------------------------------#</t>
  </si>
  <si>
    <t>environments = [obj for obj in model.objects if obj.type == otEnvironment]</t>
  </si>
  <si>
    <t>for environment in environments:</t>
  </si>
  <si>
    <t xml:space="preserve">    environment = environment</t>
  </si>
  <si>
    <t>#----Diametros de contato da linha----------------------------------------------------------------------------------------------------#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</si>
  <si>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</si>
  <si>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</si>
  <si>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</si>
  <si>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</si>
  <si>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</si>
  <si>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</si>
  <si>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</si>
  <si>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</si>
  <si>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</si>
  <si>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    diameter.append(linetype.ContactDiameter)    </t>
  </si>
  <si>
    <t>#----Diametros de contato dos attachment lines----------------------------------------------------------------------------------------#</t>
  </si>
  <si>
    <t>att_diameter=[]</t>
  </si>
  <si>
    <t>for j 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</si>
  <si>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</si>
  <si>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</si>
  <si>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</si>
  <si>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</si>
  <si>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</si>
  <si>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</si>
  <si>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</si>
  <si>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</si>
  <si>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postion--------------------------------------------------------------------------------------------------------------#</t>
  </si>
  <si>
    <t>#Bottom</t>
  </si>
  <si>
    <t>Crane_VCM1_bottom_conection_X=Crane.StaticResult('X',oeWinch(2))</t>
  </si>
  <si>
    <t>Crane_VCM1_bottom_conection_Z=Crane.StaticResult('Z',oeWinch(2))</t>
  </si>
  <si>
    <t>#Top</t>
  </si>
  <si>
    <t>Crane_VCM1_top_conection_X=Crane.StaticResult('X',oeWinch(1))</t>
  </si>
  <si>
    <t>Crane_VCM1_top_conection_Z=Crane.StaticResult('Z',oeWinch(1))</t>
  </si>
  <si>
    <t>#----Water Depth-------------------------------------------------------------------------------------------------------------------------#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</si>
  <si>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</si>
  <si>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</si>
  <si>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</si>
  <si>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</si>
  <si>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</si>
  <si>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</si>
  <si>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</si>
  <si>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Seabed_X.append(environment.SeabedOriginX+environment.SeabedProfileDistanceFromSeabedOrigin[i])</t>
  </si>
  <si>
    <t xml:space="preserve">        Seabed_Z.append(environment.SeabedProfileZ[i])</t>
  </si>
  <si>
    <t xml:space="preserve">     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</si>
  <si>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</si>
  <si>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</si>
  <si>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Seabed_Z.insert(0,environment.SeabedProfileZ[Seabed_X.index(min(Seabed_X))])</t>
  </si>
  <si>
    <t xml:space="preserve">    Seabed_X.insert(0,min(Seabed_X)-100)</t>
  </si>
  <si>
    <t>min_wd=min(wd_1,min(Seabed_Z))</t>
  </si>
  <si>
    <t>#----Line Nodes position and angle-------------------------------------------------------------------------------------------------------#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</si>
  <si>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</si>
  <si>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</si>
  <si>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</si>
  <si>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angle------------------------------------------------------------------------------------------------#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</si>
  <si>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</si>
  <si>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</si>
  <si>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</si>
  <si>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</si>
  <si>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</si>
  <si>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</si>
  <si>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CAD--------------------------------------------------------------#</t>
  </si>
  <si>
    <t>Flange_Seabed_X=line1.StaticResult('X',oeEndB)</t>
  </si>
  <si>
    <t xml:space="preserve">Flange_Seabed_Z= Water_Depth_f  </t>
  </si>
  <si>
    <t>Flange_VCM1_X=Flange_Seabed_X</t>
  </si>
  <si>
    <t>Flange_VCM1_Z=line1.StaticResult('Z',oeEndB)</t>
  </si>
  <si>
    <t>#----Calculation of point of the line at same height as the MCV flange----------------------------------------------------------------------#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</si>
  <si>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</si>
  <si>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</si>
  <si>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</si>
  <si>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</si>
  <si>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</si>
  <si>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</si>
  <si>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weight-----------------------------------------------------------------------------------------------#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</si>
  <si>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</si>
  <si>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</si>
  <si>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</si>
  <si>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</si>
  <si>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</si>
  <si>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</si>
  <si>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</si>
  <si>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</si>
  <si>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</si>
  <si>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</si>
  <si>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              </t>
  </si>
  <si>
    <t xml:space="preserve">            Buoys_type.append(str(line1.AttachmentType[i]))</t>
  </si>
  <si>
    <t xml:space="preserve">            Buoys_Z.append(line1.Attachmentz[i])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</si>
  <si>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</si>
  <si>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</si>
  <si>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</si>
  <si>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</si>
  <si>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if att_name==None: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</si>
  <si>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</si>
  <si>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</si>
  <si>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</si>
  <si>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</si>
  <si>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</si>
  <si>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</si>
  <si>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</si>
  <si>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</si>
  <si>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</si>
  <si>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</si>
  <si>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</si>
  <si>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</si>
  <si>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</si>
  <si>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</si>
  <si>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</si>
  <si>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</si>
  <si>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</si>
  <si>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</si>
  <si>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#refaz as listas de posicao/no, empuxo e quantidade de boias de modo a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</si>
  <si>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</si>
  <si>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</si>
  <si>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</si>
  <si>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</si>
  <si>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</si>
  <si>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</si>
  <si>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</si>
  <si>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</si>
  <si>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</si>
  <si>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</si>
  <si>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</si>
  <si>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</si>
  <si>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</si>
  <si>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Buoy_txt.append(str(int(round(-Emp[i],0)))+'kg ')</t>
  </si>
  <si>
    <t xml:space="preserve">        elif Emp[i]&gt;0.0:</t>
  </si>
  <si>
    <t xml:space="preserve">            Buoy_txt.append('Peso '+str(int(round(Emp[i],0)))+'kg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</si>
  <si>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</si>
  <si>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</si>
  <si>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</si>
  <si>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</si>
  <si>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</si>
  <si>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</si>
  <si>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</si>
  <si>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</si>
  <si>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Length',oeEndB)</t>
  </si>
  <si>
    <t xml:space="preserve">    for i in range(0,len(Buoys_Z)):</t>
  </si>
  <si>
    <t xml:space="preserve">        X_buoy.append(line1.StaticResult('X',oeArcLength(line_len-Buoys_Z[i])))</t>
  </si>
  <si>
    <t xml:space="preserve">        Z_buoy.append(line1.StaticResult('Z',oeArcLength(line_len-Buoys_Z[i])))  </t>
  </si>
  <si>
    <t>#----SAG POSITION--------------------------------------------------------------------------------------------------------------------------#</t>
  </si>
  <si>
    <t>sag_pos = argmin(line_Z.Mean)</t>
  </si>
  <si>
    <t>sag_X = line_X.Mean[sag_pos]</t>
  </si>
  <si>
    <t>for j in range(0,len(att_lines)):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</si>
  <si>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</si>
  <si>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</si>
  <si>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</si>
  <si>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</si>
  <si>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</si>
  <si>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</si>
  <si>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</si>
  <si>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</si>
  <si>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</si>
  <si>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</si>
  <si>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</si>
  <si>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</si>
  <si>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</si>
  <si>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</si>
  <si>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</si>
  <si>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</si>
  <si>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</si>
  <si>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</si>
  <si>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</si>
  <si>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</si>
  <si>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</si>
  <si>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</si>
  <si>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</si>
  <si>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vertical_seabes_clearance_z = line1.RangeGraph('Vertical Seabed Clearance').Mean</t>
  </si>
  <si>
    <t>sag_seabed=line_Z.Mean[sag_pos]-vertical_seabes_clearance_z[sag_pos]-line_dia/2</t>
  </si>
  <si>
    <t>sag_Z = line_Z.Mean[sag_pos]-sag_diameter/2</t>
  </si>
  <si>
    <t>#----posicao espacial do ponto no duto que esta acima da flange do mcv----------------------------------------------------------------------#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</si>
  <si>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</si>
  <si>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</si>
  <si>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</si>
  <si>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</si>
  <si>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</si>
  <si>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</si>
  <si>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line)----------------------------------------------------------------------#</t>
  </si>
  <si>
    <t>all_vertical_seabes_clearance_z = [vertical_seabes_clearance_z]</t>
  </si>
  <si>
    <t>att_vertical_seabes_clearance_z=[]</t>
  </si>
  <si>
    <t xml:space="preserve">    att_vertical_seabes_clearance_z.append(att_line.RangeGraph('Vertical Seabed Clearance').Mean)</t>
  </si>
  <si>
    <t xml:space="preserve">    all_vertical_seabes_clearance_z.append(att_line.RangeGraph('Vertical Seabed Clearance').Mean)</t>
  </si>
  <si>
    <t>min_all=[]</t>
  </si>
  <si>
    <t>for j  in range(0,len(all_vertical_seabes_clearance_z)):</t>
  </si>
  <si>
    <t xml:space="preserve">    min_all.append(min(all_vertical_seabes_clearance_z[j]))</t>
  </si>
  <si>
    <t>line_w_seabd_clear = min_all.index(min(min_all))</t>
  </si>
  <si>
    <t xml:space="preserve">            </t>
  </si>
  <si>
    <t>#----Minimum Height above seabed calculation---------------------------------------------------------------------------------------------#</t>
  </si>
  <si>
    <t>maxi, mini1 = extremas(all_vertical_seabes_clearance_z[line_w_seabd_clear])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</si>
  <si>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</si>
  <si>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</si>
  <si>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</si>
  <si>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</si>
  <si>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</si>
  <si>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</si>
  <si>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</si>
  <si>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</si>
  <si>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</si>
  <si>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mini&gt;=line1.CumulativeNumberOfSegments[i-1] and mini&lt;line1.CumulativeNumberOfSegments[i]: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</si>
  <si>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</si>
  <si>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</si>
  <si>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</si>
  <si>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</si>
  <si>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</si>
  <si>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</si>
  <si>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</si>
  <si>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 </t>
  </si>
  <si>
    <t xml:space="preserve">    min_diameter=att_diameter[line_w_seabd_clear-1]</t>
  </si>
  <si>
    <t>X_min_height_above_seabed = round(line_X.Mean[mini],4)</t>
  </si>
  <si>
    <t>Z_min_height_above_seabed = round(line_Z.Mean[mini] - min_diameter/2,4)</t>
  </si>
  <si>
    <t xml:space="preserve">min_height_above_seabed = round(line_Z.Mean[mini] - min_diameter/2 - float(all_vertical_seabes_clearance_z[line_w_seabd_clear][mini1]),4)  </t>
  </si>
  <si>
    <t xml:space="preserve">  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</si>
  <si>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</si>
  <si>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</si>
  <si>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</si>
  <si>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</si>
  <si>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</si>
  <si>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dred = False</t>
  </si>
  <si>
    <t>#for dist, depth in zip(sbed_dist, sbed_depth):</t>
  </si>
  <si>
    <t>#    if dist not in profile_dist and depth not in profile_depth:</t>
  </si>
  <si>
    <t>#        dred_dist.append(dist)</t>
  </si>
  <si>
    <t>#        dred_z.append(depth * -1)</t>
  </si>
  <si>
    <t>#        dred = True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</si>
  <si>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</si>
  <si>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</si>
  <si>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</si>
  <si>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</si>
  <si>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</si>
  <si>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</si>
  <si>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</si>
  <si>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</si>
  <si>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</si>
  <si>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</si>
  <si>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</si>
  <si>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</si>
  <si>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 xml:space="preserve">        dred = True</t>
  </si>
  <si>
    <t xml:space="preserve">      </t>
  </si>
  <si>
    <t>############################################################################################################################</t>
  </si>
  <si>
    <t>fig = plt.figure(figsize=(abs((VCM1_base_point_X-0.5-1+x_min_lim)-(max(line_X.Mean)+1+x_max_lim)), abs((line_Z.Mean[-1]+8+z_max_lim)-(min(Seabed_Z)-2.0+z_min_lim))))</t>
  </si>
  <si>
    <t># fig = plt.figure(figsize=(14.5,8.5),dpi=96)</t>
  </si>
  <si>
    <t># fig = plt.figure()</t>
  </si>
  <si>
    <t>ax = fig.add_subplot(111)</t>
  </si>
  <si>
    <t>#----insere o bloco mcv na sua coordenada espacial------------------------------------------------------------------------------------------#</t>
  </si>
  <si>
    <t>verts=[(VCM1_base_point_X,VCM1_base_point_Z),</t>
  </si>
  <si>
    <t xml:space="preserve">       (VCM1_base_point_X-0.5,VCM1_base_point_Z),</t>
  </si>
  <si>
    <t xml:space="preserve">       (VCM1_base_point_X-0.25,VCM1_base_point_Z+1.2),</t>
  </si>
  <si>
    <t xml:space="preserve">       (VCM1_base_point_X+0.25,VCM1_base_point_Z+1.2),</t>
  </si>
  <si>
    <t xml:space="preserve">       (VCM1_base_point_X+0.5,VCM1_base_point_Z),</t>
  </si>
  <si>
    <t xml:space="preserve">       (0.0,0.0)]</t>
  </si>
  <si>
    <t>verts = array(verts, float)</t>
  </si>
  <si>
    <t>codes = [Path.MOVETO] + [Path.LINETO]*(len(verts)-2) + [Path.CLOSEPOLY]</t>
  </si>
  <si>
    <t>path1 = Path(verts,codes)</t>
  </si>
  <si>
    <t xml:space="preserve">r1 = patches.PathPatch(path1, linestyle='solid', facecolor='r')  </t>
  </si>
  <si>
    <t>ax.add_patch(r1)</t>
  </si>
  <si>
    <t>#----desenha a linha do guincho que vai do mcv ao navio-----------------------------------------------------------------------------------------#</t>
  </si>
  <si>
    <t>ax.plot([Crane_VCM1_bottom_conection_X,Crane_VCM1_top_conection_X],[Crane_VCM1_bottom_conection_Z,Crane_VCM1_top_conection_Z],'k-')</t>
  </si>
  <si>
    <t>#----desenha a linha do solo marinho------------------------------------------------------------------------------------------------------------#</t>
  </si>
  <si>
    <t>ax.plot(Seabed_X,Seabed_Z,'k-')</t>
  </si>
  <si>
    <t xml:space="preserve">#----desenha a linha externa do duto------------------------------------------------------------------------------------------------------------# 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</si>
  <si>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</si>
  <si>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</si>
  <si>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</si>
  <si>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line_draw.append((line_X.Mean[i]+(diameter[j]/2)*cos(line_declin.Mean[i]*pi/180),</t>
  </si>
  <si>
    <t xml:space="preserve">        line_Z.Mean[i]+(diameter[j]/2)*sin(line_declin.Mean[i]*pi/180)))</t>
  </si>
  <si>
    <t xml:space="preserve">#----desenha a linha externa do duto------------------------------------------------------------------------------------------------------------#    </t>
  </si>
  <si>
    <t>for j in range(len(linetypes)-1,-1,-1):</t>
  </si>
  <si>
    <t xml:space="preserve">    for i in range(lt_N_nodes[j+1],lt_N_nodes[j]-1,-1):</t>
  </si>
  <si>
    <t xml:space="preserve">        line_draw.append((line_X.Mean[i]-(diameter[j]/2)*cos(line_declin.Mean[i]*pi/180),</t>
  </si>
  <si>
    <t xml:space="preserve">        line_Z.Mean[i]-(diameter[j]/2)*sin(line_declin.Mean[i]*pi/180)))</t>
  </si>
  <si>
    <t>verts3 = 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</si>
  <si>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</si>
  <si>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</si>
  <si>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</si>
  <si>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</si>
  <si>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vertebras------------------------------------------------------------------------------------------------------#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</si>
  <si>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</si>
  <si>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</si>
  <si>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vert_draw.append((att_line_X[j].Mean[i]+(att_diameter[j]/2)*cos(att_line_declin[j].Mean[i]*pi/180),</t>
  </si>
  <si>
    <t xml:space="preserve">        att_line_Z[j].Mean[i]+(att_diameter[j]/2)*sin(att_line_declin[j].Mean[i]*pi/180)))</t>
  </si>
  <si>
    <t>for j  in range(len(att_lines)-1,-1,-1):</t>
  </si>
  <si>
    <t xml:space="preserve">    for i in range(att_line.CumulativeNumberOfSegments[-1], -1,-1):</t>
  </si>
  <si>
    <t xml:space="preserve">        vert_draw.append((att_line_X[j].Mean[i]-(att_diameter[j]/2)*cos(att_line_declin[j].Mean[i]*pi/180),</t>
  </si>
  <si>
    <t xml:space="preserve">        att_line_Z[j].Mean[i]-(att_diameter[j]/2)*sin(att_line_declin[j].Mean[i]*pi/180)))</t>
  </si>
  <si>
    <t>verts2 = 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</si>
  <si>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</si>
  <si>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</si>
  <si>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</si>
  <si>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</si>
  <si>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 xml:space="preserve">#----desenha a cota de distancia da linha ao solo-----------------------------------------------------------------------------------------------#                   </t>
  </si>
  <si>
    <t>ax.annotate("",</t>
  </si>
  <si>
    <t xml:space="preserve">            xy=(X_min_height_above_seabed+mov_x_1,sag_seabed), xycoords='data',</t>
  </si>
  <si>
    <t xml:space="preserve">            xytext=(X_min_height_above_seabed+mov_x_1,Z_min_height_above_seabed), textcoords='data',</t>
  </si>
  <si>
    <t xml:space="preserve">            arrowprops=dict(arrowstyle="&lt;-&gt;",</t>
  </si>
  <si>
    <t xml:space="preserve">                            connectionstyle="arc3"), </t>
  </si>
  <si>
    <t xml:space="preserve">            )</t>
  </si>
  <si>
    <t>ax.plot([X_min_height_above_seabed,X_min_height_above_seabed+mov_x_1],[sag_seabed,sag_seabed],'k-')</t>
  </si>
  <si>
    <t xml:space="preserve">ax.plot([X_min_height_above_seabed,X_min_height_above_seabed+mov_x_1],[Z_min_height_above_seabed,Z_min_height_above_seabed],'k-')            </t>
  </si>
  <si>
    <t>ax.annotate(</t>
  </si>
  <si>
    <t xml:space="preserve">    str(round(Z_min_height_above_seabed-sag_seabed,2)).replace('.', ',')+'m', xy=(X_min_height_above_seabed+mov_x_1,sag_seabed+(Z_min_height_above_seabed-sag_seabed)/2+mov_z_1), xycoords='data',</t>
  </si>
  <si>
    <t xml:space="preserve">    xytext=(5, 0), textcoords='offset points',verticalalignment ='center', fontsize=font_size)</t>
  </si>
  <si>
    <t xml:space="preserve">#----desenha a cota de distancia da flange do MCV ao solo---------------------------------------------------------------------------------------#   </t>
  </si>
  <si>
    <t xml:space="preserve">            xy=(Flange_VCM1_X+mov_x_2,Flange_VCM1_Z), xycoords='data',</t>
  </si>
  <si>
    <t xml:space="preserve">            xytext=(Flange_VCM1_X+mov_x_2,Flange_Seabed_Z), textcoords='data',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</si>
  <si>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</si>
  <si>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</si>
  <si>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xy=(Flange_VCM1_X+mov_x_2,Flange_Seabed_Z+(Flange_VCM1_Z-Flange_Seabed_Z)/2+mov_z_2), xycoords='data',</t>
  </si>
  <si>
    <t xml:space="preserve">    xytext=(5, 0), textcoords='offset points',verticalalignment ='center', fontsize=font_size)    </t>
  </si>
  <si>
    <t>#----desenho das boias e pesos------------------------------------------------------------------------------------------------------------------#</t>
  </si>
  <si>
    <t>ponto_anterior=[[],[]]</t>
  </si>
  <si>
    <t>N_Buoys=line1.NumberOfAttachments</t>
  </si>
  <si>
    <t>peso_total = 0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</si>
  <si>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</si>
  <si>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</si>
  <si>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</si>
  <si>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</si>
  <si>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</si>
  <si>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boias--------------------------------------------------------------------------------------------------------------------------#</t>
  </si>
  <si>
    <t xml:space="preserve">            ax.annotate(Buoy_txt[j].replace('.', ',')+'de\n'+'empuxo'+'\n'+'a '+str(round(Buoys_Z[j],2)).replace('.', ',')+'m'+'\n'+'do flange',</t>
  </si>
  <si>
    <t xml:space="preserve">                        xy=(X_buoy[j],Z_buoy[j]+1.5), xycoords='data',</t>
  </si>
  <si>
    <t xml:space="preserve">                        xytext=(X_buoy[j]+(mov_x_10*j),Z_buoy[j]+3+(mov_z_10*j)), textcoords='data',</t>
  </si>
  <si>
    <t xml:space="preserve">                        arrowprops=dict(arrowstyle="-",</t>
  </si>
  <si>
    <t xml:space="preserve">                                        connectionstyle="arc3"), fontsize=font_size </t>
  </si>
  <si>
    <t xml:space="preserve">            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</si>
  <si>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</si>
  <si>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</si>
  <si>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</si>
  <si>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>#----desenho do peso morto----------------------------------------------------------------------------------------------------------------------#</t>
  </si>
  <si>
    <t xml:space="preserve">        #check se 'e um peso</t>
  </si>
  <si>
    <t xml:space="preserve">        elif Emp[j]&gt;0.0: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</si>
  <si>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</si>
  <si>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</si>
  <si>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</si>
  <si>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</si>
  <si>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abs(line_X.Mean[buoy_node[j]])&gt;abs(att_line_X[itera].Mean[-1]) and abs(line_X.Mean[buoy_node[j]])&lt;abs(att_line_X[itera].Mean[0]):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</si>
  <si>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</si>
  <si>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</si>
  <si>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</si>
  <si>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                 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</si>
  <si>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</si>
  <si>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</si>
  <si>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</si>
  <si>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     </t>
  </si>
  <si>
    <t xml:space="preserve">            peso_total += Emp[j]</t>
  </si>
  <si>
    <t xml:space="preserve">    peso_txt = str(round(peso_total,2))+'kg'        </t>
  </si>
  <si>
    <t xml:space="preserve">    if flag_peso == 1:</t>
  </si>
  <si>
    <t xml:space="preserve">        ax.annotate(peso_txt.replace('.', ',')+' de\n'+'peso dentro de água'+'\n'+'de '+str(round(Buoys_Z[0],2)).replace('.', ',')+u' até ' +str(round(Buoys_Z[-1]+0.2,2)).replace('.', ',')+'m'+'\n'+'do flange',</t>
  </si>
  <si>
    <t xml:space="preserve">                    xy=(X_buoy[int(len(X_buoy)/2)]+0.5,Z_buoy[int(len(Z_buoy)/2)]+0.5), xycoords='data',</t>
  </si>
  <si>
    <t xml:space="preserve">                    xytext=(X_buoy[int(len(X_buoy)/2)]+3+(mov_x_10*j),Z_buoy[int(len(Z_buoy)/2)]+3+(mov_z_10*j)), textcoords='data',</t>
  </si>
  <si>
    <t xml:space="preserve">                    arrowprops=dict(arrowstyle="-",</t>
  </si>
  <si>
    <t xml:space="preserve">                                    connectionstyle="arc3"), fontsize=font_size,</t>
  </si>
  <si>
    <t xml:space="preserve">                    horizontalalignment='center'</t>
  </si>
  <si>
    <t xml:space="preserve">                    )</t>
  </si>
  <si>
    <t>#----cota do comprimento de linha da flange ao ponto minimo da linha---------------------------------------------------------------------------------------#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</si>
  <si>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</si>
  <si>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</si>
  <si>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</si>
  <si>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</si>
  <si>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</si>
  <si>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</si>
  <si>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cota1_X.append(line_X.Mean[i]-1*cos(line_declin.Mean[i]*pi/180))</t>
  </si>
  <si>
    <t xml:space="preserve">    cota1_Z.append(line_Z.Mean[i]-1*sin(line_declin.Mean[i]*pi/180))</t>
  </si>
  <si>
    <t>ax.plot(cota1_X,cota1_Z,'k-')</t>
  </si>
  <si>
    <t xml:space="preserve">            xy=(cota1_X[-1],cota1_Z[-1]), xycoords='data',</t>
  </si>
  <si>
    <t xml:space="preserve">            xytext=(cota1_X[-2],cota1_Z[-2]), textcoords='data',</t>
  </si>
  <si>
    <t xml:space="preserve">            arrowprops=dict(arrowstyle="-&gt;",</t>
  </si>
  <si>
    <t xml:space="preserve">            xy=(cota1_X[0],cota1_Z[0]), xycoords='data',</t>
  </si>
  <si>
    <t xml:space="preserve">            xytext=(cota1_X[1],cota1_Z[1]), textcoords='data',</t>
  </si>
  <si>
    <t>annot1_x_pos=line_X.Mean[int((len(line_X.Mean)-mini)/2+mini)]-1*cos(line_declin.Mean[int((len(line_X.Mean)-mini)/2+mini)]*pi/180)</t>
  </si>
  <si>
    <t xml:space="preserve">annot1_z_pos=line_Z.Mean[int((len(line_X.Mean)-mini)/2+mini)]-1*sin(line_declin.Mean[int((len(line_X.Mean)-mini)/2+mini)]*pi/180)      </t>
  </si>
  <si>
    <t>##annot1_x_pos=line_X.Mean[round((len(line_X.Mean)-mini)/2+mini,0)]-1*cos(line_declin.Mean[round((len(line_X.Mean)-mini)/2+mini,0)]*pi/180)</t>
  </si>
  <si>
    <t xml:space="preserve">##annot1_z_pos=line_Z.Mean[round((len(line_X.Mean)-mini)/2+mini,0)]-1*sin(line_declin.Mean[round((len(line_X.Mean)-mini)/2+mini,0)]*pi/180)             </t>
  </si>
  <si>
    <t xml:space="preserve">           </t>
  </si>
  <si>
    <t xml:space="preserve">    str(round(line_X.X[-1]-line_X.X[mini],2)).replace('.', ',')+'m', xy=(annot1_x_pos+mov_x_3,annot1_z_pos+mov_z_3), xycoords='data',</t>
  </si>
  <si>
    <t xml:space="preserve">    xytext=(5, 0), textcoords='offset points',horizontalalignment='center',verticalalignment ='center', fontsize=font_size)  </t>
  </si>
  <si>
    <t>#----cota do comprimento do ponto minimo da linha ao outro lado da flange---------------------------------------------------------------------------------------#</t>
  </si>
  <si>
    <t>cota2_X=[]</t>
  </si>
  <si>
    <t>cota2_Z=[]</t>
  </si>
  <si>
    <t>for i in range(other_point_i,mini+1):</t>
  </si>
  <si>
    <t xml:space="preserve">    cota2_X.append(line_X.Mean[i]-1*cos(line_declin.Mean[i]*pi/180))</t>
  </si>
  <si>
    <t xml:space="preserve">    cota2_Z.append(line_Z.Mean[i]-1*sin(line_declin.Mean[i]*pi/180))</t>
  </si>
  <si>
    <t>ax.plot(cota2_X,cota2_Z,'k-')</t>
  </si>
  <si>
    <t xml:space="preserve">            xy=(cota2_X[-1],cota2_Z[-1]), xycoords='data',</t>
  </si>
  <si>
    <t xml:space="preserve">            xytext=(cota2_X[-2],cota2_Z[-2]), textcoords='data',</t>
  </si>
  <si>
    <t xml:space="preserve">            xy=(cota2_X[0],cota2_Z[0]), xycoords='data',</t>
  </si>
  <si>
    <t xml:space="preserve">            xytext=(cota2_X[1],cota2_Z[1]), textcoords='data',</t>
  </si>
  <si>
    <t>annot2_x_pos=line_X.Mean[int((mini-other_point_i)/2+other_point_i)]-1*cos(line_declin.Mean[int((mini-other_point_i)/2+other_point_i)]*pi/180)</t>
  </si>
  <si>
    <t xml:space="preserve">annot2_z_pos=line_Z.Mean[int((mini-other_point_i)/2+other_point_i)]-1*sin(line_declin.Mean[int((mini-other_point_i)/2+other_point_i)]*pi/180)     </t>
  </si>
  <si>
    <t>##annot2_x_pos=line_X.Mean[round((mini-other_point_i)/2+other_point_i,0)]-1*cos(line_declin.Mean[round((mini-other_point_i)/2+other_point_i,0)]*pi/180)</t>
  </si>
  <si>
    <t xml:space="preserve">##annot2_z_pos=line_Z.Mean[round((mini-other_point_i)/2+other_point_i,0)]-1*sin(line_declin.Mean[round((mini-other_point_i)/2+other_point_i,0)]*pi/180)  </t>
  </si>
  <si>
    <t xml:space="preserve">    str(round(line_X.X[mini]-line_X.X[other_point_i],2)).replace('.', ',')+'m\n', xy=(annot2_x_pos+mov_x_4,annot2_z_pos+mov_z_4), xycoords='data',</t>
  </si>
  <si>
    <t xml:space="preserve">    xytext=(5, 0), textcoords='offset points',horizontalalignment='center',verticalalignment ='center', fontsize=font_size)</t>
  </si>
  <si>
    <t>#----cota horizontal da flange ao outro lado do duto----------------------------------------------------------------------------------------------------------------#</t>
  </si>
  <si>
    <t xml:space="preserve">            xy=(line_X.Mean[-1],line_Z.Mean[-1]+4.5+mov_z_5), xycoords='data',</t>
  </si>
  <si>
    <t xml:space="preserve">            xytext=(other_point_X,line_Z.Mean[-1]+4.5+mov_z_5), textcoords='data',</t>
  </si>
  <si>
    <t>ax.plot([line_X.Mean[-1],line_X.Mean[-1]],[line_Z.Mean[-1],line_Z.Mean[-1]+4.5+mov_z_5],'k-')</t>
  </si>
  <si>
    <t xml:space="preserve">ax.plot([other_point_X,other_point_X],[other_point_Z,line_Z.Mean[-1]+4.5+mov_z_5],'k-')            </t>
  </si>
  <si>
    <t xml:space="preserve">    str(round(abs(line_X.Mean[-1]-other_point_X),2)).replace('.', ',')+'m\n', xy=(line_X.Mean[-1]+(other_point_X-line_X.Mean[-1])/2+mov_x_5,line_Z.Mean[-1]+4.5+mov_z_5), xycoords='data',</t>
  </si>
  <si>
    <t xml:space="preserve">    xytext=(5, 0), textcoords='offset points',horizontalalignment='center',verticalalignment ='center', fontsize=font_size)    </t>
  </si>
  <si>
    <t>#----cota horizontal da flange ao outro lado do duto e acima---------------------------------------------------------------------------------------------------------#</t>
  </si>
  <si>
    <t xml:space="preserve">            xy=(line_X.Mean[-1],line_Z.Mean[-1]+6+mov_z_6), xycoords='data',</t>
  </si>
  <si>
    <t xml:space="preserve">            xytext=(other_point_X_j,line_Z.Mean[-1]+6+mov_z_6), textcoords='data',</t>
  </si>
  <si>
    <t>ax.plot([line_X.Mean[-1],line_X.Mean[-1]],[line_Z.Mean[-1],line_Z.Mean[-1]+6+mov_z_6],'k-')</t>
  </si>
  <si>
    <t xml:space="preserve">ax.plot([other_point_X_j,other_point_X_j],[other_point_Z_j,line_Z.Mean[-1]+6+mov_z_6],'k-')            </t>
  </si>
  <si>
    <t xml:space="preserve">    str(round(abs(line_X.Mean[-1]-other_point_X_j),2)).replace('.', ',')+'m\n', xy=(line_X.Mean[-1]+(other_point_X_j-line_X.Mean[-1])/2+mov_x_6,line_Z.Mean[-1]+6+mov_z_6), xycoords='data',</t>
  </si>
  <si>
    <t>#----cota horizontal da flange 'a distancia minima ao solo marinho--------------------------------------------------------------------------------------------------#</t>
  </si>
  <si>
    <t># ax.annotate("",</t>
  </si>
  <si>
    <t xml:space="preserve">            # xy=(line_X.Mean[-1],min_wd-1.0), xycoords='data',</t>
  </si>
  <si>
    <t xml:space="preserve">            # xytext=(sag_X,min_wd-1.0), textcoords='data',</t>
  </si>
  <si>
    <t xml:space="preserve">            # arrowprops=dict(arrowstyle="&lt;-&gt;",</t>
  </si>
  <si>
    <t xml:space="preserve">                            # connectionstyle="arc3"), </t>
  </si>
  <si>
    <t xml:space="preserve">            # )</t>
  </si>
  <si>
    <t># ax.plot([line_X.Mean[-1],line_X.Mean[-1]],[line_Z.Mean[-1],min_wd-1.0],'k-')</t>
  </si>
  <si>
    <t xml:space="preserve"># ax.plot([sag_X,sag_X],[sag_Z,min_wd-1.0],'k-')            </t>
  </si>
  <si>
    <t># ax.annotate(</t>
  </si>
  <si>
    <t xml:space="preserve">    # str(round(abs(line_X.Mean[-1]-sag_X),2)).replace('.', ',')+'m\n', xy=(line_X.Mean[-1]+(sag_X-line_X.Mean[-1])/2,min_wd-1.0), xycoords='data',</t>
  </si>
  <si>
    <t xml:space="preserve">    # xytext=(5, 0), textcoords='offset points',horizontalalignment='center',verticalalignment ='center') </t>
  </si>
  <si>
    <t xml:space="preserve">            xy=(line_X.Mean[-1],min_wd-1.0+mov_z_7), xycoords='data',</t>
  </si>
  <si>
    <t xml:space="preserve">            xytext=(X_min_height_above_seabed,min_wd-1.0+mov_z_7), textcoords='data',</t>
  </si>
  <si>
    <t>ax.plot([line_X.Mean[-1],line_X.Mean[-1]],[line_Z.Mean[-1],min_wd-1.0+mov_z_7],'k-')</t>
  </si>
  <si>
    <t xml:space="preserve">ax.plot([X_min_height_above_seabed,X_min_height_above_seabed],[sag_Z,min_wd-1.0+mov_z_7],'k-')            </t>
  </si>
  <si>
    <t xml:space="preserve">    str(round(abs(line_X.Mean[-1]-X_min_height_above_seabed),2)).replace('.', ',')+'m\n', xy=(line_X.Mean[-1]+(X_min_height_above_seabed-line_X.Mean[-1])/2+mov_x_7,min_wd-1.0+mov_z_7), xycoords='data',</t>
  </si>
  <si>
    <t xml:space="preserve">    xytext=(5, 0), textcoords='offset points',horizontalalignment='center',verticalalignment ='center', fontsize=font_size) </t>
  </si>
  <si>
    <t>#----cota da catenaria do ponto no duto que esta do outro lado da flange ate a acima da flange do mcv-------------------------------------------------------------------#</t>
  </si>
  <si>
    <t>cota3_X=[]</t>
  </si>
  <si>
    <t>cota3_Z=[]</t>
  </si>
  <si>
    <t>for i in range(other_point_j,other_point_i+1):</t>
  </si>
  <si>
    <t xml:space="preserve">    cota3_X.append(line_X.Mean[i]-1*cos(line_declin.Mean[i]*pi/180))</t>
  </si>
  <si>
    <t xml:space="preserve">    cota3_Z.append(line_Z.Mean[i]-1*sin(line_declin.Mean[i]*pi/180))</t>
  </si>
  <si>
    <t>ax.plot(cota3_X,cota3_Z,'k-')</t>
  </si>
  <si>
    <t xml:space="preserve">            xy=(cota3_X[-1],cota3_Z[-1]), xycoords='data',</t>
  </si>
  <si>
    <t xml:space="preserve">            xytext=(cota3_X[-2],cota3_Z[-2]), textcoords='data',</t>
  </si>
  <si>
    <t xml:space="preserve">            xy=(cota3_X[0],cota3_Z[0]), xycoords='data',</t>
  </si>
  <si>
    <t xml:space="preserve">            xytext=(cota3_X[1],cota3_Z[1]), textcoords='data',</t>
  </si>
  <si>
    <t>annot1_x_pos=round(line_X.Mean[int((other_point_i-other_point_j)/2+other_point_j)]-1*cos(line_declin.Mean[int((other_point_i-other_point_j)/2+other_point_j)]*pi/180))</t>
  </si>
  <si>
    <t xml:space="preserve">annot1_z_pos=round(line_Z.Mean[int((other_point_i-other_point_j)/2+other_point_j)]-1*sin(line_declin.Mean[int((other_point_i-other_point_j)/2+other_point_j)]*pi/180))          </t>
  </si>
  <si>
    <t>##annot1_x_pos=round(line_X.Mean[round((other_point_i-other_point_j)/2+other_point_j,0)]-1*cos(line_declin.Mean[round((other_point_i-other_point_j)/2+other_point_j,0)]*pi/180),0)</t>
  </si>
  <si>
    <t xml:space="preserve">##annot1_z_pos=round(line_Z.Mean[round((other_point_i-other_point_j)/2+other_point_j,0)]-1*sin(line_declin.Mean[round((other_point_i-other_point_j)/2+other_point_j,0)]*pi/180),0)          </t>
  </si>
  <si>
    <t xml:space="preserve">    str(round(line_X.X[other_point_i]-line_X.X[other_point_j],2)).replace('.', ',')+'m', xy=(annot1_x_pos + mov_x_8,annot1_z_pos + mov_z_8), xycoords='data',</t>
  </si>
  <si>
    <t xml:space="preserve">    xytext=(5, 0), textcoords='offset points',horizontalalignment='center',verticalalignment ='center', fontsize=font_size)      </t>
  </si>
  <si>
    <t>#----cota vertical do ponto no duto que esta do outro lado da flange ate a acima da flange do mcv-------------------------------------------------------------------#</t>
  </si>
  <si>
    <t xml:space="preserve">            # xy=(line_X.Mean[other_point_j],line_Z.Mean[other_point_j]), xycoords='data',</t>
  </si>
  <si>
    <t xml:space="preserve">            # xytext=(line_X.Mean[other_point_j],line_Z.Mean[other_point_i]), textcoords='data',</t>
  </si>
  <si>
    <t xml:space="preserve">    # str(round(line_Z.Mean[other_point_j]-line_Z.Mean[other_point_i],2)).replace('.', ',')+'m', xy=(line_X.Mean[other_point_j],line_Z.Mean[other_point_i]+(line_Z.Mean[other_point_j]-line_Z.Mean[other_point_i])/2), xycoords='data',</t>
  </si>
  <si>
    <t xml:space="preserve">    # xytext=(5, 0), textcoords='offset points')</t>
  </si>
  <si>
    <t># ax.plot([line_X.Mean[other_point_j],line_X.Mean[other_point_j]],[line_Z.Mean[other_point_j],line_Z.Mean[other_point_j]],'k-')</t>
  </si>
  <si>
    <t xml:space="preserve"># ax.plot([line_X.Mean[other_point_i],line_X.Mean[other_point_j]],[line_Z.Mean[other_point_i],line_Z.Mean[other_point_i]],'k-')     </t>
  </si>
  <si>
    <t xml:space="preserve">            xy=(cota3_X[0]+0.5+mov_x_9,line_Z.Mean[other_point_j]), xycoords='data',</t>
  </si>
  <si>
    <t xml:space="preserve">            xytext=(cota3_X[0]+0.5+mov_x_9,line_Z.Mean[other_point_i]), textcoords='data',</t>
  </si>
  <si>
    <t xml:space="preserve">    str(round(line_Z.Mean[other_point_j]-line_Z.Mean[other_point_i],2)).replace('.', ',')+'m', xy=(cota3_X[0]+0.5+mov_x_9,line_Z.Mean[other_point_i]+(line_Z.Mean[other_point_j]-line_Z.Mean[other_point_i])/2+mov_z_9), xycoords='data',</t>
  </si>
  <si>
    <t>ax.plot([line_X.Mean[other_point_j],cota3_X[0]+0.5+mov_x_9],[line_Z.Mean[other_point_j],line_Z.Mean[other_point_j]],'k-')</t>
  </si>
  <si>
    <t xml:space="preserve">ax.plot([line_X.Mean[other_point_i],cota3_X[0]+0.5+mov_x_9],[line_Z.Mean[other_point_i],line_Z.Mean[other_point_i]],'k-') </t>
  </si>
  <si>
    <t xml:space="preserve">#----desenha a cota da dragagem--------------------------------------------------------------------------------------------------------------------------#   </t>
  </si>
  <si>
    <t>if dred:</t>
  </si>
  <si>
    <t xml:space="preserve">    o_x = environment.SeabedOriginX</t>
  </si>
  <si>
    <t xml:space="preserve">    # Cota horizontal</t>
  </si>
  <si>
    <t xml:space="preserve">    ax.annotate("",</t>
  </si>
  <si>
    <t xml:space="preserve">                xy=(o_x+min(dred_dist),min(dred_z)-1+mov_z_12), xycoords='data',</t>
  </si>
  <si>
    <t xml:space="preserve">                xytext=(o_x+max(dred_dist),min(dred_z)-1+mov_z_12), textcoords='data',</t>
  </si>
  <si>
    <t xml:space="preserve">                arrowprops=dict(arrowstyle="&lt;-&gt;",</t>
  </si>
  <si>
    <t xml:space="preserve">                                connectionstyle="arc3"), </t>
  </si>
  <si>
    <t xml:space="preserve">                )</t>
  </si>
  <si>
    <t xml:space="preserve">               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</si>
  <si>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</si>
  <si>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</si>
  <si>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ax.annotate(</t>
  </si>
  <si>
    <t xml:space="preserve">    str(format(round(abs(min(dred_dist)-max(dred_dist)),1), '.2f')).replace('.', ',')+'m', xy=(o_x+mean(dred_dist)-0.75+mov_x_12,min(dred_z)-1.25+mov_z_12), xycoords='data',</t>
  </si>
  <si>
    <t xml:space="preserve">    xytext=(5, 0), textcoords='offset points',verticalalignment ='center', fontsize=font_size) </t>
  </si>
  <si>
    <t xml:space="preserve">    # Cota vertical</t>
  </si>
  <si>
    <t xml:space="preserve">                xy=(o_x+max(dred_dist)+1+mov_x_13,min(dred_z)), xycoords='data',</t>
  </si>
  <si>
    <t xml:space="preserve">                xytext=(o_x+max(dred_dist)+1+mov_x_13,min(dred_z)-1), textcoords='data',</t>
  </si>
  <si>
    <t xml:space="preserve">                arrowprops=dict(arrowstyle="-&gt;",</t>
  </si>
  <si>
    <t xml:space="preserve">                xy=(o_x+max(dred_dist)+1+mov_x_13,Seabed_Z[-1]), xycoords='data',</t>
  </si>
  <si>
    <t xml:space="preserve">                xytext=(o_x+max(dred_dist)+1+mov_x_13,Seabed_Z[-1]+1), textcoords='data',</t>
  </si>
  <si>
    <t xml:space="preserve">    ax.plot([o_x+max(dred_dist),o_x+max(dred_dist)+1+mov_x_13],[min(dred_z),min(dred_z)],'k-')</t>
  </si>
  <si>
    <t xml:space="preserve">    str(format(round(abs(Seabed_Z[-1]-min(dred_z)),1), '.2f')).replace('.', ',')+'m', xy=(o_x+max(dred_dist)+1+mov_x_13,min(dred_z)-1+mov_z_13), xycoords='data',</t>
  </si>
  <si>
    <t xml:space="preserve">    # Distância do flange</t>
  </si>
  <si>
    <t xml:space="preserve">                xy=(Flange_VCM1_X,min(dred_z)-1+mov_z_11), xycoords='data',</t>
  </si>
  <si>
    <t xml:space="preserve">                xytext=(o_x+min(dred_dist),min(dred_z)-1+mov_z_11), textcoords='data',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</si>
  <si>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</si>
  <si>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</si>
  <si>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str(format(round(abs(o_x+min(dred_dist)-Flange_VCM1_X),1), '.2f')).replace('.', ',')+'m', xy=(o_x+min(dred_dist)/2-0.75+mov_x_11,min(dred_z)-1.25+mov_z_11), xycoords='data',</t>
  </si>
  <si>
    <t>###############################################################################</t>
  </si>
  <si>
    <t>plt.xlim(round(VCM1_base_point_X-0.5-1,0)+x_min_lim,round(max(line_X.Mean)+1,0)+x_max_lim)</t>
  </si>
  <si>
    <t xml:space="preserve">plt.ylim(round(min(Seabed_Z)-2.0,0)+z_min_lim,round(line_Z.Mean[-1]+8,0)+z_max_lim) </t>
  </si>
  <si>
    <t>cur_axes = plt.gca()</t>
  </si>
  <si>
    <t>cur_axes.axes.get_xaxis().set_visible(turn_axes_on)</t>
  </si>
  <si>
    <t xml:space="preserve">cur_axes.axes.get_yaxis().set_visible(turn_axes_on)  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</si>
  <si>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</si>
  <si>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</si>
  <si>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</si>
  <si>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</si>
  <si>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</si>
  <si>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##plt.show()</t>
  </si>
  <si>
    <t>#THE END</t>
  </si>
  <si>
    <t>cont1.png</t>
  </si>
  <si>
    <t>cont1.py</t>
  </si>
  <si>
    <t>Nome do Arquivo Cont1</t>
  </si>
  <si>
    <t># Caminho do ficheiro da analise de contingencia</t>
  </si>
  <si>
    <t># Movimentar em X o texto da cota linha no solo [m]</t>
  </si>
  <si>
    <t># Movimentar em Z a cota linha no solo [m]</t>
  </si>
  <si>
    <t>model_2 = Model()</t>
  </si>
  <si>
    <t>model_2.LoadSimulation(filename_static)</t>
  </si>
  <si>
    <t>#####################################################################################################################</t>
  </si>
  <si>
    <t>VCMs = [obj for obj in model_2.objects if obj.type == ot6DBuoy]</t>
  </si>
  <si>
    <t>lines        = [obj for obj in model_2.objects if obj.type == otLine]</t>
  </si>
  <si>
    <t>line=0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</si>
  <si>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</si>
  <si>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</si>
  <si>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</si>
  <si>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</si>
  <si>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</si>
  <si>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</si>
  <si>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</si>
  <si>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</si>
  <si>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</si>
  <si>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</si>
  <si>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</si>
  <si>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</si>
  <si>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</si>
  <si>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</si>
  <si>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model.LoadSimulation(filename_1_cont)</t>
  </si>
  <si>
    <t>if len(att_lines)&gt;1:</t>
  </si>
  <si>
    <t xml:space="preserve">    for j in range(0,len(att_lines)):</t>
  </si>
  <si>
    <t xml:space="preserve">        att_line1=model[att_lines[0]]</t>
  </si>
  <si>
    <t xml:space="preserve">        att_line2=model[att_lines[1]]</t>
  </si>
  <si>
    <t xml:space="preserve">        if att_line1.StaticResult('Z',oeEndB)&lt;att_line2.StaticResult('Z',oeEndB):</t>
  </si>
  <si>
    <t xml:space="preserve">            vert=model[att_lines[0]]</t>
  </si>
  <si>
    <t xml:space="preserve">            vert=model[att_lines[1]]</t>
  </si>
  <si>
    <t xml:space="preserve">    vert=model[att_lines[0]]</t>
  </si>
  <si>
    <t>#----Recognize Crane Wire-------------------------------------------------------------------------------------------------------------#</t>
  </si>
  <si>
    <t>#----Recognize A&amp;R wire----------------------------------------------------------------------------------------------------------------------------------------------------#</t>
  </si>
  <si>
    <t xml:space="preserve">    if (wire.Connection[0] == 'Fixed' and wire.Connection[1] == 'Fixed') or (wire.Connection[0] == VCM1.Name) or (wire.Connection[1] == VCM1.Name):</t>
  </si>
  <si>
    <t xml:space="preserve">            Crane = wire</t>
  </si>
  <si>
    <t>#----arc lengths que tocam no solo------------------------------------------------------------------------------------------#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</si>
  <si>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</si>
  <si>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</si>
  <si>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</si>
  <si>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</si>
  <si>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</si>
  <si>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</si>
  <si>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</si>
  <si>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x_TDP_1st=line1.StaticResult('X',oeArcLength(al_TDP_1st))</t>
  </si>
  <si>
    <t>z_TDP_1st=line1.StaticResult('Z',oeArcLength(al_TDP_1st))</t>
  </si>
  <si>
    <t>x_TDP_2nd=line1.StaticResult('X',oeArcLength(al_TDP_2nd))</t>
  </si>
  <si>
    <t xml:space="preserve">z_TDP_2nd=line1.StaticResult('Z',oeArcLength(al_TDP_2nd))          </t>
  </si>
  <si>
    <t># fig = plt.figure(figsize=(abs((VCM1_base_point_X-0.5-1)-(max(line_X.Mean)+5)), abs((line_Z.Mean[-1]+6)-(min(Seabed_Z)-5.0))))</t>
  </si>
  <si>
    <t xml:space="preserve">            xy=(line_X.Mean[-1],line_Z.Mean[-1]+4.5+mov_z_1), xycoords='data',</t>
  </si>
  <si>
    <t xml:space="preserve">            xytext=(other_point_X,line_Z.Mean[-1]+4.5+mov_z_1), textcoords='data',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</si>
  <si>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</si>
  <si>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</si>
  <si>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str(round(abs(line_X.Mean[-1]-other_point_X),2)).replace('.', ',')+'m\n', xy=(line_X.Mean[-1]+(other_point_X-line_X.Mean[-1])/2+mov_x_1,line_Z.Mean[-1]+4.5+mov_z_1), xycoords='data',</t>
  </si>
  <si>
    <t>#----cota linha no solo----------------------------------------------------------------------------------------------------------------#</t>
  </si>
  <si>
    <t xml:space="preserve">            xy=(x_TDP_1st,min(z_TDP_2nd,z_TDP_1st)-2.0+mov_z_2), xycoords='data',</t>
  </si>
  <si>
    <t xml:space="preserve">            xytext=(x_TDP_2nd,min(z_TDP_2nd,z_TDP_1st)-2.0+mov_z_2), textcoords='data',</t>
  </si>
  <si>
    <t>ax.plot([x_TDP_1st,x_TDP_1st],[z_TDP_1st,min(z_TDP_2nd,z_TDP_1st)-2.0+mov_z_2],'k-')</t>
  </si>
  <si>
    <t xml:space="preserve">ax.plot([x_TDP_2nd,x_TDP_2nd],[z_TDP_2nd,min(z_TDP_2nd,z_TDP_1st)-2.0+mov_z_2],'k-')            </t>
  </si>
  <si>
    <t xml:space="preserve">    str(round(abs(x_TDP_1st-x_TDP_2nd),2)).replace('.', ',')+'m\n', xy=(x_TDP_1st+(x_TDP_2nd-x_TDP_1st)/2+mov_x_2,min(z_TDP_2nd,z_TDP_1st)-2.0+mov_z_2), xycoords='data',</t>
  </si>
  <si>
    <t xml:space="preserve">            if Buoys_Z[j] not in Buoys_Z_2:</t>
  </si>
  <si>
    <t xml:space="preserve">                ax.annotate(u"Até "+Buoy_txt[j].replace('.', ',')+'de\n'+'empuxo'+'\n'+'a '+str(round(Buoys_Z[j],2)).replace('.', ',')+'m'+'\n'+'do flange',</t>
  </si>
  <si>
    <t xml:space="preserve">                            fontsize=font_size, xy=(X_buoy[j],Z_buoy[j]+1.5), xycoords='data',</t>
  </si>
  <si>
    <t xml:space="preserve">                            xytext=(X_buoy[j],Z_buoy[j]+3), textcoords='data',</t>
  </si>
  <si>
    <t xml:space="preserve">                            arrowprops=dict(arrowstyle="-",</t>
  </si>
  <si>
    <t xml:space="preserve">                                            connectionstyle="arc3"), </t>
  </si>
  <si>
    <t xml:space="preserve">                            )</t>
  </si>
  <si>
    <t xml:space="preserve">                    val2=att_diameter[itera]/2+0.1</t>
  </si>
  <si>
    <t xml:space="preserve">                            val2=diameter[itera1]/2+0.1                  </t>
  </si>
  <si>
    <t xml:space="preserve"># plt.ylim(round(min(z_TDP_2nd,z_TDP_1st)-2.5,0)+z_min_lim,round(line_Z.Mean[-1]+8,0)+z_max_lim) </t>
  </si>
  <si>
    <t>cont2.png</t>
  </si>
  <si>
    <t>cont2.py</t>
  </si>
  <si>
    <t>Nome do Arquivo Cont2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</si>
  <si>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</si>
  <si>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</si>
  <si>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</si>
  <si>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</si>
  <si>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</si>
  <si>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</si>
  <si>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</si>
  <si>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</si>
  <si>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</si>
  <si>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</si>
  <si>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"ModeloRTCVD1a.dat"</t>
  </si>
  <si>
    <t>Select Line</t>
  </si>
  <si>
    <t>Select Linha</t>
  </si>
  <si>
    <t>OD =</t>
  </si>
  <si>
    <t>ID =</t>
  </si>
  <si>
    <t>MassPerUnitLength =</t>
  </si>
  <si>
    <t>ContactDiameter =</t>
  </si>
  <si>
    <t>NormalDragLiftDiameter =</t>
  </si>
  <si>
    <t>AxialDragLiftDiameter =</t>
  </si>
  <si>
    <t>Length[1] =</t>
  </si>
  <si>
    <t>Length[6] =</t>
  </si>
  <si>
    <t>Select Vértebra</t>
  </si>
  <si>
    <t>Length[7] =</t>
  </si>
  <si>
    <t>Select Conector</t>
  </si>
  <si>
    <t>EA =</t>
  </si>
  <si>
    <t>EIx =</t>
  </si>
  <si>
    <t>xMinRadius =</t>
  </si>
  <si>
    <t>GJ =</t>
  </si>
  <si>
    <t>Attachmentz[1]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</si>
  <si>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</si>
  <si>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</si>
  <si>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</si>
  <si>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</si>
  <si>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</si>
  <si>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</si>
  <si>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</si>
  <si>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</si>
  <si>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EndBX =</t>
  </si>
  <si>
    <t>EndBZ =</t>
  </si>
  <si>
    <t>EndBDeclination =</t>
  </si>
  <si>
    <t>Select Vert</t>
  </si>
  <si>
    <t>Length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</si>
  <si>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</si>
  <si>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</si>
  <si>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</si>
  <si>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</si>
  <si>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</si>
  <si>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</si>
  <si>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</si>
  <si>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</si>
  <si>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Select Stiffness1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</si>
  <si>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</si>
  <si>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</si>
  <si>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</si>
  <si>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</si>
  <si>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</si>
  <si>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</si>
  <si>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</si>
  <si>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</si>
  <si>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</si>
  <si>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</si>
  <si>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</si>
  <si>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</si>
  <si>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</si>
  <si>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</si>
  <si>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</si>
  <si>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</si>
  <si>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</si>
  <si>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</si>
  <si>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</si>
  <si>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</si>
  <si>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</si>
  <si>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</si>
  <si>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</si>
  <si>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</si>
  <si>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</si>
  <si>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</si>
  <si>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</si>
  <si>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</si>
  <si>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</si>
  <si>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</si>
  <si>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</si>
  <si>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</si>
  <si>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</si>
  <si>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</si>
  <si>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</si>
  <si>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</si>
  <si>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</si>
  <si>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</si>
  <si>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</si>
  <si>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</si>
  <si>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</si>
  <si>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</si>
  <si>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</si>
  <si>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</si>
  <si>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</si>
  <si>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</si>
  <si>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</si>
  <si>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</si>
  <si>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SeabedProfileDepth[1]=</t>
  </si>
  <si>
    <t>SeabedProfileNumberOfPoints 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</si>
  <si>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</si>
  <si>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</si>
  <si>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</si>
  <si>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</si>
  <si>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</si>
  <si>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</si>
  <si>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Stiffness2</t>
  </si>
  <si>
    <t>SaveData</t>
  </si>
  <si>
    <t>Dados de Referência</t>
  </si>
  <si>
    <t>Nome das Imagens</t>
  </si>
  <si>
    <t>Fonte</t>
  </si>
  <si>
    <t>Estático</t>
  </si>
  <si>
    <t>Instruções</t>
  </si>
  <si>
    <t>Cotas do Desenho (m)</t>
  </si>
  <si>
    <t>Empuxo Total</t>
  </si>
  <si>
    <t>Qtde. de Conj. de Boias</t>
  </si>
  <si>
    <t>Dist. da 1ª Boia ao Flange</t>
  </si>
  <si>
    <t>Heave Up</t>
  </si>
  <si>
    <t>Momento Max na Vértebra</t>
  </si>
  <si>
    <t>Caso 3i Max (Puxada Max)</t>
  </si>
  <si>
    <t>Caso 3i Min (Puxada Min)</t>
  </si>
  <si>
    <t>Caso 3ii a (Toque no Solo)</t>
  </si>
  <si>
    <t>Cont1</t>
  </si>
  <si>
    <t>1) Preencher a tabela acima</t>
  </si>
  <si>
    <t>Cont2</t>
  </si>
  <si>
    <t>2) Selecionar o botão Pos Processamento</t>
  </si>
  <si>
    <t>[kg]</t>
  </si>
  <si>
    <t>[-]</t>
  </si>
  <si>
    <t>[m]</t>
  </si>
  <si>
    <t>[kN.m]</t>
  </si>
  <si>
    <t>[kN]</t>
  </si>
  <si>
    <t>Adaptador de Flanges</t>
  </si>
  <si>
    <t>3) Selecionar o botão Gerar Relatório</t>
  </si>
  <si>
    <t>MCV</t>
  </si>
  <si>
    <t>4) Documento em word será aberto e salvo na pasta onde esta planilha está salva</t>
  </si>
  <si>
    <t>Dados Preenchidos</t>
  </si>
  <si>
    <t>Arredondamento</t>
  </si>
  <si>
    <t>Unidades</t>
  </si>
  <si>
    <t>Cota A da Planilha EQSB</t>
  </si>
  <si>
    <t>m</t>
  </si>
  <si>
    <t>Preencher Antes de Começar</t>
  </si>
  <si>
    <t>MBR Vértebra</t>
  </si>
  <si>
    <t>Nome da Linha</t>
  </si>
  <si>
    <t>Line</t>
  </si>
  <si>
    <t>MBR Linha</t>
  </si>
  <si>
    <t>Nome da Vértebra</t>
  </si>
  <si>
    <t>Stiffener1</t>
  </si>
  <si>
    <t>Momento Admissível na Vértebra</t>
  </si>
  <si>
    <t>kN.m</t>
  </si>
  <si>
    <t>Nome do MCV</t>
  </si>
  <si>
    <t>I (Cont1)</t>
  </si>
  <si>
    <t>Força Cortante Admissível na Vértebra</t>
  </si>
  <si>
    <t>kN</t>
  </si>
  <si>
    <t>Nome do A/R</t>
  </si>
  <si>
    <t>A/R</t>
  </si>
  <si>
    <t>J (Cont1)</t>
  </si>
  <si>
    <t>Estático (Caso 2)</t>
  </si>
  <si>
    <t>Nome do Arq. Estático</t>
  </si>
  <si>
    <t>Estatico</t>
  </si>
  <si>
    <t>I (Cont2)</t>
  </si>
  <si>
    <t>Bend Radius - Stiffener1</t>
  </si>
  <si>
    <t>Nome do Arq Dinâmico</t>
  </si>
  <si>
    <t>Dinamico</t>
  </si>
  <si>
    <t>J (Cont2)</t>
  </si>
  <si>
    <t>Bend Radius - Line</t>
  </si>
  <si>
    <t>Nome do Arq. Contigência 1</t>
  </si>
  <si>
    <t>Nome do Arq. Contigência 2</t>
  </si>
  <si>
    <t>Tipo de Linha</t>
  </si>
  <si>
    <t>IG</t>
  </si>
  <si>
    <t>Depth - Environment</t>
  </si>
  <si>
    <t>Tipo de Conexão</t>
  </si>
  <si>
    <t>Poço</t>
  </si>
  <si>
    <t>Z - Line - End B</t>
  </si>
  <si>
    <t>8-LL-44-RJS</t>
  </si>
  <si>
    <t>Rotation 2 - P7000048060</t>
  </si>
  <si>
    <t>º</t>
  </si>
  <si>
    <t>Embarcação</t>
  </si>
  <si>
    <t>Skandi Açu</t>
  </si>
  <si>
    <t>End Ex-Force - Line - End B</t>
  </si>
  <si>
    <t>Lula</t>
  </si>
  <si>
    <t>End Ez-Force - Line - End B</t>
  </si>
  <si>
    <t>End Ey-Moment - Line - End B</t>
  </si>
  <si>
    <t>Versão</t>
  </si>
  <si>
    <t>Bend Moment - Stiffener1</t>
  </si>
  <si>
    <t>Iniciais do Elaborador</t>
  </si>
  <si>
    <t>DTW</t>
  </si>
  <si>
    <t>Shear Force - Stiffener1</t>
  </si>
  <si>
    <t>Númeração do Relatório</t>
  </si>
  <si>
    <t>S51956-RT-5801-IAS-661</t>
  </si>
  <si>
    <t>Dinâmico (Caso 3i)</t>
  </si>
  <si>
    <t>Engenheiro Solicitante</t>
  </si>
  <si>
    <t>Alef Nascimento; João Gabriel Santos</t>
  </si>
  <si>
    <t>StageValue[3] - A/R</t>
  </si>
  <si>
    <t>Coordenador</t>
  </si>
  <si>
    <t>André Paulo</t>
  </si>
  <si>
    <t>Em cópia</t>
  </si>
  <si>
    <t>Nathalia Silva; Eduardo Carvalho; Ana-Caroline Mesquita</t>
  </si>
  <si>
    <t>Versão do Orcaflex</t>
  </si>
  <si>
    <t>11.3a</t>
  </si>
  <si>
    <t>Max End Ex-Force - Line - End B</t>
  </si>
  <si>
    <t>Max End Ez-Force - Line - End B</t>
  </si>
  <si>
    <t>Max End Ey-Moment - Line - End B</t>
  </si>
  <si>
    <t>RT / Documento</t>
  </si>
  <si>
    <t>RT-2691-CVD</t>
  </si>
  <si>
    <t>Min End Ex-Force - Line - End B</t>
  </si>
  <si>
    <t>RT / Revisão</t>
  </si>
  <si>
    <t>Min End Ez-Force - Line - End B</t>
  </si>
  <si>
    <t>RT / Título</t>
  </si>
  <si>
    <t>CVD de 1ª da linha de IG do MSIAG-01 do FPSO Cidade de Itaguaí</t>
  </si>
  <si>
    <t>Min End Ey-Moment - Line - End B</t>
  </si>
  <si>
    <t>Cotas da Dragagem</t>
  </si>
  <si>
    <t>Distância do Flange [m]</t>
  </si>
  <si>
    <t>Dinâmico (Caso 3ii)</t>
  </si>
  <si>
    <t>Profundidade [m]</t>
  </si>
  <si>
    <t>Cont 1</t>
  </si>
  <si>
    <t>Distância das Boias de Cont ao Flange</t>
  </si>
  <si>
    <t>Empuxo</t>
  </si>
  <si>
    <t>kg</t>
  </si>
  <si>
    <t>End Ey-Moment - Line</t>
  </si>
  <si>
    <t>Cont 2</t>
  </si>
  <si>
    <t>Todos os Casos</t>
  </si>
  <si>
    <t>Posicionamento de Boias</t>
  </si>
  <si>
    <t>Dados para o TXT do Banco de Dados</t>
  </si>
  <si>
    <t>Empuxo (kg)</t>
  </si>
  <si>
    <t>Posição em relação ao flange do goose neck [m]</t>
  </si>
  <si>
    <t>Nº EDR</t>
  </si>
  <si>
    <t>Operação</t>
  </si>
  <si>
    <t>CVD de 1ª</t>
  </si>
  <si>
    <t>Navio</t>
  </si>
  <si>
    <t>Tipo da Linha</t>
  </si>
  <si>
    <t>Identificação da Linha</t>
  </si>
  <si>
    <t>Diâmetro Nominal (")</t>
  </si>
  <si>
    <t>MBR da Linha (m)</t>
  </si>
  <si>
    <t>Peso da Linha (te/m)</t>
  </si>
  <si>
    <t>Identificação da Vértebra</t>
  </si>
  <si>
    <t>Peso da Vértebra (te)</t>
  </si>
  <si>
    <t>MBR da Vértebra (m)</t>
  </si>
  <si>
    <t>Identificação do Conector</t>
  </si>
  <si>
    <t>Peso do Conector (te)</t>
  </si>
  <si>
    <t>Identificação do Adaptador</t>
  </si>
  <si>
    <t>Peso do Adaptador (te)</t>
  </si>
  <si>
    <t>Peso do MCV (te)</t>
  </si>
  <si>
    <t>Lâmina d'água (m)</t>
  </si>
  <si>
    <t>Heave up (m)</t>
  </si>
  <si>
    <t>Empuxo Total (kg)</t>
  </si>
  <si>
    <t>Qtde. de Conjuntos de Boias</t>
  </si>
  <si>
    <t>Distância da 1ª Boia ao Flange</t>
  </si>
  <si>
    <t>Droplist do Tipo de Linha</t>
  </si>
  <si>
    <t xml:space="preserve">AN </t>
  </si>
  <si>
    <t>GL</t>
  </si>
  <si>
    <t>IA</t>
  </si>
  <si>
    <t>PO</t>
  </si>
  <si>
    <t>UEH</t>
  </si>
  <si>
    <t>Gas</t>
  </si>
  <si>
    <t>Escolher Caso</t>
  </si>
  <si>
    <t>Momento Fletor</t>
  </si>
  <si>
    <t>Toque no Solo (Caso 3ii)</t>
  </si>
  <si>
    <t>Orcaflex</t>
  </si>
  <si>
    <r>
      <rPr>
        <sz val="9.5"/>
        <rFont val="Tahoma"/>
        <family val="2"/>
      </rPr>
      <t>CASO DE CARREGAMENTO</t>
    </r>
  </si>
  <si>
    <t>ESFORÇO</t>
  </si>
  <si>
    <r>
      <rPr>
        <sz val="9.5"/>
        <rFont val="Tahoma"/>
        <family val="2"/>
      </rPr>
      <t>VALOR</t>
    </r>
  </si>
  <si>
    <t>Valor</t>
  </si>
  <si>
    <t>M. Fletor</t>
  </si>
  <si>
    <t>Verificação</t>
  </si>
  <si>
    <r>
      <rPr>
        <sz val="9.5"/>
        <rFont val="Arial"/>
        <family val="2"/>
      </rPr>
      <t>CVD 2a - Topo (Caso 1)</t>
    </r>
  </si>
  <si>
    <t>Tração (Fx)</t>
  </si>
  <si>
    <r>
      <rPr>
        <sz val="9.5"/>
        <rFont val="Arial"/>
        <family val="2"/>
      </rPr>
      <t>1368,48 kN</t>
    </r>
  </si>
  <si>
    <r>
      <rPr>
        <sz val="9.5"/>
        <rFont val="Arial"/>
        <family val="2"/>
      </rPr>
      <t xml:space="preserve">CVD 1a - Equilibrio
</t>
    </r>
    <r>
      <rPr>
        <sz val="9.5"/>
        <rFont val="Arial"/>
        <family val="2"/>
      </rPr>
      <t>(Caso 2 - Flutuadores)</t>
    </r>
  </si>
  <si>
    <r>
      <rPr>
        <sz val="9.5"/>
        <rFont val="Arial"/>
        <family val="2"/>
      </rPr>
      <t>-15,00 kN</t>
    </r>
  </si>
  <si>
    <r>
      <rPr>
        <sz val="9.5"/>
        <rFont val="Arial"/>
        <family val="2"/>
      </rPr>
      <t>Forga Cortante (Fz)</t>
    </r>
  </si>
  <si>
    <r>
      <rPr>
        <sz val="9.5"/>
        <rFont val="Arial"/>
        <family val="2"/>
      </rPr>
      <t>15,00 kN</t>
    </r>
  </si>
  <si>
    <r>
      <rPr>
        <sz val="9.5"/>
        <rFont val="Arial"/>
        <family val="2"/>
      </rPr>
      <t>Momento Fletor (My)</t>
    </r>
  </si>
  <si>
    <r>
      <rPr>
        <sz val="9.5"/>
        <rFont val="Arial"/>
        <family val="2"/>
      </rPr>
      <t>50,00 kN.m</t>
    </r>
  </si>
  <si>
    <r>
      <rPr>
        <sz val="9.5"/>
        <rFont val="Arial"/>
        <family val="2"/>
      </rPr>
      <t>MBR (Vertebra)</t>
    </r>
  </si>
  <si>
    <r>
      <rPr>
        <sz val="9.5"/>
        <rFont val="Arial"/>
        <family val="2"/>
      </rPr>
      <t>6,83 m</t>
    </r>
  </si>
  <si>
    <r>
      <rPr>
        <sz val="9.5"/>
        <rFont val="Arial"/>
        <family val="2"/>
      </rPr>
      <t>MBR (Flexivel)</t>
    </r>
  </si>
  <si>
    <r>
      <rPr>
        <sz val="9.5"/>
        <rFont val="Arial"/>
        <family val="2"/>
      </rPr>
      <t>5,99 m</t>
    </r>
  </si>
  <si>
    <r>
      <rPr>
        <sz val="9.5"/>
        <rFont val="Arial"/>
        <family val="2"/>
      </rPr>
      <t xml:space="preserve">CVD 1a -MCV no Hub com linha
</t>
    </r>
    <r>
      <rPr>
        <sz val="9.5"/>
        <rFont val="Arial"/>
        <family val="2"/>
      </rPr>
      <t>suspensa (Caso 3i - Flutuadores)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</si>
  <si>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Maximo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</si>
  <si>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Minimo</t>
    </r>
  </si>
  <si>
    <r>
      <rPr>
        <sz val="9.5"/>
        <rFont val="Arial"/>
        <family val="2"/>
      </rPr>
      <t>18,42 kN</t>
    </r>
  </si>
  <si>
    <r>
      <rPr>
        <sz val="9.5"/>
        <rFont val="Arial"/>
        <family val="2"/>
      </rPr>
      <t>-18,38 kN</t>
    </r>
  </si>
  <si>
    <r>
      <rPr>
        <sz val="9.5"/>
        <rFont val="Arial"/>
        <family val="2"/>
      </rPr>
      <t>-61,01 kN.m</t>
    </r>
  </si>
  <si>
    <r>
      <rPr>
        <sz val="9.5"/>
        <rFont val="Arial"/>
        <family val="2"/>
      </rPr>
      <t>6,19 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</si>
  <si>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>(Caso 3ii - Flutuadores)</t>
    </r>
  </si>
  <si>
    <r>
      <rPr>
        <sz val="9.5"/>
        <rFont val="Arial"/>
        <family val="2"/>
      </rPr>
      <t>(a)</t>
    </r>
  </si>
  <si>
    <r>
      <rPr>
        <sz val="9.5"/>
        <rFont val="Arial"/>
        <family val="2"/>
      </rPr>
      <t>-56,93 kN.m</t>
    </r>
  </si>
  <si>
    <r>
      <rPr>
        <sz val="9.5"/>
        <rFont val="Arial"/>
        <family val="2"/>
      </rPr>
      <t>(b)</t>
    </r>
  </si>
  <si>
    <r>
      <rPr>
        <sz val="9.5"/>
        <rFont val="Arial"/>
        <family val="2"/>
      </rPr>
      <t>-53,19 kN.m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</si>
  <si>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 xml:space="preserve">(Caso 3ii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</si>
  <si>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23,69 kN</t>
    </r>
  </si>
  <si>
    <r>
      <rPr>
        <sz val="9.5"/>
        <rFont val="Arial"/>
        <family val="2"/>
      </rPr>
      <t>-28,46 kN</t>
    </r>
  </si>
  <si>
    <r>
      <rPr>
        <sz val="9.5"/>
        <rFont val="Arial"/>
        <family val="2"/>
      </rPr>
      <t>-85,87 kN.m</t>
    </r>
  </si>
  <si>
    <r>
      <rPr>
        <sz val="9.5"/>
        <rFont val="Arial"/>
        <family val="2"/>
      </rPr>
      <t>20,38 kN</t>
    </r>
  </si>
  <si>
    <r>
      <rPr>
        <sz val="9.5"/>
        <rFont val="Arial"/>
        <family val="2"/>
      </rPr>
      <t>-26,08 kN</t>
    </r>
  </si>
  <si>
    <r>
      <rPr>
        <sz val="9.5"/>
        <rFont val="Arial"/>
        <family val="2"/>
      </rPr>
      <t>-75,00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</si>
  <si>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>(Caso 4 - Flutuadores)</t>
    </r>
  </si>
  <si>
    <r>
      <rPr>
        <sz val="9.5"/>
        <rFont val="Arial"/>
        <family val="2"/>
      </rPr>
      <t>60,95 kN.m</t>
    </r>
  </si>
  <si>
    <r>
      <rPr>
        <sz val="9.5"/>
        <rFont val="Arial"/>
        <family val="2"/>
      </rPr>
      <t>56,27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</si>
  <si>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 xml:space="preserve">(Caso 4 -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</si>
  <si>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-38,36 kN</t>
    </r>
  </si>
  <si>
    <r>
      <rPr>
        <sz val="9.5"/>
        <rFont val="Arial"/>
        <family val="2"/>
      </rPr>
      <t>-98,61 kN.m</t>
    </r>
  </si>
  <si>
    <r>
      <rPr>
        <sz val="9.5"/>
        <rFont val="Arial"/>
        <family val="2"/>
      </rPr>
      <t>-33,15 kN</t>
    </r>
  </si>
  <si>
    <r>
      <rPr>
        <sz val="9.5"/>
        <rFont val="Arial"/>
        <family val="2"/>
      </rPr>
      <t>-39,91 kN</t>
    </r>
  </si>
  <si>
    <r>
      <rPr>
        <sz val="9.5"/>
        <rFont val="Arial"/>
        <family val="2"/>
      </rPr>
      <t>-82,24 kN.m</t>
    </r>
  </si>
  <si>
    <r>
      <rPr>
        <sz val="9.5"/>
        <rFont val="Arial"/>
        <family val="2"/>
      </rPr>
      <t xml:space="preserve">CVD 1a - Operagão
</t>
    </r>
    <r>
      <rPr>
        <sz val="9.5"/>
        <rFont val="Arial"/>
        <family val="2"/>
      </rPr>
      <t xml:space="preserve">(Caso 5 -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</si>
  <si>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-38,40 kN</t>
    </r>
  </si>
  <si>
    <r>
      <rPr>
        <sz val="9.5"/>
        <rFont val="Arial"/>
        <family val="2"/>
      </rPr>
      <t>-99,31 kN.m</t>
    </r>
  </si>
  <si>
    <r>
      <rPr>
        <sz val="9.5"/>
        <rFont val="Arial"/>
        <family val="2"/>
      </rPr>
      <t>-33,13 kN</t>
    </r>
  </si>
  <si>
    <r>
      <rPr>
        <sz val="9.5"/>
        <rFont val="Arial"/>
        <family val="2"/>
      </rPr>
      <t>-82,77 kN.m</t>
    </r>
  </si>
  <si>
    <t>Caso</t>
  </si>
  <si>
    <t>Puxada Max (Caso 3i)</t>
  </si>
  <si>
    <t>Puxada Min (Caso 3i)</t>
  </si>
  <si>
    <t>Esforços no Flange</t>
  </si>
  <si>
    <t>Esforços na Vértebra</t>
  </si>
  <si>
    <t>Puxada</t>
  </si>
  <si>
    <t>Toque no solo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</si>
  <si>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</si>
  <si>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</si>
  <si>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</si>
  <si>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</si>
  <si>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</si>
  <si>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</si>
  <si>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</si>
  <si>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</si>
  <si>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</si>
  <si>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Tração [kN]</t>
  </si>
  <si>
    <t>Força Cortante [kN]</t>
  </si>
  <si>
    <t>Momento Fletor 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</si>
  <si>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</si>
  <si>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</si>
  <si>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Times New Roman"/>
        <family val="1"/>
      </rPr>
      <t>requerem aprovação</t>
    </r>
    <r>
      <rPr>
        <sz val="12"/>
        <color rgb="FFFF0000"/>
        <rFont val="Times New Roman"/>
        <family val="1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</si>
  <si>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Times New Roman"/>
        <family val="1"/>
      </rPr>
      <t>requerem aprovação</t>
    </r>
    <r>
      <rPr>
        <sz val="12"/>
        <color rgb="FF0070C0"/>
        <rFont val="Times New Roman"/>
        <family val="1"/>
      </rPr>
      <t>.</t>
    </r>
  </si>
  <si>
    <t>-Valores em preto: esforços extraídos do RL.</t>
  </si>
  <si>
    <t>Duplicate - Script file name</t>
  </si>
  <si>
    <t>ArcLength</t>
  </si>
  <si>
    <t>Version</t>
  </si>
  <si>
    <t>9.8b</t>
  </si>
  <si>
    <t>Duplicate - Sheet base name</t>
  </si>
  <si>
    <t>BatchName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</si>
  <si>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</si>
  <si>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</si>
  <si>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</si>
  <si>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</si>
  <si>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</si>
  <si>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</si>
  <si>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</si>
  <si>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</si>
  <si>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</si>
  <si>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</si>
  <si>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</si>
  <si>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</si>
  <si>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</si>
  <si>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</si>
  <si>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</si>
  <si>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</si>
  <si>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</si>
  <si>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</si>
  <si>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untitled.sim</t>
  </si>
  <si>
    <t>FromArcLength</t>
  </si>
  <si>
    <t>GetDataIndex</t>
  </si>
  <si>
    <t>InsertMethod</t>
  </si>
  <si>
    <t>LabelCell</t>
  </si>
  <si>
    <t>C1</t>
  </si>
  <si>
    <t>LinePosition</t>
  </si>
  <si>
    <t>NodeNumber</t>
  </si>
  <si>
    <t>ObjectIndex</t>
  </si>
  <si>
    <t>OutputCell</t>
  </si>
  <si>
    <t>C2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</si>
  <si>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</si>
  <si>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</si>
  <si>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</si>
  <si>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</si>
  <si>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</si>
  <si>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</si>
  <si>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</si>
  <si>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</si>
  <si>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</si>
  <si>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</si>
  <si>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</si>
  <si>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nnnnnnnnnnnnnnnnnnnnnnnnnnnnnnnnnnnnnnnnnnnnnnnnnnnnnnnnnnnnnnnnnnnnnnnnnnnnnnnnnnnnnnnnnnnnnnnnnnnnnnnnnnnnnnnnnnnnnnnnnnnnnnnnnnnnnnnnnnnnnnnnnnnnnnnnnnnnnnnnnnnnnnnnnnnnnnnnnnnnnnnnnnnnnnnnnnnnnnnnnnnnnnnnnnnnnnnnnnnnnnnnynnnnnnnnnnnnnnnnnnnnnnnnnnnnnnn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</si>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</sst>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0.00000000"/>
    <numFmt numFmtId="166" formatCode="0.00000"/>
    <numFmt numFmtId="167" formatCode="0.000"/>
    <numFmt numFmtId="168" formatCode="0.0000"/>
    <numFmt numFmtId="169" formatCode="0.0"/>
    <numFmt numFmtId="170" formatCode="[$-1009]d\-mmm\-yy;@"/>
    <numFmt numFmtId="171" formatCode="d\-mmm\-yyyy"/>
    <numFmt numFmtId="172" formatCode="0.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sz val="9"/>
      <color rgb="FFFF0000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9.5"/>
      <name val="Tahoma"/>
      <family val="2"/>
    </font>
    <font>
      <sz val="9.5"/>
      <name val="Arial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B050"/>
      <name val="Calibri"/>
      <family val="2"/>
    </font>
    <font>
      <sz val="12"/>
      <color rgb="FF00000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rgb="FF0070C0"/>
      <name val="Times New Roman"/>
      <family val="1"/>
    </font>
    <font>
      <b/>
      <u/>
      <sz val="12"/>
      <color rgb="FF0070C0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0" fontId="13" fillId="3" borderId="0" applyNumberFormat="0" applyBorder="0" applyAlignment="0" applyProtection="0"/>
    <xf numFmtId="0" fontId="8" fillId="0" borderId="0"/>
    <xf numFmtId="0" fontId="12" fillId="0" borderId="0"/>
    <xf numFmtId="164" fontId="12" fillId="0" borderId="0" applyFont="0" applyFill="0" applyBorder="0" applyAlignment="0" applyProtection="0"/>
    <xf numFmtId="0" fontId="12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" fillId="0" borderId="0"/>
    <xf numFmtId="0" fontId="6" fillId="0" borderId="0"/>
    <xf numFmtId="164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2" fillId="0" borderId="0"/>
    <xf numFmtId="164" fontId="12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618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0" fontId="8" fillId="0" borderId="0" xfId="2"/>
    <xf numFmtId="0" fontId="8" fillId="0" borderId="0" xfId="2" applyAlignment="1">
      <alignment horizontal="center"/>
    </xf>
    <xf numFmtId="0" fontId="24" fillId="0" borderId="0" xfId="2" applyFont="1"/>
    <xf numFmtId="0" fontId="26" fillId="0" borderId="0" xfId="2" applyFont="1"/>
    <xf numFmtId="0" fontId="26" fillId="4" borderId="13" xfId="2" applyFont="1" applyFill="1" applyBorder="1" applyAlignment="1">
      <alignment horizontal="center" vertical="center"/>
    </xf>
    <xf numFmtId="166" fontId="26" fillId="0" borderId="18" xfId="2" applyNumberFormat="1" applyFont="1" applyBorder="1" applyAlignment="1">
      <alignment horizontal="center" vertical="center"/>
    </xf>
    <xf numFmtId="166" fontId="26" fillId="0" borderId="18" xfId="2" applyNumberFormat="1" applyFont="1" applyBorder="1" applyAlignment="1">
      <alignment horizontal="center"/>
    </xf>
    <xf numFmtId="166" fontId="26" fillId="0" borderId="3" xfId="2" applyNumberFormat="1" applyFont="1" applyBorder="1" applyAlignment="1">
      <alignment horizontal="center"/>
    </xf>
    <xf numFmtId="166" fontId="24" fillId="0" borderId="0" xfId="2" applyNumberFormat="1" applyFont="1" applyAlignment="1">
      <alignment horizontal="center"/>
    </xf>
    <xf numFmtId="1" fontId="24" fillId="0" borderId="0" xfId="2" applyNumberFormat="1" applyFont="1" applyAlignment="1">
      <alignment horizontal="center"/>
    </xf>
    <xf numFmtId="167" fontId="24" fillId="0" borderId="0" xfId="2" applyNumberFormat="1" applyFont="1" applyAlignment="1">
      <alignment horizontal="center" vertical="center"/>
    </xf>
    <xf numFmtId="166" fontId="8" fillId="0" borderId="0" xfId="2" applyNumberFormat="1" applyAlignment="1">
      <alignment horizontal="center"/>
    </xf>
    <xf numFmtId="1" fontId="8" fillId="0" borderId="0" xfId="2" applyNumberFormat="1" applyAlignment="1">
      <alignment horizontal="center"/>
    </xf>
    <xf numFmtId="167" fontId="8" fillId="0" borderId="0" xfId="2" applyNumberFormat="1" applyAlignment="1">
      <alignment horizontal="center" vertical="center"/>
    </xf>
    <xf numFmtId="0" fontId="9" fillId="0" borderId="0" xfId="3" applyFont="1"/>
    <xf numFmtId="0" fontId="10" fillId="2" borderId="1" xfId="3" applyFont="1" applyFill="1" applyBorder="1" applyAlignment="1">
      <alignment horizontal="center"/>
    </xf>
    <xf numFmtId="0" fontId="10" fillId="2" borderId="2" xfId="3" applyFont="1" applyFill="1" applyBorder="1" applyAlignment="1">
      <alignment horizontal="center"/>
    </xf>
    <xf numFmtId="0" fontId="10" fillId="2" borderId="1" xfId="3" applyFont="1" applyFill="1" applyBorder="1"/>
    <xf numFmtId="0" fontId="9" fillId="0" borderId="0" xfId="3" applyFont="1" applyAlignment="1">
      <alignment horizontal="left"/>
    </xf>
    <xf numFmtId="0" fontId="12" fillId="0" borderId="0" xfId="3" applyProtection="1">
      <protection locked="0"/>
    </xf>
    <xf numFmtId="167" fontId="27" fillId="0" borderId="0" xfId="3" applyNumberFormat="1" applyFont="1" applyAlignment="1" applyProtection="1">
      <alignment horizontal="center" vertical="center"/>
      <protection locked="0"/>
    </xf>
    <xf numFmtId="167" fontId="12" fillId="0" borderId="0" xfId="3" applyNumberFormat="1" applyProtection="1">
      <protection locked="0"/>
    </xf>
    <xf numFmtId="0" fontId="12" fillId="7" borderId="0" xfId="3" applyFill="1"/>
    <xf numFmtId="0" fontId="12" fillId="7" borderId="0" xfId="3" applyFill="1" applyAlignment="1">
      <alignment horizontal="right"/>
    </xf>
    <xf numFmtId="0" fontId="12" fillId="7" borderId="0" xfId="3" quotePrefix="1" applyFill="1" applyAlignment="1">
      <alignment horizontal="right"/>
    </xf>
    <xf numFmtId="0" fontId="12" fillId="7" borderId="0" xfId="3" applyFill="1" applyAlignment="1">
      <alignment horizontal="center"/>
    </xf>
    <xf numFmtId="2" fontId="12" fillId="7" borderId="0" xfId="3" applyNumberFormat="1" applyFill="1"/>
    <xf numFmtId="0" fontId="11" fillId="10" borderId="13" xfId="3" applyFont="1" applyFill="1" applyBorder="1" applyAlignment="1">
      <alignment horizontal="left"/>
    </xf>
    <xf numFmtId="2" fontId="12" fillId="6" borderId="2" xfId="3" applyNumberFormat="1" applyFill="1" applyBorder="1" applyAlignment="1" applyProtection="1">
      <alignment horizontal="center"/>
      <protection locked="0"/>
    </xf>
    <xf numFmtId="0" fontId="12" fillId="7" borderId="12" xfId="3" quotePrefix="1" applyFill="1" applyBorder="1" applyAlignment="1">
      <alignment horizontal="right"/>
    </xf>
    <xf numFmtId="0" fontId="12" fillId="7" borderId="30" xfId="3" quotePrefix="1" applyFill="1" applyBorder="1" applyAlignment="1">
      <alignment horizontal="right"/>
    </xf>
    <xf numFmtId="2" fontId="12" fillId="11" borderId="26" xfId="3" applyNumberFormat="1" applyFill="1" applyBorder="1" applyAlignment="1">
      <alignment horizontal="left"/>
    </xf>
    <xf numFmtId="0" fontId="12" fillId="11" borderId="11" xfId="3" applyFill="1" applyBorder="1" applyAlignment="1">
      <alignment horizontal="left"/>
    </xf>
    <xf numFmtId="0" fontId="12" fillId="11" borderId="11" xfId="3" applyFill="1" applyBorder="1" applyAlignment="1">
      <alignment horizontal="right"/>
    </xf>
    <xf numFmtId="0" fontId="12" fillId="7" borderId="10" xfId="3" applyFill="1" applyBorder="1" applyAlignment="1">
      <alignment horizontal="right"/>
    </xf>
    <xf numFmtId="0" fontId="12" fillId="7" borderId="0" xfId="3" applyFill="1" applyAlignment="1">
      <alignment horizontal="left"/>
    </xf>
    <xf numFmtId="2" fontId="12" fillId="11" borderId="10" xfId="3" applyNumberFormat="1" applyFill="1" applyBorder="1" applyAlignment="1">
      <alignment horizontal="left"/>
    </xf>
    <xf numFmtId="0" fontId="12" fillId="11" borderId="0" xfId="3" applyFill="1" applyAlignment="1">
      <alignment horizontal="left"/>
    </xf>
    <xf numFmtId="0" fontId="12" fillId="11" borderId="0" xfId="3" applyFill="1" applyAlignment="1">
      <alignment horizontal="right"/>
    </xf>
    <xf numFmtId="0" fontId="12" fillId="11" borderId="30" xfId="3" applyFill="1" applyBorder="1" applyAlignment="1">
      <alignment horizontal="left"/>
    </xf>
    <xf numFmtId="0" fontId="12" fillId="11" borderId="30" xfId="3" applyFill="1" applyBorder="1" applyAlignment="1">
      <alignment horizontal="right"/>
    </xf>
    <xf numFmtId="2" fontId="12" fillId="12" borderId="31" xfId="3" applyNumberFormat="1" applyFill="1" applyBorder="1" applyAlignment="1" applyProtection="1">
      <alignment horizontal="right"/>
      <protection hidden="1"/>
    </xf>
    <xf numFmtId="2" fontId="12" fillId="12" borderId="32" xfId="3" applyNumberFormat="1" applyFill="1" applyBorder="1" applyAlignment="1" applyProtection="1">
      <alignment horizontal="right"/>
      <protection hidden="1"/>
    </xf>
    <xf numFmtId="0" fontId="12" fillId="12" borderId="32" xfId="3" applyFill="1" applyBorder="1" applyProtection="1">
      <protection hidden="1"/>
    </xf>
    <xf numFmtId="0" fontId="12" fillId="12" borderId="33" xfId="3" applyFill="1" applyBorder="1" applyAlignment="1" applyProtection="1">
      <alignment horizontal="right"/>
      <protection hidden="1"/>
    </xf>
    <xf numFmtId="0" fontId="12" fillId="6" borderId="34" xfId="3" applyFill="1" applyBorder="1" applyAlignment="1" applyProtection="1">
      <alignment horizontal="right"/>
      <protection locked="0"/>
    </xf>
    <xf numFmtId="0" fontId="12" fillId="12" borderId="35" xfId="3" applyFill="1" applyBorder="1" applyAlignment="1" applyProtection="1">
      <alignment horizontal="right"/>
      <protection hidden="1"/>
    </xf>
    <xf numFmtId="0" fontId="12" fillId="12" borderId="36" xfId="3" applyFill="1" applyBorder="1" applyAlignment="1" applyProtection="1">
      <alignment horizontal="right"/>
      <protection hidden="1"/>
    </xf>
    <xf numFmtId="0" fontId="12" fillId="12" borderId="36" xfId="3" applyFill="1" applyBorder="1" applyProtection="1">
      <protection hidden="1"/>
    </xf>
    <xf numFmtId="0" fontId="12" fillId="12" borderId="37" xfId="3" applyFill="1" applyBorder="1" applyAlignment="1" applyProtection="1">
      <alignment horizontal="right"/>
      <protection hidden="1"/>
    </xf>
    <xf numFmtId="0" fontId="12" fillId="6" borderId="25" xfId="3" applyFill="1" applyBorder="1" applyAlignment="1" applyProtection="1">
      <alignment horizontal="left"/>
      <protection locked="0"/>
    </xf>
    <xf numFmtId="2" fontId="12" fillId="12" borderId="35" xfId="3" applyNumberFormat="1" applyFill="1" applyBorder="1" applyAlignment="1" applyProtection="1">
      <alignment horizontal="right"/>
      <protection hidden="1"/>
    </xf>
    <xf numFmtId="2" fontId="12" fillId="12" borderId="36" xfId="3" applyNumberFormat="1" applyFill="1" applyBorder="1" applyAlignment="1" applyProtection="1">
      <alignment horizontal="right"/>
      <protection hidden="1"/>
    </xf>
    <xf numFmtId="0" fontId="12" fillId="7" borderId="38" xfId="3" applyFill="1" applyBorder="1" applyAlignment="1" applyProtection="1">
      <alignment horizontal="right"/>
      <protection hidden="1"/>
    </xf>
    <xf numFmtId="2" fontId="12" fillId="12" borderId="37" xfId="3" applyNumberFormat="1" applyFill="1" applyBorder="1" applyAlignment="1" applyProtection="1">
      <alignment horizontal="right"/>
      <protection hidden="1"/>
    </xf>
    <xf numFmtId="2" fontId="12" fillId="7" borderId="39" xfId="3" applyNumberFormat="1" applyFill="1" applyBorder="1" applyAlignment="1" applyProtection="1">
      <alignment horizontal="right" vertical="top"/>
      <protection hidden="1"/>
    </xf>
    <xf numFmtId="2" fontId="12" fillId="7" borderId="10" xfId="3" applyNumberFormat="1" applyFill="1" applyBorder="1" applyAlignment="1">
      <alignment horizontal="right" vertical="top"/>
    </xf>
    <xf numFmtId="2" fontId="12" fillId="7" borderId="0" xfId="3" applyNumberFormat="1" applyFill="1" applyAlignment="1">
      <alignment vertical="top"/>
    </xf>
    <xf numFmtId="2" fontId="12" fillId="12" borderId="40" xfId="3" applyNumberFormat="1" applyFill="1" applyBorder="1" applyAlignment="1" applyProtection="1">
      <alignment horizontal="right"/>
      <protection hidden="1"/>
    </xf>
    <xf numFmtId="2" fontId="12" fillId="7" borderId="41" xfId="3" applyNumberFormat="1" applyFill="1" applyBorder="1" applyAlignment="1" applyProtection="1">
      <alignment horizontal="right" vertical="top"/>
      <protection hidden="1"/>
    </xf>
    <xf numFmtId="2" fontId="12" fillId="12" borderId="42" xfId="3" applyNumberFormat="1" applyFill="1" applyBorder="1" applyAlignment="1" applyProtection="1">
      <alignment horizontal="right"/>
      <protection hidden="1"/>
    </xf>
    <xf numFmtId="2" fontId="12" fillId="12" borderId="43" xfId="3" applyNumberFormat="1" applyFill="1" applyBorder="1" applyAlignment="1" applyProtection="1">
      <alignment horizontal="right"/>
      <protection hidden="1"/>
    </xf>
    <xf numFmtId="2" fontId="12" fillId="12" borderId="44" xfId="3" applyNumberFormat="1" applyFill="1" applyBorder="1" applyAlignment="1" applyProtection="1">
      <alignment horizontal="right"/>
      <protection hidden="1"/>
    </xf>
    <xf numFmtId="2" fontId="12" fillId="7" borderId="0" xfId="3" applyNumberFormat="1" applyFill="1" applyAlignment="1">
      <alignment horizontal="right" vertical="top"/>
    </xf>
    <xf numFmtId="2" fontId="12" fillId="7" borderId="46" xfId="3" applyNumberFormat="1" applyFill="1" applyBorder="1" applyAlignment="1" applyProtection="1">
      <alignment horizontal="right" vertical="top"/>
      <protection hidden="1"/>
    </xf>
    <xf numFmtId="0" fontId="12" fillId="12" borderId="47" xfId="3" applyFill="1" applyBorder="1" applyAlignment="1" applyProtection="1">
      <alignment horizontal="right"/>
      <protection hidden="1"/>
    </xf>
    <xf numFmtId="0" fontId="12" fillId="12" borderId="48" xfId="3" applyFill="1" applyBorder="1" applyAlignment="1" applyProtection="1">
      <alignment horizontal="right"/>
      <protection hidden="1"/>
    </xf>
    <xf numFmtId="0" fontId="12" fillId="12" borderId="48" xfId="3" applyFill="1" applyBorder="1" applyProtection="1">
      <protection hidden="1"/>
    </xf>
    <xf numFmtId="0" fontId="12" fillId="12" borderId="49" xfId="3" applyFill="1" applyBorder="1" applyAlignment="1" applyProtection="1">
      <alignment horizontal="right"/>
      <protection hidden="1"/>
    </xf>
    <xf numFmtId="0" fontId="12" fillId="6" borderId="50" xfId="3" applyFill="1" applyBorder="1" applyAlignment="1" applyProtection="1">
      <alignment horizontal="center"/>
      <protection locked="0"/>
    </xf>
    <xf numFmtId="165" fontId="12" fillId="7" borderId="0" xfId="3" applyNumberFormat="1" applyFill="1" applyAlignment="1">
      <alignment horizontal="right"/>
    </xf>
    <xf numFmtId="2" fontId="12" fillId="7" borderId="0" xfId="3" applyNumberFormat="1" applyFill="1" applyAlignment="1">
      <alignment horizontal="right"/>
    </xf>
    <xf numFmtId="168" fontId="12" fillId="7" borderId="41" xfId="3" applyNumberFormat="1" applyFill="1" applyBorder="1" applyAlignment="1" applyProtection="1">
      <alignment horizontal="right" vertical="top"/>
      <protection hidden="1"/>
    </xf>
    <xf numFmtId="166" fontId="12" fillId="7" borderId="45" xfId="3" applyNumberFormat="1" applyFill="1" applyBorder="1" applyAlignment="1" applyProtection="1">
      <alignment horizontal="right" vertical="top"/>
      <protection hidden="1"/>
    </xf>
    <xf numFmtId="166" fontId="12" fillId="7" borderId="41" xfId="3" applyNumberFormat="1" applyFill="1" applyBorder="1" applyAlignment="1" applyProtection="1">
      <alignment horizontal="right" vertical="top"/>
      <protection hidden="1"/>
    </xf>
    <xf numFmtId="168" fontId="12" fillId="7" borderId="38" xfId="3" applyNumberFormat="1" applyFill="1" applyBorder="1" applyAlignment="1" applyProtection="1">
      <alignment horizontal="right"/>
      <protection hidden="1"/>
    </xf>
    <xf numFmtId="166" fontId="12" fillId="7" borderId="38" xfId="3" applyNumberFormat="1" applyFill="1" applyBorder="1" applyAlignment="1" applyProtection="1">
      <alignment horizontal="right"/>
      <protection hidden="1"/>
    </xf>
    <xf numFmtId="2" fontId="12" fillId="7" borderId="38" xfId="3" applyNumberFormat="1" applyFill="1" applyBorder="1" applyAlignment="1" applyProtection="1">
      <alignment horizontal="right"/>
      <protection hidden="1"/>
    </xf>
    <xf numFmtId="0" fontId="11" fillId="0" borderId="0" xfId="3" applyFont="1" applyProtection="1">
      <protection locked="0"/>
    </xf>
    <xf numFmtId="0" fontId="4" fillId="0" borderId="0" xfId="24"/>
    <xf numFmtId="0" fontId="14" fillId="0" borderId="0" xfId="24" applyFont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7" borderId="9" xfId="24" applyFont="1" applyFill="1" applyBorder="1" applyAlignment="1">
      <alignment horizontal="center"/>
    </xf>
    <xf numFmtId="0" fontId="14" fillId="0" borderId="0" xfId="24" applyFont="1"/>
    <xf numFmtId="0" fontId="21" fillId="7" borderId="6" xfId="24" applyFont="1" applyFill="1" applyBorder="1" applyAlignment="1">
      <alignment horizontal="center" wrapText="1"/>
    </xf>
    <xf numFmtId="0" fontId="22" fillId="0" borderId="0" xfId="24" applyFont="1" applyAlignment="1">
      <alignment horizontal="right"/>
    </xf>
    <xf numFmtId="0" fontId="4" fillId="0" borderId="0" xfId="24" applyAlignment="1">
      <alignment horizontal="center"/>
    </xf>
    <xf numFmtId="0" fontId="10" fillId="2" borderId="18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center"/>
    </xf>
    <xf numFmtId="0" fontId="9" fillId="9" borderId="52" xfId="3" applyFont="1" applyFill="1" applyBorder="1" applyAlignment="1">
      <alignment horizontal="left"/>
    </xf>
    <xf numFmtId="0" fontId="9" fillId="9" borderId="29" xfId="3" applyFont="1" applyFill="1" applyBorder="1" applyAlignment="1">
      <alignment horizontal="left"/>
    </xf>
    <xf numFmtId="0" fontId="10" fillId="9" borderId="29" xfId="3" applyFont="1" applyFill="1" applyBorder="1" applyAlignment="1">
      <alignment horizontal="left"/>
    </xf>
    <xf numFmtId="0" fontId="9" fillId="9" borderId="53" xfId="3" applyFont="1" applyFill="1" applyBorder="1" applyAlignment="1">
      <alignment horizontal="left"/>
    </xf>
    <xf numFmtId="0" fontId="9" fillId="0" borderId="55" xfId="3" applyFont="1" applyBorder="1" applyAlignment="1">
      <alignment horizontal="left"/>
    </xf>
    <xf numFmtId="0" fontId="9" fillId="0" borderId="56" xfId="3" applyFont="1" applyBorder="1" applyAlignment="1">
      <alignment horizontal="left"/>
    </xf>
    <xf numFmtId="0" fontId="9" fillId="9" borderId="55" xfId="3" applyFont="1" applyFill="1" applyBorder="1" applyAlignment="1">
      <alignment horizontal="left"/>
    </xf>
    <xf numFmtId="0" fontId="9" fillId="9" borderId="0" xfId="3" applyFont="1" applyFill="1" applyAlignment="1">
      <alignment horizontal="left"/>
    </xf>
    <xf numFmtId="0" fontId="10" fillId="9" borderId="0" xfId="3" applyFont="1" applyFill="1" applyAlignment="1">
      <alignment horizontal="left"/>
    </xf>
    <xf numFmtId="0" fontId="9" fillId="9" borderId="56" xfId="3" applyFont="1" applyFill="1" applyBorder="1" applyAlignment="1">
      <alignment horizontal="left"/>
    </xf>
    <xf numFmtId="1" fontId="12" fillId="7" borderId="41" xfId="3" applyNumberFormat="1" applyFill="1" applyBorder="1" applyAlignment="1" applyProtection="1">
      <alignment horizontal="right" vertical="top"/>
      <protection hidden="1"/>
    </xf>
    <xf numFmtId="0" fontId="12" fillId="13" borderId="0" xfId="3" applyFill="1" applyAlignment="1">
      <alignment horizontal="left"/>
    </xf>
    <xf numFmtId="2" fontId="12" fillId="11" borderId="11" xfId="3" applyNumberFormat="1" applyFill="1" applyBorder="1" applyAlignment="1">
      <alignment horizontal="left"/>
    </xf>
    <xf numFmtId="2" fontId="12" fillId="11" borderId="0" xfId="3" applyNumberFormat="1" applyFill="1" applyAlignment="1">
      <alignment horizontal="left"/>
    </xf>
    <xf numFmtId="1" fontId="30" fillId="0" borderId="24" xfId="3" applyNumberFormat="1" applyFont="1" applyBorder="1" applyAlignment="1">
      <alignment horizontal="center" vertical="center"/>
    </xf>
    <xf numFmtId="168" fontId="30" fillId="0" borderId="24" xfId="3" applyNumberFormat="1" applyFont="1" applyBorder="1" applyAlignment="1">
      <alignment horizontal="center" vertical="center"/>
    </xf>
    <xf numFmtId="168" fontId="30" fillId="5" borderId="24" xfId="3" applyNumberFormat="1" applyFont="1" applyFill="1" applyBorder="1" applyAlignment="1">
      <alignment horizontal="center" vertical="center"/>
    </xf>
    <xf numFmtId="1" fontId="30" fillId="5" borderId="24" xfId="3" applyNumberFormat="1" applyFont="1" applyFill="1" applyBorder="1" applyAlignment="1">
      <alignment horizontal="center" vertical="center"/>
    </xf>
    <xf numFmtId="0" fontId="20" fillId="4" borderId="3" xfId="24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2" xfId="2" applyFont="1" applyFill="1" applyBorder="1" applyAlignment="1">
      <alignment horizontal="center" vertical="center"/>
    </xf>
    <xf numFmtId="168" fontId="30" fillId="5" borderId="27" xfId="3" applyNumberFormat="1" applyFont="1" applyFill="1" applyBorder="1" applyAlignment="1">
      <alignment horizontal="center" vertical="center"/>
    </xf>
    <xf numFmtId="168" fontId="30" fillId="5" borderId="65" xfId="3" applyNumberFormat="1" applyFont="1" applyFill="1" applyBorder="1" applyAlignment="1">
      <alignment horizontal="center" vertical="center"/>
    </xf>
    <xf numFmtId="1" fontId="30" fillId="5" borderId="50" xfId="3" applyNumberFormat="1" applyFont="1" applyFill="1" applyBorder="1" applyAlignment="1">
      <alignment horizontal="center" vertical="center"/>
    </xf>
    <xf numFmtId="0" fontId="26" fillId="0" borderId="18" xfId="2" applyFont="1" applyBorder="1" applyAlignment="1">
      <alignment horizontal="center"/>
    </xf>
    <xf numFmtId="0" fontId="34" fillId="0" borderId="0" xfId="3" applyFont="1" applyProtection="1">
      <protection locked="0"/>
    </xf>
    <xf numFmtId="0" fontId="34" fillId="0" borderId="0" xfId="3" applyFont="1"/>
    <xf numFmtId="0" fontId="34" fillId="0" borderId="0" xfId="3" applyFont="1" applyAlignment="1" applyProtection="1">
      <alignment horizontal="left"/>
      <protection locked="0"/>
    </xf>
    <xf numFmtId="0" fontId="35" fillId="0" borderId="0" xfId="3" applyFont="1" applyProtection="1">
      <protection locked="0"/>
    </xf>
    <xf numFmtId="0" fontId="16" fillId="0" borderId="0" xfId="2" applyFont="1" applyAlignment="1">
      <alignment horizontal="center"/>
    </xf>
    <xf numFmtId="166" fontId="26" fillId="0" borderId="0" xfId="2" applyNumberFormat="1" applyFont="1" applyAlignment="1">
      <alignment horizontal="center"/>
    </xf>
    <xf numFmtId="167" fontId="26" fillId="0" borderId="0" xfId="2" applyNumberFormat="1" applyFont="1" applyAlignment="1">
      <alignment horizontal="center" vertical="center"/>
    </xf>
    <xf numFmtId="166" fontId="26" fillId="0" borderId="0" xfId="2" applyNumberFormat="1" applyFont="1"/>
    <xf numFmtId="167" fontId="26" fillId="0" borderId="0" xfId="2" applyNumberFormat="1" applyFont="1" applyAlignment="1">
      <alignment vertical="center"/>
    </xf>
    <xf numFmtId="0" fontId="26" fillId="0" borderId="10" xfId="2" applyFont="1" applyBorder="1"/>
    <xf numFmtId="0" fontId="34" fillId="0" borderId="61" xfId="3" applyFont="1" applyBorder="1" applyProtection="1">
      <protection locked="0"/>
    </xf>
    <xf numFmtId="0" fontId="34" fillId="0" borderId="62" xfId="3" applyFont="1" applyBorder="1" applyProtection="1">
      <protection locked="0"/>
    </xf>
    <xf numFmtId="0" fontId="0" fillId="0" borderId="10" xfId="0" applyBorder="1"/>
    <xf numFmtId="0" fontId="11" fillId="0" borderId="0" xfId="0" applyFont="1"/>
    <xf numFmtId="0" fontId="0" fillId="0" borderId="0" xfId="0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11" fillId="4" borderId="50" xfId="0" applyFont="1" applyFill="1" applyBorder="1" applyAlignment="1">
      <alignment horizontal="center"/>
    </xf>
    <xf numFmtId="0" fontId="11" fillId="4" borderId="61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0" borderId="12" xfId="0" applyBorder="1"/>
    <xf numFmtId="0" fontId="0" fillId="0" borderId="30" xfId="0" applyBorder="1"/>
    <xf numFmtId="0" fontId="0" fillId="0" borderId="62" xfId="0" applyBorder="1"/>
    <xf numFmtId="0" fontId="0" fillId="0" borderId="70" xfId="0" applyBorder="1"/>
    <xf numFmtId="0" fontId="0" fillId="0" borderId="50" xfId="0" applyBorder="1"/>
    <xf numFmtId="0" fontId="0" fillId="0" borderId="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75" xfId="0" applyBorder="1"/>
    <xf numFmtId="0" fontId="0" fillId="0" borderId="6" xfId="0" applyBorder="1"/>
    <xf numFmtId="0" fontId="11" fillId="4" borderId="58" xfId="0" applyFont="1" applyFill="1" applyBorder="1"/>
    <xf numFmtId="0" fontId="11" fillId="4" borderId="4" xfId="0" applyFont="1" applyFill="1" applyBorder="1"/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4" borderId="50" xfId="0" applyFont="1" applyFill="1" applyBorder="1" applyAlignment="1">
      <alignment horizontal="center" vertical="center"/>
    </xf>
    <xf numFmtId="0" fontId="0" fillId="0" borderId="76" xfId="0" applyBorder="1"/>
    <xf numFmtId="0" fontId="0" fillId="0" borderId="65" xfId="0" applyBorder="1"/>
    <xf numFmtId="0" fontId="0" fillId="0" borderId="60" xfId="0" applyBorder="1"/>
    <xf numFmtId="0" fontId="0" fillId="0" borderId="73" xfId="0" applyBorder="1"/>
    <xf numFmtId="0" fontId="0" fillId="0" borderId="68" xfId="0" applyBorder="1"/>
    <xf numFmtId="0" fontId="11" fillId="4" borderId="62" xfId="0" applyFont="1" applyFill="1" applyBorder="1"/>
    <xf numFmtId="0" fontId="11" fillId="4" borderId="50" xfId="0" applyFont="1" applyFill="1" applyBorder="1"/>
    <xf numFmtId="0" fontId="0" fillId="0" borderId="77" xfId="0" applyBorder="1"/>
    <xf numFmtId="0" fontId="0" fillId="0" borderId="56" xfId="0" applyBorder="1"/>
    <xf numFmtId="0" fontId="0" fillId="0" borderId="78" xfId="0" applyBorder="1"/>
    <xf numFmtId="0" fontId="11" fillId="4" borderId="27" xfId="0" applyFont="1" applyFill="1" applyBorder="1" applyAlignment="1">
      <alignment horizontal="center"/>
    </xf>
    <xf numFmtId="0" fontId="12" fillId="0" borderId="68" xfId="0" applyFont="1" applyBorder="1"/>
    <xf numFmtId="0" fontId="11" fillId="4" borderId="65" xfId="0" applyFont="1" applyFill="1" applyBorder="1"/>
    <xf numFmtId="0" fontId="11" fillId="4" borderId="76" xfId="0" applyFont="1" applyFill="1" applyBorder="1"/>
    <xf numFmtId="0" fontId="11" fillId="4" borderId="51" xfId="0" applyFont="1" applyFill="1" applyBorder="1"/>
    <xf numFmtId="0" fontId="0" fillId="0" borderId="83" xfId="0" applyBorder="1"/>
    <xf numFmtId="0" fontId="37" fillId="0" borderId="0" xfId="3" applyFont="1" applyAlignment="1">
      <alignment horizontal="left"/>
    </xf>
    <xf numFmtId="0" fontId="9" fillId="0" borderId="0" xfId="3" applyFont="1" applyAlignment="1">
      <alignment horizontal="center"/>
    </xf>
    <xf numFmtId="0" fontId="11" fillId="4" borderId="73" xfId="0" applyFont="1" applyFill="1" applyBorder="1" applyAlignment="1">
      <alignment horizontal="center"/>
    </xf>
    <xf numFmtId="0" fontId="0" fillId="0" borderId="18" xfId="0" applyBorder="1"/>
    <xf numFmtId="0" fontId="12" fillId="0" borderId="18" xfId="0" applyFont="1" applyBorder="1"/>
    <xf numFmtId="0" fontId="12" fillId="0" borderId="4" xfId="3" applyBorder="1" applyAlignment="1" applyProtection="1">
      <alignment horizontal="center"/>
      <protection locked="0"/>
    </xf>
    <xf numFmtId="0" fontId="12" fillId="0" borderId="51" xfId="3" applyBorder="1" applyAlignment="1" applyProtection="1">
      <alignment horizontal="center"/>
      <protection locked="0"/>
    </xf>
    <xf numFmtId="1" fontId="12" fillId="0" borderId="0" xfId="3" applyNumberFormat="1" applyAlignment="1" applyProtection="1">
      <alignment horizontal="center" vertical="center"/>
      <protection locked="0"/>
    </xf>
    <xf numFmtId="0" fontId="21" fillId="7" borderId="25" xfId="24" applyFont="1" applyFill="1" applyBorder="1" applyAlignment="1">
      <alignment horizontal="center" wrapText="1"/>
    </xf>
    <xf numFmtId="0" fontId="12" fillId="0" borderId="61" xfId="3" applyBorder="1" applyAlignment="1" applyProtection="1">
      <alignment vertical="center"/>
      <protection locked="0"/>
    </xf>
    <xf numFmtId="0" fontId="11" fillId="4" borderId="73" xfId="0" applyFont="1" applyFill="1" applyBorder="1" applyAlignment="1">
      <alignment horizontal="center" vertical="center" wrapText="1"/>
    </xf>
    <xf numFmtId="0" fontId="11" fillId="4" borderId="6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1" fillId="6" borderId="24" xfId="0" applyFont="1" applyFill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70" fontId="0" fillId="0" borderId="22" xfId="0" applyNumberFormat="1" applyBorder="1" applyAlignment="1" applyProtection="1">
      <alignment vertical="top" shrinkToFit="1"/>
      <protection locked="0"/>
    </xf>
    <xf numFmtId="0" fontId="12" fillId="0" borderId="22" xfId="27" applyFont="1" applyFill="1" applyBorder="1" applyAlignment="1" applyProtection="1">
      <alignment horizontal="center" vertical="top"/>
      <protection locked="0"/>
    </xf>
    <xf numFmtId="171" fontId="12" fillId="0" borderId="22" xfId="0" applyNumberFormat="1" applyFont="1" applyBorder="1" applyAlignment="1" applyProtection="1">
      <alignment horizontal="center" vertical="top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/>
    </xf>
    <xf numFmtId="0" fontId="12" fillId="0" borderId="68" xfId="0" applyFont="1" applyBorder="1" applyAlignment="1">
      <alignment horizontal="center"/>
    </xf>
    <xf numFmtId="0" fontId="11" fillId="4" borderId="8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24" xfId="3" applyFont="1" applyFill="1" applyBorder="1"/>
    <xf numFmtId="0" fontId="12" fillId="0" borderId="84" xfId="3" applyBorder="1" applyAlignment="1" applyProtection="1">
      <alignment horizontal="center"/>
      <protection locked="0"/>
    </xf>
    <xf numFmtId="0" fontId="12" fillId="0" borderId="67" xfId="3" applyBorder="1" applyAlignment="1" applyProtection="1">
      <alignment horizontal="center"/>
      <protection locked="0"/>
    </xf>
    <xf numFmtId="0" fontId="12" fillId="0" borderId="68" xfId="3" applyBorder="1" applyAlignment="1" applyProtection="1">
      <alignment horizontal="center"/>
      <protection locked="0"/>
    </xf>
    <xf numFmtId="0" fontId="12" fillId="0" borderId="24" xfId="0" applyFont="1" applyBorder="1"/>
    <xf numFmtId="0" fontId="11" fillId="0" borderId="24" xfId="0" applyFont="1" applyBorder="1"/>
    <xf numFmtId="0" fontId="12" fillId="0" borderId="61" xfId="0" applyFont="1" applyBorder="1"/>
    <xf numFmtId="0" fontId="12" fillId="0" borderId="25" xfId="0" applyFont="1" applyBorder="1"/>
    <xf numFmtId="0" fontId="11" fillId="0" borderId="61" xfId="0" applyFont="1" applyBorder="1"/>
    <xf numFmtId="0" fontId="11" fillId="0" borderId="25" xfId="0" applyFont="1" applyBorder="1"/>
    <xf numFmtId="0" fontId="11" fillId="0" borderId="62" xfId="0" applyFont="1" applyBorder="1"/>
    <xf numFmtId="0" fontId="12" fillId="0" borderId="70" xfId="0" applyFont="1" applyBorder="1"/>
    <xf numFmtId="0" fontId="11" fillId="0" borderId="50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86" xfId="0" applyFont="1" applyBorder="1"/>
    <xf numFmtId="167" fontId="12" fillId="0" borderId="0" xfId="3" applyNumberFormat="1" applyAlignment="1" applyProtection="1">
      <alignment horizontal="right" vertical="center"/>
      <protection locked="0"/>
    </xf>
    <xf numFmtId="172" fontId="0" fillId="0" borderId="0" xfId="0" applyNumberFormat="1"/>
    <xf numFmtId="0" fontId="0" fillId="0" borderId="24" xfId="0" applyBorder="1"/>
    <xf numFmtId="0" fontId="11" fillId="4" borderId="24" xfId="0" applyFont="1" applyFill="1" applyBorder="1"/>
    <xf numFmtId="0" fontId="11" fillId="4" borderId="63" xfId="0" applyFont="1" applyFill="1" applyBorder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20" xfId="0" applyBorder="1"/>
    <xf numFmtId="0" fontId="0" fillId="0" borderId="4" xfId="0" applyBorder="1"/>
    <xf numFmtId="0" fontId="12" fillId="0" borderId="4" xfId="0" applyFont="1" applyBorder="1"/>
    <xf numFmtId="0" fontId="0" fillId="0" borderId="51" xfId="0" applyBorder="1"/>
    <xf numFmtId="0" fontId="0" fillId="0" borderId="14" xfId="0" applyBorder="1"/>
    <xf numFmtId="0" fontId="0" fillId="0" borderId="57" xfId="0" applyBorder="1"/>
    <xf numFmtId="0" fontId="9" fillId="0" borderId="0" xfId="0" applyFont="1"/>
    <xf numFmtId="0" fontId="9" fillId="0" borderId="5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12" fillId="0" borderId="6" xfId="0" applyFont="1" applyBorder="1"/>
    <xf numFmtId="0" fontId="35" fillId="4" borderId="1" xfId="3" applyFont="1" applyFill="1" applyBorder="1" applyAlignment="1" applyProtection="1">
      <alignment horizontal="center" vertical="center" wrapText="1"/>
      <protection locked="0"/>
    </xf>
    <xf numFmtId="0" fontId="12" fillId="0" borderId="19" xfId="3" applyBorder="1" applyAlignment="1" applyProtection="1">
      <alignment horizontal="center"/>
      <protection locked="0"/>
    </xf>
    <xf numFmtId="0" fontId="12" fillId="0" borderId="87" xfId="3" applyBorder="1" applyAlignment="1" applyProtection="1">
      <alignment horizontal="center"/>
      <protection locked="0"/>
    </xf>
    <xf numFmtId="0" fontId="12" fillId="0" borderId="6" xfId="3" applyBorder="1" applyAlignment="1" applyProtection="1">
      <alignment horizontal="center"/>
      <protection locked="0"/>
    </xf>
    <xf numFmtId="0" fontId="12" fillId="0" borderId="83" xfId="3" applyBorder="1" applyAlignment="1" applyProtection="1">
      <alignment horizontal="center"/>
      <protection locked="0"/>
    </xf>
    <xf numFmtId="0" fontId="0" fillId="0" borderId="3" xfId="0" applyBorder="1"/>
    <xf numFmtId="0" fontId="11" fillId="4" borderId="73" xfId="0" applyFont="1" applyFill="1" applyBorder="1"/>
    <xf numFmtId="0" fontId="16" fillId="0" borderId="62" xfId="2" applyFont="1" applyBorder="1" applyAlignment="1">
      <alignment horizontal="center" vertical="center"/>
    </xf>
    <xf numFmtId="0" fontId="16" fillId="0" borderId="68" xfId="2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67" fontId="12" fillId="0" borderId="0" xfId="0" applyNumberFormat="1" applyFont="1"/>
    <xf numFmtId="2" fontId="0" fillId="0" borderId="0" xfId="0" applyNumberFormat="1"/>
    <xf numFmtId="169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11" fillId="4" borderId="65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3" applyBorder="1" applyAlignment="1" applyProtection="1">
      <alignment horizontal="center" vertical="center"/>
      <protection locked="0"/>
    </xf>
    <xf numFmtId="0" fontId="11" fillId="4" borderId="59" xfId="0" applyFont="1" applyFill="1" applyBorder="1"/>
    <xf numFmtId="0" fontId="11" fillId="4" borderId="75" xfId="0" applyFont="1" applyFill="1" applyBorder="1"/>
    <xf numFmtId="0" fontId="11" fillId="0" borderId="10" xfId="0" applyFont="1" applyBorder="1"/>
    <xf numFmtId="0" fontId="12" fillId="0" borderId="14" xfId="0" applyFont="1" applyBorder="1"/>
    <xf numFmtId="0" fontId="11" fillId="4" borderId="69" xfId="0" applyFont="1" applyFill="1" applyBorder="1"/>
    <xf numFmtId="0" fontId="11" fillId="4" borderId="64" xfId="0" applyFont="1" applyFill="1" applyBorder="1"/>
    <xf numFmtId="0" fontId="11" fillId="0" borderId="70" xfId="0" applyFont="1" applyBorder="1"/>
    <xf numFmtId="0" fontId="12" fillId="0" borderId="24" xfId="0" applyFont="1" applyBorder="1" applyAlignment="1">
      <alignment horizontal="center"/>
    </xf>
    <xf numFmtId="165" fontId="12" fillId="7" borderId="41" xfId="3" applyNumberFormat="1" applyFill="1" applyBorder="1" applyAlignment="1" applyProtection="1">
      <alignment horizontal="right" vertical="top"/>
      <protection hidden="1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21" fillId="0" borderId="0" xfId="24" applyFont="1" applyAlignment="1">
      <alignment horizontal="center"/>
    </xf>
    <xf numFmtId="0" fontId="21" fillId="0" borderId="1" xfId="24" applyFont="1" applyBorder="1" applyAlignment="1">
      <alignment horizontal="center" vertical="center"/>
    </xf>
    <xf numFmtId="0" fontId="21" fillId="0" borderId="0" xfId="24" applyFont="1"/>
    <xf numFmtId="0" fontId="21" fillId="0" borderId="10" xfId="24" applyFont="1" applyBorder="1" applyAlignment="1">
      <alignment horizontal="center" vertical="center"/>
    </xf>
    <xf numFmtId="0" fontId="21" fillId="0" borderId="18" xfId="24" applyFont="1" applyBorder="1" applyAlignment="1">
      <alignment horizontal="center" vertical="center"/>
    </xf>
    <xf numFmtId="0" fontId="21" fillId="0" borderId="10" xfId="24" applyFont="1" applyBorder="1"/>
    <xf numFmtId="0" fontId="21" fillId="7" borderId="6" xfId="24" applyFont="1" applyFill="1" applyBorder="1" applyAlignment="1">
      <alignment horizontal="center"/>
    </xf>
    <xf numFmtId="166" fontId="40" fillId="0" borderId="18" xfId="1" applyNumberFormat="1" applyFont="1" applyFill="1" applyBorder="1" applyAlignment="1">
      <alignment horizontal="right"/>
    </xf>
    <xf numFmtId="0" fontId="21" fillId="7" borderId="10" xfId="24" applyFont="1" applyFill="1" applyBorder="1"/>
    <xf numFmtId="0" fontId="21" fillId="0" borderId="10" xfId="24" applyFont="1" applyBorder="1" applyAlignment="1">
      <alignment horizontal="center"/>
    </xf>
    <xf numFmtId="0" fontId="21" fillId="0" borderId="18" xfId="24" applyFont="1" applyBorder="1" applyAlignment="1">
      <alignment vertical="center"/>
    </xf>
    <xf numFmtId="0" fontId="21" fillId="0" borderId="3" xfId="24" applyFont="1" applyBorder="1" applyAlignment="1">
      <alignment vertical="center"/>
    </xf>
    <xf numFmtId="0" fontId="21" fillId="0" borderId="51" xfId="24" applyFont="1" applyBorder="1" applyAlignment="1">
      <alignment horizontal="center"/>
    </xf>
    <xf numFmtId="0" fontId="21" fillId="0" borderId="3" xfId="24" applyFont="1" applyBorder="1" applyAlignment="1">
      <alignment horizontal="center" vertical="center"/>
    </xf>
    <xf numFmtId="166" fontId="40" fillId="0" borderId="10" xfId="1" applyNumberFormat="1" applyFont="1" applyFill="1" applyBorder="1" applyAlignment="1">
      <alignment horizontal="center"/>
    </xf>
    <xf numFmtId="0" fontId="21" fillId="7" borderId="18" xfId="24" applyFont="1" applyFill="1" applyBorder="1"/>
    <xf numFmtId="0" fontId="21" fillId="7" borderId="14" xfId="24" applyFont="1" applyFill="1" applyBorder="1"/>
    <xf numFmtId="0" fontId="21" fillId="0" borderId="18" xfId="24" applyFont="1" applyBorder="1"/>
    <xf numFmtId="167" fontId="21" fillId="0" borderId="26" xfId="24" applyNumberFormat="1" applyFont="1" applyBorder="1" applyAlignment="1">
      <alignment horizontal="center"/>
    </xf>
    <xf numFmtId="167" fontId="21" fillId="0" borderId="10" xfId="24" applyNumberFormat="1" applyFont="1" applyBorder="1" applyAlignment="1">
      <alignment horizontal="center"/>
    </xf>
    <xf numFmtId="166" fontId="21" fillId="0" borderId="0" xfId="24" applyNumberFormat="1" applyFont="1" applyAlignment="1">
      <alignment horizontal="center"/>
    </xf>
    <xf numFmtId="0" fontId="21" fillId="7" borderId="0" xfId="24" applyFont="1" applyFill="1"/>
    <xf numFmtId="165" fontId="21" fillId="0" borderId="10" xfId="24" applyNumberFormat="1" applyFont="1" applyBorder="1" applyAlignment="1">
      <alignment horizontal="center"/>
    </xf>
    <xf numFmtId="167" fontId="21" fillId="0" borderId="0" xfId="24" applyNumberFormat="1" applyFont="1"/>
    <xf numFmtId="167" fontId="21" fillId="0" borderId="12" xfId="24" applyNumberFormat="1" applyFont="1" applyBorder="1"/>
    <xf numFmtId="49" fontId="40" fillId="5" borderId="67" xfId="1" applyNumberFormat="1" applyFont="1" applyFill="1" applyBorder="1" applyAlignment="1">
      <alignment horizontal="center"/>
    </xf>
    <xf numFmtId="0" fontId="21" fillId="0" borderId="3" xfId="24" applyFont="1" applyBorder="1"/>
    <xf numFmtId="0" fontId="21" fillId="0" borderId="0" xfId="2" applyFont="1"/>
    <xf numFmtId="0" fontId="20" fillId="4" borderId="1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1" fillId="0" borderId="64" xfId="2" applyFont="1" applyBorder="1"/>
    <xf numFmtId="0" fontId="21" fillId="0" borderId="25" xfId="2" applyFont="1" applyBorder="1"/>
    <xf numFmtId="0" fontId="21" fillId="0" borderId="18" xfId="2" applyFont="1" applyBorder="1" applyAlignment="1">
      <alignment horizontal="center" vertical="center"/>
    </xf>
    <xf numFmtId="0" fontId="21" fillId="0" borderId="50" xfId="2" applyFont="1" applyBorder="1"/>
    <xf numFmtId="0" fontId="20" fillId="4" borderId="13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1" fillId="0" borderId="14" xfId="2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11" xfId="2" applyFont="1" applyBorder="1"/>
    <xf numFmtId="166" fontId="21" fillId="0" borderId="0" xfId="2" applyNumberFormat="1" applyFont="1"/>
    <xf numFmtId="0" fontId="20" fillId="0" borderId="0" xfId="2" applyFont="1"/>
    <xf numFmtId="0" fontId="21" fillId="0" borderId="71" xfId="2" applyFont="1" applyBorder="1"/>
    <xf numFmtId="0" fontId="21" fillId="0" borderId="12" xfId="2" applyFont="1" applyBorder="1"/>
    <xf numFmtId="0" fontId="21" fillId="6" borderId="0" xfId="2" applyFont="1" applyFill="1"/>
    <xf numFmtId="0" fontId="21" fillId="0" borderId="63" xfId="2" applyFont="1" applyBorder="1" applyAlignment="1">
      <alignment horizontal="center" vertical="center"/>
    </xf>
    <xf numFmtId="1" fontId="40" fillId="5" borderId="61" xfId="1" applyNumberFormat="1" applyFont="1" applyFill="1" applyBorder="1" applyAlignment="1">
      <alignment horizontal="center"/>
    </xf>
    <xf numFmtId="1" fontId="40" fillId="5" borderId="62" xfId="1" applyNumberFormat="1" applyFont="1" applyFill="1" applyBorder="1" applyAlignment="1">
      <alignment horizontal="center"/>
    </xf>
    <xf numFmtId="0" fontId="21" fillId="0" borderId="83" xfId="2" applyFont="1" applyBorder="1"/>
    <xf numFmtId="0" fontId="21" fillId="0" borderId="86" xfId="2" applyFont="1" applyBorder="1"/>
    <xf numFmtId="166" fontId="40" fillId="5" borderId="67" xfId="1" quotePrefix="1" applyNumberFormat="1" applyFont="1" applyFill="1" applyBorder="1" applyAlignment="1">
      <alignment horizontal="center"/>
    </xf>
    <xf numFmtId="0" fontId="21" fillId="0" borderId="89" xfId="2" applyFont="1" applyBorder="1" applyAlignment="1">
      <alignment horizontal="center" vertical="center"/>
    </xf>
    <xf numFmtId="0" fontId="21" fillId="0" borderId="54" xfId="2" applyFont="1" applyBorder="1" applyAlignment="1">
      <alignment horizontal="center" vertical="center"/>
    </xf>
    <xf numFmtId="0" fontId="21" fillId="0" borderId="76" xfId="2" applyFont="1" applyBorder="1" applyAlignment="1">
      <alignment horizontal="center" vertical="center"/>
    </xf>
    <xf numFmtId="0" fontId="21" fillId="0" borderId="24" xfId="2" applyFont="1" applyBorder="1" applyAlignment="1">
      <alignment horizontal="center" vertical="center"/>
    </xf>
    <xf numFmtId="0" fontId="21" fillId="0" borderId="20" xfId="2" applyFont="1" applyBorder="1" applyAlignment="1">
      <alignment horizontal="center" vertical="center"/>
    </xf>
    <xf numFmtId="0" fontId="12" fillId="0" borderId="0" xfId="3" applyAlignment="1" applyProtection="1">
      <alignment vertical="center"/>
      <protection locked="0"/>
    </xf>
    <xf numFmtId="0" fontId="11" fillId="0" borderId="61" xfId="3" applyFont="1" applyBorder="1" applyAlignment="1">
      <alignment vertical="center"/>
    </xf>
    <xf numFmtId="0" fontId="12" fillId="0" borderId="25" xfId="3" applyBorder="1" applyAlignment="1" applyProtection="1">
      <alignment horizontal="left" vertical="center"/>
      <protection locked="0"/>
    </xf>
    <xf numFmtId="0" fontId="12" fillId="0" borderId="25" xfId="3" applyBorder="1" applyAlignment="1">
      <alignment horizontal="left" vertical="center"/>
    </xf>
    <xf numFmtId="0" fontId="12" fillId="5" borderId="25" xfId="3" applyFill="1" applyBorder="1" applyAlignment="1">
      <alignment horizontal="left" vertical="center"/>
    </xf>
    <xf numFmtId="0" fontId="12" fillId="5" borderId="25" xfId="3" applyFill="1" applyBorder="1" applyAlignment="1" applyProtection="1">
      <alignment horizontal="left" vertical="center"/>
      <protection locked="0"/>
    </xf>
    <xf numFmtId="49" fontId="12" fillId="5" borderId="25" xfId="3" applyNumberFormat="1" applyFill="1" applyBorder="1" applyAlignment="1" applyProtection="1">
      <alignment horizontal="left" vertical="center"/>
      <protection locked="0"/>
    </xf>
    <xf numFmtId="0" fontId="11" fillId="0" borderId="21" xfId="3" applyFont="1" applyBorder="1" applyAlignment="1">
      <alignment vertical="center"/>
    </xf>
    <xf numFmtId="0" fontId="12" fillId="5" borderId="86" xfId="3" applyFill="1" applyBorder="1" applyAlignment="1" applyProtection="1">
      <alignment horizontal="left" vertical="center"/>
      <protection locked="0"/>
    </xf>
    <xf numFmtId="0" fontId="12" fillId="4" borderId="73" xfId="0" applyFont="1" applyFill="1" applyBorder="1"/>
    <xf numFmtId="2" fontId="12" fillId="0" borderId="25" xfId="3" applyNumberFormat="1" applyBorder="1"/>
    <xf numFmtId="2" fontId="12" fillId="0" borderId="50" xfId="3" applyNumberFormat="1" applyBorder="1"/>
    <xf numFmtId="14" fontId="0" fillId="0" borderId="24" xfId="0" applyNumberFormat="1" applyBorder="1" applyAlignment="1">
      <alignment horizontal="center"/>
    </xf>
    <xf numFmtId="167" fontId="12" fillId="0" borderId="61" xfId="3" applyNumberFormat="1" applyBorder="1" applyProtection="1">
      <protection locked="0"/>
    </xf>
    <xf numFmtId="167" fontId="12" fillId="0" borderId="25" xfId="3" applyNumberFormat="1" applyBorder="1" applyProtection="1">
      <protection locked="0"/>
    </xf>
    <xf numFmtId="167" fontId="12" fillId="0" borderId="63" xfId="3" applyNumberFormat="1" applyBorder="1" applyProtection="1">
      <protection locked="0"/>
    </xf>
    <xf numFmtId="167" fontId="12" fillId="0" borderId="64" xfId="3" applyNumberFormat="1" applyBorder="1" applyProtection="1">
      <protection locked="0"/>
    </xf>
    <xf numFmtId="0" fontId="12" fillId="0" borderId="62" xfId="3" applyBorder="1" applyAlignment="1" applyProtection="1">
      <alignment vertical="center"/>
      <protection locked="0"/>
    </xf>
    <xf numFmtId="0" fontId="12" fillId="0" borderId="50" xfId="3" applyBorder="1" applyAlignment="1" applyProtection="1">
      <alignment horizontal="center" vertical="center"/>
      <protection locked="0"/>
    </xf>
    <xf numFmtId="0" fontId="0" fillId="0" borderId="52" xfId="0" applyBorder="1"/>
    <xf numFmtId="14" fontId="0" fillId="0" borderId="24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12" fillId="7" borderId="38" xfId="3" quotePrefix="1" applyNumberFormat="1" applyFill="1" applyBorder="1" applyAlignment="1" applyProtection="1">
      <alignment horizontal="right"/>
      <protection hidden="1"/>
    </xf>
    <xf numFmtId="165" fontId="12" fillId="7" borderId="41" xfId="3" quotePrefix="1" applyNumberFormat="1" applyFill="1" applyBorder="1" applyAlignment="1" applyProtection="1">
      <alignment horizontal="right" vertical="top"/>
      <protection hidden="1"/>
    </xf>
    <xf numFmtId="0" fontId="11" fillId="0" borderId="62" xfId="3" applyFont="1" applyBorder="1" applyAlignment="1">
      <alignment vertical="center"/>
    </xf>
    <xf numFmtId="0" fontId="12" fillId="5" borderId="50" xfId="3" applyFill="1" applyBorder="1" applyAlignment="1" applyProtection="1">
      <alignment horizontal="left" vertical="center"/>
      <protection locked="0"/>
    </xf>
    <xf numFmtId="1" fontId="12" fillId="0" borderId="25" xfId="3" applyNumberFormat="1" applyBorder="1" applyAlignment="1">
      <alignment horizontal="left" vertical="center"/>
    </xf>
    <xf numFmtId="0" fontId="11" fillId="4" borderId="63" xfId="3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172" fontId="40" fillId="5" borderId="18" xfId="24" applyNumberFormat="1" applyFont="1" applyFill="1" applyBorder="1" applyAlignment="1">
      <alignment horizontal="right"/>
    </xf>
    <xf numFmtId="17" fontId="12" fillId="5" borderId="25" xfId="3" applyNumberFormat="1" applyFill="1" applyBorder="1" applyAlignment="1">
      <alignment horizontal="left" vertical="center"/>
    </xf>
    <xf numFmtId="166" fontId="40" fillId="5" borderId="71" xfId="1" applyNumberFormat="1" applyFont="1" applyFill="1" applyBorder="1" applyAlignment="1">
      <alignment horizontal="center"/>
    </xf>
    <xf numFmtId="1" fontId="40" fillId="5" borderId="10" xfId="1" applyNumberFormat="1" applyFont="1" applyFill="1" applyBorder="1" applyAlignment="1">
      <alignment horizontal="center"/>
    </xf>
    <xf numFmtId="166" fontId="40" fillId="5" borderId="88" xfId="1" applyNumberFormat="1" applyFont="1" applyFill="1" applyBorder="1" applyAlignment="1">
      <alignment horizontal="center"/>
    </xf>
    <xf numFmtId="1" fontId="40" fillId="5" borderId="67" xfId="1" applyNumberFormat="1" applyFont="1" applyFill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44" fillId="0" borderId="81" xfId="0" applyFont="1" applyBorder="1" applyAlignment="1">
      <alignment horizontal="center" vertical="center" wrapText="1"/>
    </xf>
    <xf numFmtId="0" fontId="12" fillId="0" borderId="84" xfId="0" applyFont="1" applyBorder="1"/>
    <xf numFmtId="0" fontId="45" fillId="0" borderId="27" xfId="0" applyFont="1" applyBorder="1" applyAlignment="1">
      <alignment horizontal="center" vertical="center" wrapText="1"/>
    </xf>
    <xf numFmtId="0" fontId="12" fillId="0" borderId="67" xfId="0" applyFont="1" applyBorder="1"/>
    <xf numFmtId="2" fontId="14" fillId="0" borderId="63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14" fillId="0" borderId="61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4" fillId="0" borderId="62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45" fillId="0" borderId="24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4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2" fontId="40" fillId="5" borderId="1" xfId="1" applyNumberFormat="1" applyFont="1" applyFill="1" applyBorder="1" applyAlignment="1">
      <alignment horizontal="right"/>
    </xf>
    <xf numFmtId="169" fontId="40" fillId="5" borderId="1" xfId="1" applyNumberFormat="1" applyFont="1" applyFill="1" applyBorder="1" applyAlignment="1">
      <alignment horizontal="right"/>
    </xf>
    <xf numFmtId="167" fontId="40" fillId="5" borderId="18" xfId="1" applyNumberFormat="1" applyFont="1" applyFill="1" applyBorder="1" applyAlignment="1">
      <alignment horizontal="right"/>
    </xf>
    <xf numFmtId="2" fontId="40" fillId="5" borderId="18" xfId="1" applyNumberFormat="1" applyFont="1" applyFill="1" applyBorder="1" applyAlignment="1">
      <alignment horizontal="right"/>
    </xf>
    <xf numFmtId="169" fontId="40" fillId="5" borderId="18" xfId="1" applyNumberFormat="1" applyFont="1" applyFill="1" applyBorder="1" applyAlignment="1">
      <alignment horizontal="right"/>
    </xf>
    <xf numFmtId="2" fontId="21" fillId="5" borderId="18" xfId="0" applyNumberFormat="1" applyFont="1" applyFill="1" applyBorder="1" applyAlignment="1">
      <alignment horizontal="right"/>
    </xf>
    <xf numFmtId="169" fontId="40" fillId="5" borderId="18" xfId="24" applyNumberFormat="1" applyFont="1" applyFill="1" applyBorder="1" applyAlignment="1">
      <alignment horizontal="right"/>
    </xf>
    <xf numFmtId="169" fontId="40" fillId="0" borderId="18" xfId="24" applyNumberFormat="1" applyFont="1" applyBorder="1" applyAlignment="1">
      <alignment horizontal="right"/>
    </xf>
    <xf numFmtId="2" fontId="40" fillId="0" borderId="18" xfId="1" applyNumberFormat="1" applyFont="1" applyFill="1" applyBorder="1" applyAlignment="1">
      <alignment horizontal="right"/>
    </xf>
    <xf numFmtId="2" fontId="40" fillId="0" borderId="18" xfId="24" applyNumberFormat="1" applyFont="1" applyBorder="1" applyAlignment="1">
      <alignment horizontal="right" wrapText="1"/>
    </xf>
    <xf numFmtId="169" fontId="40" fillId="0" borderId="0" xfId="24" applyNumberFormat="1" applyFont="1" applyAlignment="1">
      <alignment horizontal="right"/>
    </xf>
    <xf numFmtId="1" fontId="40" fillId="5" borderId="50" xfId="1" applyNumberFormat="1" applyFont="1" applyFill="1" applyBorder="1" applyAlignment="1">
      <alignment horizontal="right"/>
    </xf>
    <xf numFmtId="1" fontId="40" fillId="5" borderId="67" xfId="1" applyNumberFormat="1" applyFont="1" applyFill="1" applyBorder="1" applyAlignment="1">
      <alignment horizontal="center" vertical="center"/>
    </xf>
    <xf numFmtId="1" fontId="40" fillId="5" borderId="68" xfId="1" applyNumberFormat="1" applyFont="1" applyFill="1" applyBorder="1" applyAlignment="1">
      <alignment horizontal="center" vertical="center"/>
    </xf>
    <xf numFmtId="1" fontId="21" fillId="0" borderId="69" xfId="2" applyNumberFormat="1" applyFont="1" applyBorder="1" applyAlignment="1">
      <alignment horizontal="center" vertical="center"/>
    </xf>
    <xf numFmtId="1" fontId="40" fillId="5" borderId="24" xfId="1" applyNumberFormat="1" applyFont="1" applyFill="1" applyBorder="1" applyAlignment="1">
      <alignment horizontal="center" vertical="center"/>
    </xf>
    <xf numFmtId="1" fontId="40" fillId="5" borderId="70" xfId="1" applyNumberFormat="1" applyFont="1" applyFill="1" applyBorder="1" applyAlignment="1">
      <alignment horizontal="center" vertical="center"/>
    </xf>
    <xf numFmtId="2" fontId="21" fillId="0" borderId="64" xfId="2" applyNumberFormat="1" applyFont="1" applyBorder="1" applyAlignment="1">
      <alignment horizontal="center" vertical="center"/>
    </xf>
    <xf numFmtId="2" fontId="21" fillId="0" borderId="25" xfId="2" applyNumberFormat="1" applyFont="1" applyBorder="1" applyAlignment="1">
      <alignment horizontal="center" vertical="center"/>
    </xf>
    <xf numFmtId="2" fontId="21" fillId="0" borderId="50" xfId="2" applyNumberFormat="1" applyFont="1" applyBorder="1" applyAlignment="1">
      <alignment horizontal="center" vertical="center"/>
    </xf>
    <xf numFmtId="169" fontId="40" fillId="0" borderId="73" xfId="1" applyNumberFormat="1" applyFont="1" applyFill="1" applyBorder="1" applyAlignment="1">
      <alignment horizontal="right"/>
    </xf>
    <xf numFmtId="169" fontId="20" fillId="0" borderId="3" xfId="2" applyNumberFormat="1" applyFont="1" applyBorder="1" applyAlignment="1">
      <alignment horizontal="right"/>
    </xf>
    <xf numFmtId="167" fontId="26" fillId="0" borderId="18" xfId="2" applyNumberFormat="1" applyFont="1" applyBorder="1" applyAlignment="1">
      <alignment horizontal="center"/>
    </xf>
    <xf numFmtId="167" fontId="26" fillId="0" borderId="3" xfId="2" applyNumberFormat="1" applyFont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169" fontId="12" fillId="5" borderId="25" xfId="3" applyNumberFormat="1" applyFill="1" applyBorder="1" applyAlignment="1">
      <alignment horizontal="left" vertical="center"/>
    </xf>
    <xf numFmtId="169" fontId="12" fillId="5" borderId="50" xfId="3" applyNumberFormat="1" applyFill="1" applyBorder="1" applyAlignment="1">
      <alignment horizontal="left" vertical="center"/>
    </xf>
    <xf numFmtId="0" fontId="0" fillId="4" borderId="24" xfId="0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4" borderId="0" xfId="0" applyFill="1"/>
    <xf numFmtId="0" fontId="0" fillId="4" borderId="73" xfId="0" applyFill="1" applyBorder="1"/>
    <xf numFmtId="167" fontId="11" fillId="0" borderId="0" xfId="3" applyNumberFormat="1" applyFont="1" applyProtection="1">
      <protection locked="0"/>
    </xf>
    <xf numFmtId="0" fontId="12" fillId="4" borderId="0" xfId="0" applyFont="1" applyFill="1"/>
    <xf numFmtId="169" fontId="42" fillId="0" borderId="9" xfId="1" applyNumberFormat="1" applyFont="1" applyFill="1" applyBorder="1" applyAlignment="1">
      <alignment horizontal="right"/>
    </xf>
    <xf numFmtId="169" fontId="40" fillId="5" borderId="25" xfId="1" applyNumberFormat="1" applyFont="1" applyFill="1" applyBorder="1" applyAlignment="1">
      <alignment horizontal="right"/>
    </xf>
    <xf numFmtId="0" fontId="33" fillId="6" borderId="24" xfId="0" applyFont="1" applyFill="1" applyBorder="1" applyAlignment="1">
      <alignment horizontal="center" vertical="center"/>
    </xf>
    <xf numFmtId="0" fontId="33" fillId="7" borderId="24" xfId="0" applyFont="1" applyFill="1" applyBorder="1" applyAlignment="1">
      <alignment horizontal="center" vertical="center"/>
    </xf>
    <xf numFmtId="0" fontId="24" fillId="6" borderId="24" xfId="0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5" xfId="24" applyFont="1" applyFill="1" applyBorder="1" applyAlignment="1">
      <alignment horizontal="center" vertical="center"/>
    </xf>
    <xf numFmtId="0" fontId="20" fillId="8" borderId="81" xfId="24" applyFont="1" applyFill="1" applyBorder="1" applyAlignment="1">
      <alignment horizontal="center" vertical="center" wrapText="1"/>
    </xf>
    <xf numFmtId="0" fontId="20" fillId="8" borderId="74" xfId="24" applyFont="1" applyFill="1" applyBorder="1" applyAlignment="1">
      <alignment horizontal="center" vertical="center" wrapText="1"/>
    </xf>
    <xf numFmtId="0" fontId="20" fillId="8" borderId="72" xfId="24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56" xfId="0" applyFont="1" applyBorder="1" applyAlignment="1">
      <alignment horizontal="left"/>
    </xf>
    <xf numFmtId="0" fontId="1" fillId="0" borderId="0" xfId="24" applyFont="1"/>
    <xf numFmtId="0" fontId="0" fillId="0" borderId="92" xfId="0" applyBorder="1"/>
    <xf numFmtId="0" fontId="46" fillId="0" borderId="92" xfId="0" applyFont="1" applyBorder="1"/>
    <xf numFmtId="0" fontId="47" fillId="0" borderId="91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169" fontId="49" fillId="15" borderId="96" xfId="0" applyNumberFormat="1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57" fillId="0" borderId="0" xfId="0" quotePrefix="1" applyFont="1" applyAlignment="1">
      <alignment vertical="center"/>
    </xf>
    <xf numFmtId="0" fontId="52" fillId="0" borderId="0" xfId="0" quotePrefix="1" applyFont="1" applyAlignment="1">
      <alignment vertical="center"/>
    </xf>
    <xf numFmtId="0" fontId="53" fillId="0" borderId="0" xfId="0" quotePrefix="1" applyFont="1" applyAlignment="1">
      <alignment vertical="center"/>
    </xf>
    <xf numFmtId="0" fontId="55" fillId="0" borderId="0" xfId="0" quotePrefix="1" applyFont="1" applyAlignment="1">
      <alignment vertical="center"/>
    </xf>
    <xf numFmtId="0" fontId="51" fillId="0" borderId="0" xfId="0" applyFont="1" applyAlignment="1">
      <alignment vertical="center"/>
    </xf>
    <xf numFmtId="0" fontId="0" fillId="0" borderId="98" xfId="0" applyBorder="1"/>
    <xf numFmtId="0" fontId="12" fillId="0" borderId="0" xfId="3"/>
    <xf numFmtId="0" fontId="12" fillId="0" borderId="61" xfId="3" applyBorder="1"/>
    <xf numFmtId="0" fontId="12" fillId="0" borderId="24" xfId="3" applyBorder="1"/>
    <xf numFmtId="0" fontId="12" fillId="0" borderId="25" xfId="3" applyBorder="1"/>
    <xf numFmtId="0" fontId="11" fillId="0" borderId="61" xfId="3" applyFont="1" applyBorder="1"/>
    <xf numFmtId="0" fontId="11" fillId="0" borderId="24" xfId="3" applyFont="1" applyBorder="1"/>
    <xf numFmtId="2" fontId="12" fillId="0" borderId="24" xfId="3" applyNumberFormat="1" applyBorder="1"/>
    <xf numFmtId="2" fontId="11" fillId="0" borderId="24" xfId="3" applyNumberFormat="1" applyFont="1" applyBorder="1"/>
    <xf numFmtId="0" fontId="11" fillId="0" borderId="62" xfId="3" applyFont="1" applyBorder="1"/>
    <xf numFmtId="0" fontId="12" fillId="0" borderId="70" xfId="3" applyBorder="1"/>
    <xf numFmtId="2" fontId="12" fillId="0" borderId="70" xfId="3" applyNumberFormat="1" applyBorder="1"/>
    <xf numFmtId="2" fontId="11" fillId="0" borderId="50" xfId="3" applyNumberFormat="1" applyFont="1" applyBorder="1"/>
    <xf numFmtId="0" fontId="11" fillId="0" borderId="0" xfId="3" applyFont="1"/>
    <xf numFmtId="0" fontId="12" fillId="0" borderId="63" xfId="3" applyBorder="1"/>
    <xf numFmtId="0" fontId="12" fillId="0" borderId="69" xfId="3" applyBorder="1"/>
    <xf numFmtId="0" fontId="12" fillId="0" borderId="64" xfId="3" applyBorder="1"/>
    <xf numFmtId="2" fontId="11" fillId="0" borderId="25" xfId="3" applyNumberFormat="1" applyFont="1" applyBorder="1"/>
    <xf numFmtId="2" fontId="21" fillId="0" borderId="18" xfId="24" applyNumberFormat="1" applyFont="1" applyBorder="1" applyAlignment="1">
      <alignment horizontal="right" wrapText="1"/>
    </xf>
    <xf numFmtId="169" fontId="21" fillId="0" borderId="18" xfId="24" applyNumberFormat="1" applyFont="1" applyBorder="1" applyAlignment="1">
      <alignment horizontal="right"/>
    </xf>
    <xf numFmtId="0" fontId="21" fillId="0" borderId="1" xfId="2" applyFont="1" applyBorder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21" xfId="2" applyFont="1" applyBorder="1" applyAlignment="1">
      <alignment horizontal="center" vertical="center"/>
    </xf>
    <xf numFmtId="0" fontId="21" fillId="0" borderId="61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/>
    </xf>
    <xf numFmtId="0" fontId="21" fillId="0" borderId="62" xfId="2" applyFont="1" applyBorder="1" applyAlignment="1">
      <alignment horizontal="center" vertical="center"/>
    </xf>
    <xf numFmtId="0" fontId="40" fillId="0" borderId="0" xfId="2" applyFont="1" applyAlignment="1">
      <alignment horizontal="left"/>
    </xf>
    <xf numFmtId="0" fontId="21" fillId="0" borderId="8" xfId="2" applyFont="1" applyBorder="1"/>
    <xf numFmtId="0" fontId="21" fillId="0" borderId="5" xfId="2" applyFont="1" applyBorder="1"/>
    <xf numFmtId="0" fontId="21" fillId="0" borderId="5" xfId="2" applyFont="1" applyBorder="1" applyAlignment="1">
      <alignment wrapText="1"/>
    </xf>
    <xf numFmtId="11" fontId="20" fillId="0" borderId="6" xfId="2" applyNumberFormat="1" applyFont="1" applyBorder="1" applyAlignment="1">
      <alignment horizontal="right" vertical="center"/>
    </xf>
    <xf numFmtId="0" fontId="21" fillId="0" borderId="20" xfId="2" applyFont="1" applyBorder="1"/>
    <xf numFmtId="166" fontId="20" fillId="0" borderId="87" xfId="2" applyNumberFormat="1" applyFont="1" applyBorder="1" applyAlignment="1">
      <alignment horizontal="right"/>
    </xf>
    <xf numFmtId="166" fontId="20" fillId="0" borderId="6" xfId="2" applyNumberFormat="1" applyFont="1" applyBorder="1" applyAlignment="1">
      <alignment horizontal="right"/>
    </xf>
    <xf numFmtId="0" fontId="21" fillId="0" borderId="22" xfId="2" applyFont="1" applyBorder="1"/>
    <xf numFmtId="166" fontId="20" fillId="0" borderId="86" xfId="2" applyNumberFormat="1" applyFont="1" applyBorder="1" applyAlignment="1">
      <alignment horizontal="right"/>
    </xf>
    <xf numFmtId="0" fontId="21" fillId="0" borderId="23" xfId="2" applyFont="1" applyBorder="1" applyAlignment="1">
      <alignment horizontal="center"/>
    </xf>
    <xf numFmtId="0" fontId="21" fillId="0" borderId="24" xfId="2" applyFont="1" applyBorder="1"/>
    <xf numFmtId="166" fontId="20" fillId="0" borderId="25" xfId="2" applyNumberFormat="1" applyFont="1" applyBorder="1" applyAlignment="1">
      <alignment horizontal="right"/>
    </xf>
    <xf numFmtId="0" fontId="21" fillId="0" borderId="12" xfId="2" applyFont="1" applyBorder="1" applyAlignment="1">
      <alignment horizontal="center"/>
    </xf>
    <xf numFmtId="0" fontId="21" fillId="0" borderId="7" xfId="2" applyFont="1" applyBorder="1"/>
    <xf numFmtId="0" fontId="21" fillId="0" borderId="11" xfId="24" applyFont="1" applyBorder="1"/>
    <xf numFmtId="166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horizontal="left"/>
    </xf>
    <xf numFmtId="0" fontId="21" fillId="0" borderId="14" xfId="24" applyFont="1" applyBorder="1"/>
    <xf numFmtId="172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vertical="center"/>
    </xf>
    <xf numFmtId="2" fontId="40" fillId="0" borderId="18" xfId="24" applyNumberFormat="1" applyFont="1" applyBorder="1" applyAlignment="1">
      <alignment horizontal="right"/>
    </xf>
    <xf numFmtId="0" fontId="21" fillId="0" borderId="18" xfId="24" applyFont="1" applyBorder="1" applyAlignment="1">
      <alignment vertical="center" wrapText="1"/>
    </xf>
    <xf numFmtId="172" fontId="12" fillId="7" borderId="41" xfId="3" applyNumberFormat="1" applyFill="1" applyBorder="1" applyAlignment="1" applyProtection="1">
      <alignment horizontal="right" vertical="top"/>
      <protection hidden="1"/>
    </xf>
    <xf numFmtId="0" fontId="11" fillId="4" borderId="62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54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/>
    </xf>
    <xf numFmtId="0" fontId="11" fillId="14" borderId="28" xfId="0" applyFont="1" applyFill="1" applyBorder="1" applyAlignment="1">
      <alignment horizontal="center"/>
    </xf>
    <xf numFmtId="0" fontId="11" fillId="14" borderId="54" xfId="0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12" fillId="0" borderId="55" xfId="0" applyFont="1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9" xfId="0" applyBorder="1" applyAlignment="1">
      <alignment horizontal="center"/>
    </xf>
    <xf numFmtId="0" fontId="12" fillId="4" borderId="27" xfId="0" applyFont="1" applyFill="1" applyBorder="1" applyAlignment="1">
      <alignment horizontal="center" vertical="center"/>
    </xf>
    <xf numFmtId="0" fontId="12" fillId="4" borderId="54" xfId="0" applyFont="1" applyFill="1" applyBorder="1" applyAlignment="1">
      <alignment horizontal="center" vertical="center"/>
    </xf>
    <xf numFmtId="0" fontId="19" fillId="4" borderId="12" xfId="24" applyFont="1" applyFill="1" applyBorder="1" applyAlignment="1">
      <alignment horizontal="center" vertical="center"/>
    </xf>
    <xf numFmtId="0" fontId="19" fillId="4" borderId="30" xfId="24" applyFont="1" applyFill="1" applyBorder="1" applyAlignment="1">
      <alignment horizontal="center" vertical="center"/>
    </xf>
    <xf numFmtId="0" fontId="19" fillId="4" borderId="16" xfId="24" applyFont="1" applyFill="1" applyBorder="1" applyAlignment="1">
      <alignment horizontal="center" vertical="center"/>
    </xf>
    <xf numFmtId="0" fontId="19" fillId="4" borderId="15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1" fillId="0" borderId="19" xfId="2" applyFont="1" applyBorder="1" applyAlignment="1">
      <alignment horizontal="center" vertical="center"/>
    </xf>
    <xf numFmtId="0" fontId="21" fillId="0" borderId="4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0" fillId="4" borderId="16" xfId="2" applyFont="1" applyFill="1" applyBorder="1" applyAlignment="1">
      <alignment horizontal="center" vertical="center"/>
    </xf>
    <xf numFmtId="0" fontId="20" fillId="4" borderId="17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0" fillId="4" borderId="16" xfId="2" applyFont="1" applyFill="1" applyBorder="1" applyAlignment="1">
      <alignment horizontal="center"/>
    </xf>
    <xf numFmtId="0" fontId="20" fillId="4" borderId="15" xfId="2" applyFont="1" applyFill="1" applyBorder="1" applyAlignment="1">
      <alignment horizontal="center"/>
    </xf>
    <xf numFmtId="0" fontId="20" fillId="4" borderId="17" xfId="2" applyFont="1" applyFill="1" applyBorder="1" applyAlignment="1">
      <alignment horizontal="center"/>
    </xf>
    <xf numFmtId="0" fontId="21" fillId="0" borderId="10" xfId="2" applyFont="1" applyBorder="1" applyAlignment="1">
      <alignment horizontal="center" vertical="center"/>
    </xf>
    <xf numFmtId="0" fontId="25" fillId="4" borderId="16" xfId="2" applyFont="1" applyFill="1" applyBorder="1" applyAlignment="1">
      <alignment horizontal="center" vertical="center"/>
    </xf>
    <xf numFmtId="0" fontId="25" fillId="4" borderId="17" xfId="2" applyFont="1" applyFill="1" applyBorder="1" applyAlignment="1">
      <alignment horizontal="center" vertical="center"/>
    </xf>
    <xf numFmtId="0" fontId="25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/>
    </xf>
    <xf numFmtId="0" fontId="23" fillId="4" borderId="17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 wrapText="1"/>
    </xf>
    <xf numFmtId="0" fontId="23" fillId="4" borderId="15" xfId="2" applyFont="1" applyFill="1" applyBorder="1" applyAlignment="1">
      <alignment horizontal="center" vertical="center" wrapText="1"/>
    </xf>
    <xf numFmtId="0" fontId="8" fillId="0" borderId="17" xfId="2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4" xfId="0" applyBorder="1" applyAlignment="1">
      <alignment horizontal="center"/>
    </xf>
    <xf numFmtId="0" fontId="11" fillId="4" borderId="58" xfId="0" applyFont="1" applyFill="1" applyBorder="1" applyAlignment="1">
      <alignment horizontal="center"/>
    </xf>
    <xf numFmtId="0" fontId="11" fillId="4" borderId="59" xfId="0" applyFont="1" applyFill="1" applyBorder="1" applyAlignment="1">
      <alignment horizontal="center"/>
    </xf>
    <xf numFmtId="0" fontId="11" fillId="4" borderId="75" xfId="0" applyFont="1" applyFill="1" applyBorder="1" applyAlignment="1">
      <alignment horizontal="center"/>
    </xf>
    <xf numFmtId="0" fontId="58" fillId="0" borderId="0" xfId="3" applyFont="1" applyAlignment="1">
      <alignment horizontal="center"/>
    </xf>
    <xf numFmtId="0" fontId="11" fillId="4" borderId="99" xfId="3" applyFont="1" applyFill="1" applyBorder="1" applyAlignment="1">
      <alignment horizontal="center"/>
    </xf>
    <xf numFmtId="0" fontId="11" fillId="4" borderId="8" xfId="3" applyFont="1" applyFill="1" applyBorder="1" applyAlignment="1">
      <alignment horizontal="center"/>
    </xf>
    <xf numFmtId="0" fontId="11" fillId="4" borderId="9" xfId="3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0" fontId="11" fillId="4" borderId="81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71" xfId="0" applyFont="1" applyFill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72" xfId="0" applyFont="1" applyFill="1" applyBorder="1" applyAlignment="1">
      <alignment horizontal="center"/>
    </xf>
    <xf numFmtId="0" fontId="11" fillId="4" borderId="82" xfId="0" applyFont="1" applyFill="1" applyBorder="1" applyAlignment="1">
      <alignment horizontal="center"/>
    </xf>
    <xf numFmtId="0" fontId="36" fillId="4" borderId="1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11" fillId="4" borderId="71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72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9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/>
    </xf>
    <xf numFmtId="0" fontId="12" fillId="4" borderId="5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6" xfId="0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2" fillId="4" borderId="66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80" xfId="0" applyBorder="1" applyAlignment="1">
      <alignment horizontal="center"/>
    </xf>
    <xf numFmtId="0" fontId="11" fillId="4" borderId="16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33" fillId="4" borderId="16" xfId="2" applyFont="1" applyFill="1" applyBorder="1" applyAlignment="1">
      <alignment horizontal="center" vertical="center"/>
    </xf>
    <xf numFmtId="0" fontId="33" fillId="4" borderId="15" xfId="2" applyFont="1" applyFill="1" applyBorder="1" applyAlignment="1">
      <alignment horizontal="center" vertical="center"/>
    </xf>
    <xf numFmtId="0" fontId="12" fillId="0" borderId="79" xfId="3" applyBorder="1" applyAlignment="1" applyProtection="1">
      <alignment horizontal="left" vertical="center" wrapText="1"/>
      <protection locked="0"/>
    </xf>
    <xf numFmtId="0" fontId="12" fillId="0" borderId="80" xfId="3" applyBorder="1" applyAlignment="1" applyProtection="1">
      <alignment horizontal="left" vertical="center" wrapText="1"/>
      <protection locked="0"/>
    </xf>
    <xf numFmtId="0" fontId="12" fillId="0" borderId="23" xfId="3" applyBorder="1" applyAlignment="1" applyProtection="1">
      <alignment horizontal="left" vertical="center"/>
      <protection locked="0"/>
    </xf>
    <xf numFmtId="0" fontId="12" fillId="0" borderId="66" xfId="3" applyBorder="1" applyAlignment="1" applyProtection="1">
      <alignment horizontal="left" vertical="center"/>
      <protection locked="0"/>
    </xf>
    <xf numFmtId="0" fontId="35" fillId="4" borderId="71" xfId="3" applyFont="1" applyFill="1" applyBorder="1" applyAlignment="1" applyProtection="1">
      <alignment horizontal="center"/>
      <protection locked="0"/>
    </xf>
    <xf numFmtId="0" fontId="35" fillId="4" borderId="72" xfId="3" applyFont="1" applyFill="1" applyBorder="1" applyAlignment="1" applyProtection="1">
      <alignment horizontal="center"/>
      <protection locked="0"/>
    </xf>
    <xf numFmtId="0" fontId="43" fillId="4" borderId="16" xfId="2" applyFont="1" applyFill="1" applyBorder="1" applyAlignment="1">
      <alignment horizontal="center" vertical="center"/>
    </xf>
    <xf numFmtId="0" fontId="43" fillId="4" borderId="15" xfId="2" applyFont="1" applyFill="1" applyBorder="1" applyAlignment="1">
      <alignment horizontal="center" vertical="center"/>
    </xf>
    <xf numFmtId="0" fontId="12" fillId="0" borderId="71" xfId="3" applyBorder="1" applyAlignment="1" applyProtection="1">
      <alignment horizontal="left" vertical="center"/>
      <protection locked="0"/>
    </xf>
    <xf numFmtId="0" fontId="12" fillId="0" borderId="72" xfId="3" applyBorder="1" applyAlignment="1" applyProtection="1">
      <alignment horizontal="left" vertical="center"/>
      <protection locked="0"/>
    </xf>
    <xf numFmtId="0" fontId="14" fillId="4" borderId="24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70" xfId="0" applyFont="1" applyBorder="1" applyAlignment="1">
      <alignment horizontal="center" vertical="center" wrapText="1"/>
    </xf>
    <xf numFmtId="0" fontId="45" fillId="0" borderId="5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top" wrapText="1"/>
    </xf>
    <xf numFmtId="0" fontId="11" fillId="4" borderId="62" xfId="0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4" xfId="0" applyBorder="1" applyAlignment="1">
      <alignment horizontal="center"/>
    </xf>
    <xf numFmtId="0" fontId="44" fillId="0" borderId="63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0" fontId="48" fillId="16" borderId="93" xfId="0" applyFont="1" applyFill="1" applyBorder="1" applyAlignment="1">
      <alignment horizontal="center" vertical="center" wrapText="1"/>
    </xf>
    <xf numFmtId="2" fontId="50" fillId="17" borderId="93" xfId="0" applyNumberFormat="1" applyFont="1" applyFill="1" applyBorder="1" applyAlignment="1">
      <alignment horizontal="center" vertical="center" wrapText="1"/>
    </xf>
    <xf numFmtId="0" fontId="50" fillId="17" borderId="93" xfId="0" applyFont="1" applyFill="1" applyBorder="1" applyAlignment="1">
      <alignment horizontal="center" vertical="center" wrapText="1"/>
    </xf>
    <xf numFmtId="0" fontId="49" fillId="17" borderId="93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 wrapText="1"/>
    </xf>
    <xf numFmtId="0" fontId="48" fillId="15" borderId="94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/>
    </xf>
    <xf numFmtId="0" fontId="1" fillId="4" borderId="20" xfId="24" applyFont="1" applyFill="1" applyBorder="1" applyAlignment="1">
      <alignment horizontal="center" vertical="center"/>
    </xf>
    <xf numFmtId="0" fontId="1" fillId="4" borderId="22" xfId="24" applyFont="1" applyFill="1" applyBorder="1" applyAlignment="1">
      <alignment horizontal="center" vertical="center"/>
    </xf>
    <xf numFmtId="0" fontId="4" fillId="0" borderId="0" xfId="24" applyAlignment="1"/>
    <xf numFmtId="0" fontId="51" fillId="0" borderId="97" xfId="0" applyFont="1" applyBorder="1" applyAlignment="1"/>
    <xf numFmtId="0" fontId="52" fillId="0" borderId="0" xfId="0" quotePrefix="1" applyFont="1" applyAlignment="1"/>
    <xf numFmtId="0" fontId="53" fillId="0" borderId="0" xfId="0" quotePrefix="1" applyFont="1" applyAlignment="1"/>
    <xf numFmtId="0" fontId="55" fillId="0" borderId="0" xfId="0" quotePrefix="1" applyFont="1" applyAlignment="1"/>
    <xf numFmtId="0" fontId="57" fillId="0" borderId="0" xfId="0" quotePrefix="1" applyFont="1" applyAlignment="1"/>
  </cellXfs>
  <cellStyles count="28">
    <cellStyle name="Comma 2" xfId="4" xr:uid="{00000000-0005-0000-0000-000000000000}"/>
    <cellStyle name="Comma 2 2" xfId="15" xr:uid="{00000000-0005-0000-0000-000001000000}"/>
    <cellStyle name="Comma 2 3" xfId="21" xr:uid="{00000000-0005-0000-0000-000002000000}"/>
    <cellStyle name="Good" xfId="1" builtinId="26"/>
    <cellStyle name="Hyperlink" xfId="27" builtinId="8"/>
    <cellStyle name="Normal" xfId="0" builtinId="0"/>
    <cellStyle name="Normal 10" xfId="26" xr:uid="{00000000-0005-0000-0000-000006000000}"/>
    <cellStyle name="Normal 2" xfId="2" xr:uid="{00000000-0005-0000-0000-000007000000}"/>
    <cellStyle name="Normal 2 10" xfId="3" xr:uid="{00000000-0005-0000-0000-000008000000}"/>
    <cellStyle name="Normal 2 2" xfId="5" xr:uid="{00000000-0005-0000-0000-000009000000}"/>
    <cellStyle name="Normal 2 3" xfId="6" xr:uid="{00000000-0005-0000-0000-00000A000000}"/>
    <cellStyle name="Normal 2 3 2" xfId="16" xr:uid="{00000000-0005-0000-0000-00000B000000}"/>
    <cellStyle name="Normal 2 3 3" xfId="22" xr:uid="{00000000-0005-0000-0000-00000C000000}"/>
    <cellStyle name="Normal 2 4" xfId="14" xr:uid="{00000000-0005-0000-0000-00000D000000}"/>
    <cellStyle name="Normal 2 5" xfId="19" xr:uid="{00000000-0005-0000-0000-00000E000000}"/>
    <cellStyle name="Normal 2 6" xfId="25" xr:uid="{00000000-0005-0000-0000-00000F000000}"/>
    <cellStyle name="Normal 2 7" xfId="7" xr:uid="{00000000-0005-0000-0000-000010000000}"/>
    <cellStyle name="Normal 3" xfId="8" xr:uid="{00000000-0005-0000-0000-000011000000}"/>
    <cellStyle name="Normal 4" xfId="9" xr:uid="{00000000-0005-0000-0000-000012000000}"/>
    <cellStyle name="Normal 5" xfId="13" xr:uid="{00000000-0005-0000-0000-000013000000}"/>
    <cellStyle name="Normal 5 2" xfId="17" xr:uid="{00000000-0005-0000-0000-000014000000}"/>
    <cellStyle name="Normal 5 3" xfId="23" xr:uid="{00000000-0005-0000-0000-000015000000}"/>
    <cellStyle name="Normal 6" xfId="10" xr:uid="{00000000-0005-0000-0000-000016000000}"/>
    <cellStyle name="Normal 7" xfId="20" xr:uid="{00000000-0005-0000-0000-000017000000}"/>
    <cellStyle name="Normal 8" xfId="18" xr:uid="{00000000-0005-0000-0000-000018000000}"/>
    <cellStyle name="Normal 9" xfId="24" xr:uid="{00000000-0005-0000-0000-000019000000}"/>
    <cellStyle name="Percent 2" xfId="11" xr:uid="{00000000-0005-0000-0000-00001A000000}"/>
    <cellStyle name="Percent 3" xfId="12" xr:uid="{00000000-0005-0000-0000-00001B000000}"/>
  </cellStyles>
  <dxfs count="85"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707570</xdr:colOff>
      <xdr:row>2</xdr:row>
      <xdr:rowOff>217713</xdr:rowOff>
    </xdr:from>
    <xdr:to>
      <xdr:col>11</xdr:col>
      <xdr:colOff>707569</xdr:colOff>
      <xdr:row>6</xdr:row>
      <xdr:rowOff>30512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6534" y="952499"/>
          <a:ext cx="3605892" cy="857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13608</xdr:colOff>
      <xdr:row>9</xdr:row>
      <xdr:rowOff>40822</xdr:rowOff>
    </xdr:from>
    <xdr:to>
      <xdr:col>11</xdr:col>
      <xdr:colOff>575584</xdr:colOff>
      <xdr:row>12</xdr:row>
      <xdr:rowOff>124692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1" y="2136322"/>
          <a:ext cx="3446690" cy="8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149679</xdr:colOff>
      <xdr:row>3</xdr:row>
      <xdr:rowOff>54428</xdr:rowOff>
    </xdr:from>
    <xdr:to>
      <xdr:col>20</xdr:col>
      <xdr:colOff>406854</xdr:colOff>
      <xdr:row>8</xdr:row>
      <xdr:rowOff>147246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3229" y="1025978"/>
          <a:ext cx="5972175" cy="1363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13607</xdr:colOff>
      <xdr:row>17</xdr:row>
      <xdr:rowOff>68035</xdr:rowOff>
    </xdr:from>
    <xdr:to>
      <xdr:col>14</xdr:col>
      <xdr:colOff>527957</xdr:colOff>
      <xdr:row>20</xdr:row>
      <xdr:rowOff>194337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7071" y="4367892"/>
          <a:ext cx="5562600" cy="86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707571</xdr:colOff>
      <xdr:row>29</xdr:row>
      <xdr:rowOff>217715</xdr:rowOff>
    </xdr:from>
    <xdr:to>
      <xdr:col>15</xdr:col>
      <xdr:colOff>510268</xdr:colOff>
      <xdr:row>37</xdr:row>
      <xdr:rowOff>141556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4871" y="5542190"/>
          <a:ext cx="6232072" cy="1955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37</xdr:row>
      <xdr:rowOff>217714</xdr:rowOff>
    </xdr:from>
    <xdr:to>
      <xdr:col>19</xdr:col>
      <xdr:colOff>284390</xdr:colOff>
      <xdr:row>40</xdr:row>
      <xdr:rowOff>50841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7475764"/>
          <a:ext cx="8829675" cy="60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13607</xdr:colOff>
      <xdr:row>17</xdr:row>
      <xdr:rowOff>244927</xdr:rowOff>
    </xdr:from>
    <xdr:to>
      <xdr:col>19</xdr:col>
      <xdr:colOff>375558</xdr:colOff>
      <xdr:row>27</xdr:row>
      <xdr:rowOff>93353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4657" y="4131127"/>
          <a:ext cx="2505075" cy="2385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44</xdr:row>
      <xdr:rowOff>13607</xdr:rowOff>
    </xdr:from>
    <xdr:to>
      <xdr:col>17</xdr:col>
      <xdr:colOff>151041</xdr:colOff>
      <xdr:row>53</xdr:row>
      <xdr:rowOff>5485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8709932"/>
          <a:ext cx="7267576" cy="2264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18</xdr:col>
      <xdr:colOff>463219</xdr:colOff>
      <xdr:row>76</xdr:row>
      <xdr:rowOff>180929</xdr:rowOff>
    </xdr:to>
    <xdr:pic>
      <xdr:nvPicPr>
        <xdr:cNvPr id="11" name="Picture 2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45393" y="10858500"/>
          <a:ext cx="8396183" cy="5260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0</xdr:row>
          <xdr:rowOff>69850</xdr:rowOff>
        </xdr:from>
        <xdr:to>
          <xdr:col>0</xdr:col>
          <xdr:colOff>2724150</xdr:colOff>
          <xdr:row>0</xdr:row>
          <xdr:rowOff>323850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2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630612</xdr:colOff>
      <xdr:row>0</xdr:row>
      <xdr:rowOff>88448</xdr:rowOff>
    </xdr:from>
    <xdr:to>
      <xdr:col>12</xdr:col>
      <xdr:colOff>84682</xdr:colOff>
      <xdr:row>13</xdr:row>
      <xdr:rowOff>217715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9524" y="88448"/>
          <a:ext cx="4788070" cy="3313338"/>
        </a:xfrm>
        <a:prstGeom prst="rect">
          <a:avLst/>
        </a:prstGeom>
      </xdr:spPr>
    </xdr:pic>
    <xdr:clientData/>
  </xdr:twoCellAnchor>
  <xdr:twoCellAnchor editAs="oneCell">
    <xdr:from>
      <xdr:col>5</xdr:col>
      <xdr:colOff>298640</xdr:colOff>
      <xdr:row>15</xdr:row>
      <xdr:rowOff>210565</xdr:rowOff>
    </xdr:from>
    <xdr:to>
      <xdr:col>11</xdr:col>
      <xdr:colOff>588314</xdr:colOff>
      <xdr:row>37</xdr:row>
      <xdr:rowOff>194996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00926" y="3884494"/>
          <a:ext cx="3963602" cy="5372859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19050</xdr:rowOff>
        </xdr:from>
        <xdr:to>
          <xdr:col>4</xdr:col>
          <xdr:colOff>2222500</xdr:colOff>
          <xdr:row>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31750</xdr:rowOff>
        </xdr:from>
        <xdr:to>
          <xdr:col>9</xdr:col>
          <xdr:colOff>1270000</xdr:colOff>
          <xdr:row>4</xdr:row>
          <xdr:rowOff>184150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F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 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165100</xdr:rowOff>
        </xdr:from>
        <xdr:to>
          <xdr:col>9</xdr:col>
          <xdr:colOff>1276350</xdr:colOff>
          <xdr:row>11</xdr:row>
          <xdr:rowOff>127000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F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24</xdr:col>
      <xdr:colOff>1</xdr:colOff>
      <xdr:row>17</xdr:row>
      <xdr:rowOff>185781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629"/>
        <a:stretch/>
      </xdr:blipFill>
      <xdr:spPr>
        <a:xfrm>
          <a:off x="17843500" y="190500"/>
          <a:ext cx="6629401" cy="32210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56030</xdr:colOff>
      <xdr:row>31</xdr:row>
      <xdr:rowOff>185919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43500" y="3619500"/>
          <a:ext cx="6685430" cy="24719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57150</xdr:rowOff>
    </xdr:from>
    <xdr:to>
      <xdr:col>2</xdr:col>
      <xdr:colOff>447675</xdr:colOff>
      <xdr:row>6</xdr:row>
      <xdr:rowOff>85725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90500" y="1381125"/>
          <a:ext cx="2200275" cy="200025"/>
        </a:xfrm>
        <a:prstGeom prst="borderCallout1">
          <a:avLst>
            <a:gd name="adj1" fmla="val 126143"/>
            <a:gd name="adj2" fmla="val 111581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le Andrade" id="{8D901E83-77B6-4171-B601-0594EFB20C8F}" userId="S::danielle.andrade@technipfmc.com::2b098f71-2a30-414f-8868-35bfcb3e3cf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G8:K52" totalsRowShown="0" headerRowDxfId="14" dataDxfId="13" headerRowBorderDxfId="11" tableBorderDxfId="12">
  <autoFilter ref="G8:K52" xr:uid="{00000000-0009-0000-0100-000002000000}"/>
  <tableColumns count="5">
    <tableColumn id="1" xr3:uid="{00000000-0010-0000-0000-000001000000}" name="Valor" dataDxfId="10">
      <calculatedColumnFormula>VALUE(LEFT(F9,SEARCH(" ",F9)-1))</calculatedColumnFormula>
    </tableColumn>
    <tableColumn id="2" xr3:uid="{00000000-0010-0000-0000-000002000000}" name="Cortante" dataDxfId="9"/>
    <tableColumn id="3" xr3:uid="{00000000-0010-0000-0000-000003000000}" name="Tração" dataDxfId="8"/>
    <tableColumn id="4" xr3:uid="{00000000-0010-0000-0000-000004000000}" name="M. Fletor" dataDxfId="7"/>
    <tableColumn id="5" xr3:uid="{00000000-0010-0000-0000-000005000000}" name="Verificação" dataDxfId="6">
      <calculatedColumnFormula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19-10-29T19:40:43.95" personId="{8D901E83-77B6-4171-B601-0594EFB20C8F}" id="{C228270A-4B13-4673-BE0C-73455681A415}">
    <text>Deve ser considerado o ID presente no desenho ou ID do duto no data 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9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workbookViewId="0">
      <selection activeCell="A15" sqref="A15:F15"/>
    </sheetView>
  </sheetViews>
  <sheetFormatPr defaultRowHeight="12.6"/>
  <cols>
    <col min="2" max="2" width="10.85546875" customWidth="1"/>
    <col min="3" max="3" width="11" customWidth="1"/>
    <col min="6" max="6" width="57.140625" customWidth="1"/>
  </cols>
  <sheetData>
    <row r="1" spans="1:6" ht="12.95">
      <c r="A1" s="489" t="s">
        <v>0</v>
      </c>
      <c r="B1" s="490"/>
      <c r="C1" s="490"/>
      <c r="D1" s="490"/>
      <c r="E1" s="490"/>
      <c r="F1" s="491"/>
    </row>
    <row r="2" spans="1:6" ht="39">
      <c r="A2" s="180" t="s">
        <v>1</v>
      </c>
      <c r="B2" s="181" t="s">
        <v>2</v>
      </c>
      <c r="C2" s="182" t="s">
        <v>3</v>
      </c>
      <c r="D2" s="181" t="s">
        <v>4</v>
      </c>
      <c r="E2" s="181" t="s">
        <v>5</v>
      </c>
      <c r="F2" s="183" t="s">
        <v>6</v>
      </c>
    </row>
    <row r="3" spans="1:6">
      <c r="A3" s="184">
        <v>1</v>
      </c>
      <c r="B3" s="185"/>
      <c r="C3" s="186" t="s">
        <v>7</v>
      </c>
      <c r="D3" s="187"/>
      <c r="E3" s="187"/>
      <c r="F3" s="258" t="s">
        <v>8</v>
      </c>
    </row>
    <row r="4" spans="1:6">
      <c r="A4" s="184">
        <v>2</v>
      </c>
      <c r="B4" s="188">
        <v>42850</v>
      </c>
      <c r="C4" s="189" t="s">
        <v>9</v>
      </c>
      <c r="D4" s="189" t="s">
        <v>10</v>
      </c>
      <c r="E4" s="189" t="s">
        <v>7</v>
      </c>
      <c r="F4" s="189" t="s">
        <v>11</v>
      </c>
    </row>
    <row r="5" spans="1:6">
      <c r="A5" s="246">
        <v>3</v>
      </c>
      <c r="B5" s="334">
        <v>42893</v>
      </c>
      <c r="C5" s="247" t="s">
        <v>9</v>
      </c>
      <c r="D5" s="246"/>
      <c r="E5" s="246"/>
      <c r="F5" s="247" t="s">
        <v>12</v>
      </c>
    </row>
    <row r="6" spans="1:6">
      <c r="A6" s="245">
        <v>4</v>
      </c>
      <c r="B6" s="326">
        <v>42971</v>
      </c>
      <c r="C6" s="256" t="s">
        <v>9</v>
      </c>
      <c r="D6" s="245"/>
      <c r="E6" s="245"/>
      <c r="F6" s="247" t="s">
        <v>12</v>
      </c>
    </row>
    <row r="7" spans="1:6">
      <c r="A7" s="245">
        <v>5</v>
      </c>
      <c r="B7" s="326">
        <v>42999</v>
      </c>
      <c r="C7" s="256" t="s">
        <v>13</v>
      </c>
      <c r="D7" s="245"/>
      <c r="E7" s="245"/>
      <c r="F7" s="247" t="s">
        <v>12</v>
      </c>
    </row>
    <row r="8" spans="1:6">
      <c r="A8" s="245">
        <v>6</v>
      </c>
      <c r="B8" s="326">
        <v>43068</v>
      </c>
      <c r="C8" s="256" t="s">
        <v>9</v>
      </c>
      <c r="D8" s="245"/>
      <c r="E8" s="245"/>
      <c r="F8" s="247" t="s">
        <v>12</v>
      </c>
    </row>
    <row r="9" spans="1:6">
      <c r="A9" s="245">
        <v>7</v>
      </c>
      <c r="B9" s="326">
        <v>43161</v>
      </c>
      <c r="C9" s="256" t="s">
        <v>14</v>
      </c>
      <c r="D9" s="245"/>
      <c r="E9" s="245"/>
      <c r="F9" s="247" t="s">
        <v>12</v>
      </c>
    </row>
    <row r="10" spans="1:6">
      <c r="A10" s="245">
        <v>8</v>
      </c>
      <c r="B10" s="326">
        <v>43452</v>
      </c>
      <c r="C10" s="256" t="s">
        <v>14</v>
      </c>
      <c r="D10" s="245"/>
      <c r="E10" s="245"/>
      <c r="F10" s="247" t="s">
        <v>12</v>
      </c>
    </row>
    <row r="11" spans="1:6">
      <c r="A11" s="245">
        <v>9</v>
      </c>
      <c r="B11" s="326">
        <v>44683</v>
      </c>
      <c r="C11" s="256" t="s">
        <v>15</v>
      </c>
      <c r="D11" s="245"/>
      <c r="E11" s="245"/>
      <c r="F11" s="247" t="s">
        <v>12</v>
      </c>
    </row>
    <row r="13" spans="1:6" ht="12.95">
      <c r="A13" s="492" t="s">
        <v>16</v>
      </c>
      <c r="B13" s="493"/>
      <c r="C13" s="493"/>
      <c r="D13" s="493"/>
      <c r="E13" s="493"/>
      <c r="F13" s="494"/>
    </row>
    <row r="14" spans="1:6">
      <c r="A14" s="498" t="s">
        <v>17</v>
      </c>
      <c r="B14" s="496"/>
      <c r="C14" s="496"/>
      <c r="D14" s="496"/>
      <c r="E14" s="496"/>
      <c r="F14" s="497"/>
    </row>
    <row r="15" spans="1:6">
      <c r="A15" s="498" t="s">
        <v>18</v>
      </c>
      <c r="B15" s="496"/>
      <c r="C15" s="496"/>
      <c r="D15" s="496"/>
      <c r="E15" s="496"/>
      <c r="F15" s="497"/>
    </row>
    <row r="16" spans="1:6">
      <c r="A16" s="498" t="s">
        <v>19</v>
      </c>
      <c r="B16" s="496"/>
      <c r="C16" s="496"/>
      <c r="D16" s="496"/>
      <c r="E16" s="496"/>
      <c r="F16" s="497"/>
    </row>
    <row r="17" spans="1:6">
      <c r="A17" s="498" t="s">
        <v>20</v>
      </c>
      <c r="B17" s="496"/>
      <c r="C17" s="496"/>
      <c r="D17" s="496"/>
      <c r="E17" s="496"/>
      <c r="F17" s="497"/>
    </row>
    <row r="18" spans="1:6" ht="12.95">
      <c r="A18" s="492" t="s">
        <v>21</v>
      </c>
      <c r="B18" s="493"/>
      <c r="C18" s="493"/>
      <c r="D18" s="493"/>
      <c r="E18" s="493"/>
      <c r="F18" s="494"/>
    </row>
    <row r="19" spans="1:6">
      <c r="A19" s="498" t="s">
        <v>22</v>
      </c>
      <c r="B19" s="496"/>
      <c r="C19" s="496"/>
      <c r="D19" s="496"/>
      <c r="E19" s="496"/>
      <c r="F19" s="497"/>
    </row>
    <row r="20" spans="1:6">
      <c r="A20" s="498" t="s">
        <v>23</v>
      </c>
      <c r="B20" s="496"/>
      <c r="C20" s="496"/>
      <c r="D20" s="496"/>
      <c r="E20" s="496"/>
      <c r="F20" s="497"/>
    </row>
    <row r="21" spans="1:6">
      <c r="A21" s="498" t="s">
        <v>24</v>
      </c>
      <c r="B21" s="496"/>
      <c r="C21" s="496"/>
      <c r="D21" s="496"/>
      <c r="E21" s="496"/>
      <c r="F21" s="497"/>
    </row>
    <row r="22" spans="1:6">
      <c r="A22" s="498" t="s">
        <v>25</v>
      </c>
      <c r="B22" s="496"/>
      <c r="C22" s="496"/>
      <c r="D22" s="496"/>
      <c r="E22" s="496"/>
      <c r="F22" s="497"/>
    </row>
    <row r="23" spans="1:6" ht="12.95">
      <c r="A23" s="492" t="s">
        <v>26</v>
      </c>
      <c r="B23" s="493"/>
      <c r="C23" s="493"/>
      <c r="D23" s="493"/>
      <c r="E23" s="493"/>
      <c r="F23" s="494"/>
    </row>
    <row r="24" spans="1:6">
      <c r="A24" s="498" t="s">
        <v>27</v>
      </c>
      <c r="B24" s="496"/>
      <c r="C24" s="496"/>
      <c r="D24" s="496"/>
      <c r="E24" s="496"/>
      <c r="F24" s="497"/>
    </row>
    <row r="25" spans="1:6">
      <c r="A25" s="498" t="s">
        <v>28</v>
      </c>
      <c r="B25" s="496"/>
      <c r="C25" s="496"/>
      <c r="D25" s="496"/>
      <c r="E25" s="496"/>
      <c r="F25" s="497"/>
    </row>
    <row r="26" spans="1:6">
      <c r="A26" s="498" t="s">
        <v>29</v>
      </c>
      <c r="B26" s="496"/>
      <c r="C26" s="496"/>
      <c r="D26" s="496"/>
      <c r="E26" s="496"/>
      <c r="F26" s="497"/>
    </row>
    <row r="27" spans="1:6">
      <c r="A27" s="498" t="s">
        <v>30</v>
      </c>
      <c r="B27" s="496"/>
      <c r="C27" s="496"/>
      <c r="D27" s="496"/>
      <c r="E27" s="496"/>
      <c r="F27" s="497"/>
    </row>
    <row r="28" spans="1:6">
      <c r="A28" s="498" t="s">
        <v>31</v>
      </c>
      <c r="B28" s="496"/>
      <c r="C28" s="496"/>
      <c r="D28" s="496"/>
      <c r="E28" s="496"/>
      <c r="F28" s="497"/>
    </row>
    <row r="29" spans="1:6">
      <c r="A29" s="498" t="s">
        <v>32</v>
      </c>
      <c r="B29" s="496"/>
      <c r="C29" s="496"/>
      <c r="D29" s="496"/>
      <c r="E29" s="496"/>
      <c r="F29" s="497"/>
    </row>
    <row r="30" spans="1:6">
      <c r="A30" s="498" t="s">
        <v>33</v>
      </c>
      <c r="B30" s="496"/>
      <c r="C30" s="496"/>
      <c r="D30" s="496"/>
      <c r="E30" s="496"/>
      <c r="F30" s="497"/>
    </row>
    <row r="31" spans="1:6">
      <c r="A31" s="498" t="s">
        <v>34</v>
      </c>
      <c r="B31" s="496"/>
      <c r="C31" s="496"/>
      <c r="D31" s="496"/>
      <c r="E31" s="496"/>
      <c r="F31" s="497"/>
    </row>
    <row r="32" spans="1:6">
      <c r="A32" s="498" t="s">
        <v>35</v>
      </c>
      <c r="B32" s="496"/>
      <c r="C32" s="496"/>
      <c r="D32" s="496"/>
      <c r="E32" s="496"/>
      <c r="F32" s="497"/>
    </row>
    <row r="33" spans="1:6">
      <c r="A33" s="498" t="s">
        <v>36</v>
      </c>
      <c r="B33" s="496"/>
      <c r="C33" s="496"/>
      <c r="D33" s="496"/>
      <c r="E33" s="496"/>
      <c r="F33" s="497"/>
    </row>
    <row r="34" spans="1:6">
      <c r="A34" s="498" t="s">
        <v>37</v>
      </c>
      <c r="B34" s="496"/>
      <c r="C34" s="496"/>
      <c r="D34" s="496"/>
      <c r="E34" s="496"/>
      <c r="F34" s="497"/>
    </row>
    <row r="35" spans="1:6">
      <c r="A35" s="498" t="s">
        <v>38</v>
      </c>
      <c r="B35" s="496"/>
      <c r="C35" s="496"/>
      <c r="D35" s="496"/>
      <c r="E35" s="496"/>
      <c r="F35" s="497"/>
    </row>
    <row r="36" spans="1:6" ht="12.95">
      <c r="A36" s="492" t="s">
        <v>39</v>
      </c>
      <c r="B36" s="493"/>
      <c r="C36" s="493"/>
      <c r="D36" s="493"/>
      <c r="E36" s="493"/>
      <c r="F36" s="494"/>
    </row>
    <row r="37" spans="1:6">
      <c r="A37" s="499" t="s">
        <v>40</v>
      </c>
      <c r="B37" s="500"/>
      <c r="C37" s="500"/>
      <c r="D37" s="500"/>
      <c r="E37" s="500"/>
      <c r="F37" s="501"/>
    </row>
    <row r="38" spans="1:6" ht="12.95">
      <c r="A38" s="492" t="s">
        <v>41</v>
      </c>
      <c r="B38" s="493"/>
      <c r="C38" s="493"/>
      <c r="D38" s="493"/>
      <c r="E38" s="493"/>
      <c r="F38" s="494"/>
    </row>
    <row r="39" spans="1:6">
      <c r="A39" s="498" t="s">
        <v>42</v>
      </c>
      <c r="B39" s="496"/>
      <c r="C39" s="496"/>
      <c r="D39" s="496"/>
      <c r="E39" s="496"/>
      <c r="F39" s="497"/>
    </row>
    <row r="40" spans="1:6">
      <c r="A40" s="498" t="s">
        <v>43</v>
      </c>
      <c r="B40" s="496"/>
      <c r="C40" s="496"/>
      <c r="D40" s="496"/>
      <c r="E40" s="496"/>
      <c r="F40" s="497"/>
    </row>
    <row r="41" spans="1:6">
      <c r="A41" s="495" t="s">
        <v>44</v>
      </c>
      <c r="B41" s="496"/>
      <c r="C41" s="496"/>
      <c r="D41" s="496"/>
      <c r="E41" s="496"/>
      <c r="F41" s="497"/>
    </row>
    <row r="42" spans="1:6">
      <c r="A42" s="495" t="s">
        <v>45</v>
      </c>
      <c r="B42" s="496"/>
      <c r="C42" s="496"/>
      <c r="D42" s="496"/>
      <c r="E42" s="496"/>
      <c r="F42" s="497"/>
    </row>
    <row r="43" spans="1:6" ht="12.95">
      <c r="A43" s="492" t="s">
        <v>46</v>
      </c>
      <c r="B43" s="493"/>
      <c r="C43" s="493"/>
      <c r="D43" s="493"/>
      <c r="E43" s="493"/>
      <c r="F43" s="494"/>
    </row>
    <row r="44" spans="1:6">
      <c r="A44" s="495" t="s">
        <v>47</v>
      </c>
      <c r="B44" s="496"/>
      <c r="C44" s="496"/>
      <c r="D44" s="496"/>
      <c r="E44" s="496"/>
      <c r="F44" s="497"/>
    </row>
    <row r="45" spans="1:6">
      <c r="A45" s="495" t="s">
        <v>48</v>
      </c>
      <c r="B45" s="496"/>
      <c r="C45" s="496"/>
      <c r="D45" s="496"/>
      <c r="E45" s="496"/>
      <c r="F45" s="497"/>
    </row>
    <row r="46" spans="1:6">
      <c r="A46" s="498" t="s">
        <v>49</v>
      </c>
      <c r="B46" s="496"/>
      <c r="C46" s="496"/>
      <c r="D46" s="496"/>
      <c r="E46" s="496"/>
      <c r="F46" s="497"/>
    </row>
    <row r="47" spans="1:6">
      <c r="A47" s="498" t="s">
        <v>50</v>
      </c>
      <c r="B47" s="496"/>
      <c r="C47" s="496"/>
      <c r="D47" s="496"/>
      <c r="E47" s="496"/>
      <c r="F47" s="497"/>
    </row>
    <row r="48" spans="1:6">
      <c r="A48" s="495" t="s">
        <v>51</v>
      </c>
      <c r="B48" s="496"/>
      <c r="C48" s="496"/>
      <c r="D48" s="496"/>
      <c r="E48" s="496"/>
      <c r="F48" s="497"/>
    </row>
    <row r="49" spans="1:6" ht="12.95">
      <c r="A49" s="492" t="s">
        <v>52</v>
      </c>
      <c r="B49" s="493"/>
      <c r="C49" s="493"/>
      <c r="D49" s="493"/>
      <c r="E49" s="493"/>
      <c r="F49" s="494"/>
    </row>
    <row r="50" spans="1:6">
      <c r="A50" s="495" t="s">
        <v>53</v>
      </c>
      <c r="B50" s="496"/>
      <c r="C50" s="496"/>
      <c r="D50" s="496"/>
      <c r="E50" s="496"/>
      <c r="F50" s="497"/>
    </row>
    <row r="51" spans="1:6">
      <c r="A51" s="495" t="s">
        <v>54</v>
      </c>
      <c r="B51" s="496"/>
      <c r="C51" s="496"/>
      <c r="D51" s="496"/>
      <c r="E51" s="496"/>
      <c r="F51" s="497"/>
    </row>
    <row r="52" spans="1:6">
      <c r="A52" s="498" t="s">
        <v>55</v>
      </c>
      <c r="B52" s="496"/>
      <c r="C52" s="496"/>
      <c r="D52" s="496"/>
      <c r="E52" s="496"/>
      <c r="F52" s="497"/>
    </row>
    <row r="53" spans="1:6">
      <c r="A53" s="498" t="s">
        <v>56</v>
      </c>
      <c r="B53" s="496"/>
      <c r="C53" s="496"/>
      <c r="D53" s="496"/>
      <c r="E53" s="496"/>
      <c r="F53" s="497"/>
    </row>
    <row r="54" spans="1:6">
      <c r="A54" s="495" t="s">
        <v>57</v>
      </c>
      <c r="B54" s="496"/>
      <c r="C54" s="496"/>
      <c r="D54" s="496"/>
      <c r="E54" s="496"/>
      <c r="F54" s="497"/>
    </row>
    <row r="55" spans="1:6">
      <c r="A55" s="495" t="s">
        <v>58</v>
      </c>
      <c r="B55" s="496"/>
      <c r="C55" s="496"/>
      <c r="D55" s="496"/>
      <c r="E55" s="496"/>
      <c r="F55" s="497"/>
    </row>
    <row r="56" spans="1:6">
      <c r="A56" s="498" t="s">
        <v>59</v>
      </c>
      <c r="B56" s="496"/>
      <c r="C56" s="496"/>
      <c r="D56" s="496"/>
      <c r="E56" s="496"/>
      <c r="F56" s="497"/>
    </row>
    <row r="57" spans="1:6">
      <c r="A57" s="498" t="s">
        <v>60</v>
      </c>
      <c r="B57" s="496"/>
      <c r="C57" s="496"/>
      <c r="D57" s="496"/>
      <c r="E57" s="496"/>
      <c r="F57" s="497"/>
    </row>
    <row r="58" spans="1:6">
      <c r="A58" s="495" t="s">
        <v>61</v>
      </c>
      <c r="B58" s="496"/>
      <c r="C58" s="496"/>
      <c r="D58" s="496"/>
      <c r="E58" s="496"/>
      <c r="F58" s="497"/>
    </row>
    <row r="59" spans="1:6">
      <c r="A59" s="495" t="s">
        <v>62</v>
      </c>
      <c r="B59" s="496"/>
      <c r="C59" s="496"/>
      <c r="D59" s="496"/>
      <c r="E59" s="496"/>
      <c r="F59" s="497"/>
    </row>
    <row r="60" spans="1:6">
      <c r="A60" s="499" t="s">
        <v>63</v>
      </c>
      <c r="B60" s="500"/>
      <c r="C60" s="500"/>
      <c r="D60" s="500"/>
      <c r="E60" s="500"/>
      <c r="F60" s="501"/>
    </row>
  </sheetData>
  <mergeCells count="49">
    <mergeCell ref="A13:F13"/>
    <mergeCell ref="A14:F14"/>
    <mergeCell ref="A15:F15"/>
    <mergeCell ref="A17:F17"/>
    <mergeCell ref="A22:F22"/>
    <mergeCell ref="A18:F18"/>
    <mergeCell ref="A19:F19"/>
    <mergeCell ref="A20:F20"/>
    <mergeCell ref="A21:F21"/>
    <mergeCell ref="A16:F16"/>
    <mergeCell ref="A28:F28"/>
    <mergeCell ref="A29:F29"/>
    <mergeCell ref="A30:F30"/>
    <mergeCell ref="A37:F37"/>
    <mergeCell ref="A59:F59"/>
    <mergeCell ref="A31:F31"/>
    <mergeCell ref="A32:F32"/>
    <mergeCell ref="A33:F33"/>
    <mergeCell ref="A34:F34"/>
    <mergeCell ref="A35:F35"/>
    <mergeCell ref="A60:F60"/>
    <mergeCell ref="A43:F43"/>
    <mergeCell ref="A44:F44"/>
    <mergeCell ref="A53:F53"/>
    <mergeCell ref="A54:F54"/>
    <mergeCell ref="A55:F55"/>
    <mergeCell ref="A56:F56"/>
    <mergeCell ref="A57:F57"/>
    <mergeCell ref="A46:F46"/>
    <mergeCell ref="A47:F47"/>
    <mergeCell ref="A48:F48"/>
    <mergeCell ref="A58:F58"/>
    <mergeCell ref="A45:F45"/>
    <mergeCell ref="A1:F1"/>
    <mergeCell ref="A49:F49"/>
    <mergeCell ref="A50:F50"/>
    <mergeCell ref="A51:F51"/>
    <mergeCell ref="A52:F52"/>
    <mergeCell ref="A38:F38"/>
    <mergeCell ref="A40:F40"/>
    <mergeCell ref="A41:F41"/>
    <mergeCell ref="A42:F42"/>
    <mergeCell ref="A36:F36"/>
    <mergeCell ref="A23:F23"/>
    <mergeCell ref="A24:F24"/>
    <mergeCell ref="A25:F25"/>
    <mergeCell ref="A26:F26"/>
    <mergeCell ref="A39:F39"/>
    <mergeCell ref="A27:F27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9"/>
  <sheetViews>
    <sheetView workbookViewId="0">
      <selection activeCell="E2" sqref="E2"/>
    </sheetView>
  </sheetViews>
  <sheetFormatPr defaultRowHeight="12.6"/>
  <cols>
    <col min="1" max="1" width="19" customWidth="1"/>
    <col min="2" max="2" width="16.140625" customWidth="1"/>
    <col min="3" max="3" width="17.5703125" customWidth="1"/>
    <col min="4" max="4" width="13.42578125" customWidth="1"/>
    <col min="5" max="5" width="16.5703125" customWidth="1"/>
    <col min="6" max="6" width="15.28515625" customWidth="1"/>
    <col min="9" max="9" width="11.140625" customWidth="1"/>
    <col min="13" max="13" width="13.5703125" hidden="1" customWidth="1"/>
    <col min="14" max="14" width="11.7109375" hidden="1" customWidth="1"/>
    <col min="15" max="15" width="14" hidden="1" customWidth="1"/>
    <col min="16" max="16" width="16.42578125" hidden="1" customWidth="1"/>
  </cols>
  <sheetData>
    <row r="1" spans="1:16" ht="14.1">
      <c r="A1" s="416" t="s">
        <v>64</v>
      </c>
      <c r="B1" s="416" t="s">
        <v>65</v>
      </c>
      <c r="C1" s="416" t="s">
        <v>66</v>
      </c>
      <c r="D1" s="416" t="s">
        <v>2</v>
      </c>
      <c r="E1" s="416" t="s">
        <v>67</v>
      </c>
      <c r="F1" s="416" t="s">
        <v>2</v>
      </c>
      <c r="M1" s="2" t="s">
        <v>68</v>
      </c>
      <c r="N1">
        <v>1</v>
      </c>
      <c r="O1" s="2" t="s">
        <v>69</v>
      </c>
      <c r="P1" s="2" t="s">
        <v>69</v>
      </c>
    </row>
    <row r="2" spans="1:16" ht="14.1">
      <c r="A2" s="246"/>
      <c r="B2" s="246"/>
      <c r="C2" s="415"/>
      <c r="D2" s="417"/>
      <c r="E2" s="417"/>
      <c r="F2" s="415"/>
      <c r="M2" s="2" t="s">
        <v>70</v>
      </c>
      <c r="N2">
        <v>2</v>
      </c>
      <c r="O2" s="2" t="s">
        <v>71</v>
      </c>
      <c r="P2" s="2" t="s">
        <v>71</v>
      </c>
    </row>
    <row r="3" spans="1:16" ht="14.1">
      <c r="A3" s="246"/>
      <c r="B3" s="246"/>
      <c r="C3" s="415"/>
      <c r="D3" s="417"/>
      <c r="E3" s="417"/>
      <c r="F3" s="415"/>
      <c r="M3" s="2" t="s">
        <v>72</v>
      </c>
      <c r="N3">
        <v>3</v>
      </c>
      <c r="O3" s="2" t="s">
        <v>73</v>
      </c>
      <c r="P3" s="2" t="s">
        <v>73</v>
      </c>
    </row>
    <row r="4" spans="1:16" ht="14.1">
      <c r="A4" s="246"/>
      <c r="B4" s="246"/>
      <c r="C4" s="415"/>
      <c r="D4" s="417"/>
      <c r="E4" s="417"/>
      <c r="F4" s="415"/>
      <c r="M4" s="2" t="s">
        <v>74</v>
      </c>
      <c r="N4">
        <v>4</v>
      </c>
      <c r="O4" s="2" t="s">
        <v>75</v>
      </c>
      <c r="P4" s="2" t="s">
        <v>75</v>
      </c>
    </row>
    <row r="5" spans="1:16" ht="14.1">
      <c r="A5" s="246"/>
      <c r="B5" s="246"/>
      <c r="C5" s="415"/>
      <c r="D5" s="417"/>
      <c r="E5" s="417"/>
      <c r="F5" s="415"/>
      <c r="M5" s="2" t="s">
        <v>76</v>
      </c>
      <c r="N5">
        <v>5</v>
      </c>
      <c r="O5" s="2" t="s">
        <v>77</v>
      </c>
      <c r="P5" s="2" t="s">
        <v>77</v>
      </c>
    </row>
    <row r="6" spans="1:16" ht="14.1">
      <c r="A6" s="246"/>
      <c r="B6" s="246"/>
      <c r="C6" s="415"/>
      <c r="D6" s="417"/>
      <c r="E6" s="417"/>
      <c r="F6" s="415"/>
      <c r="M6" s="2" t="s">
        <v>78</v>
      </c>
      <c r="N6">
        <v>6</v>
      </c>
      <c r="O6" s="2" t="s">
        <v>79</v>
      </c>
      <c r="P6" s="2" t="s">
        <v>79</v>
      </c>
    </row>
    <row r="7" spans="1:16" ht="14.1">
      <c r="A7" s="246"/>
      <c r="B7" s="246"/>
      <c r="C7" s="415"/>
      <c r="D7" s="417"/>
      <c r="E7" s="417"/>
      <c r="F7" s="415"/>
      <c r="M7" s="2" t="s">
        <v>80</v>
      </c>
      <c r="N7">
        <v>7</v>
      </c>
      <c r="O7" s="2" t="s">
        <v>81</v>
      </c>
      <c r="P7" s="2" t="s">
        <v>81</v>
      </c>
    </row>
    <row r="8" spans="1:16" ht="14.1">
      <c r="A8" s="246"/>
      <c r="B8" s="246"/>
      <c r="C8" s="415"/>
      <c r="D8" s="417"/>
      <c r="E8" s="417"/>
      <c r="F8" s="415"/>
      <c r="M8" s="2" t="s">
        <v>82</v>
      </c>
      <c r="N8">
        <v>8</v>
      </c>
      <c r="O8" s="2" t="s">
        <v>83</v>
      </c>
      <c r="P8" s="2" t="s">
        <v>83</v>
      </c>
    </row>
    <row r="9" spans="1:16" ht="14.1">
      <c r="A9" s="246"/>
      <c r="B9" s="246"/>
      <c r="C9" s="415"/>
      <c r="D9" s="417"/>
      <c r="E9" s="417"/>
      <c r="F9" s="415"/>
      <c r="M9" s="2" t="s">
        <v>84</v>
      </c>
      <c r="N9">
        <v>9</v>
      </c>
      <c r="O9" s="2" t="s">
        <v>85</v>
      </c>
      <c r="P9" s="2" t="s">
        <v>85</v>
      </c>
    </row>
    <row r="10" spans="1:16" ht="14.1">
      <c r="A10" s="246"/>
      <c r="B10" s="246"/>
      <c r="C10" s="415"/>
      <c r="D10" s="417"/>
      <c r="E10" s="417"/>
      <c r="F10" s="415"/>
      <c r="M10" s="2" t="s">
        <v>86</v>
      </c>
      <c r="N10">
        <v>10</v>
      </c>
      <c r="O10" s="2" t="s">
        <v>87</v>
      </c>
      <c r="P10" s="2" t="s">
        <v>87</v>
      </c>
    </row>
    <row r="11" spans="1:16" ht="14.1">
      <c r="A11" s="246"/>
      <c r="B11" s="246"/>
      <c r="C11" s="415"/>
      <c r="D11" s="417"/>
      <c r="E11" s="417"/>
      <c r="F11" s="415"/>
      <c r="M11" s="2" t="s">
        <v>88</v>
      </c>
      <c r="N11">
        <v>11</v>
      </c>
      <c r="O11" s="2" t="s">
        <v>89</v>
      </c>
      <c r="P11" s="2" t="s">
        <v>89</v>
      </c>
    </row>
    <row r="12" spans="1:16" ht="14.1">
      <c r="A12" s="246"/>
      <c r="B12" s="246"/>
      <c r="C12" s="415"/>
      <c r="D12" s="417"/>
      <c r="E12" s="417"/>
      <c r="F12" s="415"/>
      <c r="M12" s="2" t="s">
        <v>90</v>
      </c>
      <c r="N12">
        <v>12</v>
      </c>
      <c r="O12" s="2" t="s">
        <v>91</v>
      </c>
      <c r="P12" s="2" t="s">
        <v>91</v>
      </c>
    </row>
    <row r="13" spans="1:16" ht="14.1">
      <c r="A13" s="246"/>
      <c r="B13" s="246"/>
      <c r="C13" s="415"/>
      <c r="D13" s="417"/>
      <c r="E13" s="417"/>
      <c r="F13" s="415"/>
    </row>
    <row r="14" spans="1:16" ht="14.1">
      <c r="A14" s="246"/>
      <c r="B14" s="246"/>
      <c r="C14" s="415"/>
      <c r="D14" s="417"/>
      <c r="E14" s="417"/>
      <c r="F14" s="415"/>
    </row>
    <row r="15" spans="1:16" ht="14.1">
      <c r="A15" s="246"/>
      <c r="B15" s="246"/>
      <c r="C15" s="415"/>
      <c r="D15" s="417"/>
      <c r="E15" s="417"/>
      <c r="F15" s="415"/>
    </row>
    <row r="16" spans="1:16" ht="14.1">
      <c r="A16" s="246"/>
      <c r="B16" s="246"/>
      <c r="C16" s="415"/>
      <c r="D16" s="417"/>
      <c r="E16" s="417"/>
      <c r="F16" s="415"/>
    </row>
    <row r="17" spans="1:6" ht="14.1">
      <c r="A17" s="246"/>
      <c r="B17" s="246"/>
      <c r="C17" s="415"/>
      <c r="D17" s="417"/>
      <c r="E17" s="417"/>
      <c r="F17" s="415"/>
    </row>
    <row r="18" spans="1:6" ht="14.1">
      <c r="A18" s="246"/>
      <c r="B18" s="246"/>
      <c r="C18" s="415"/>
      <c r="D18" s="417"/>
      <c r="E18" s="417"/>
      <c r="F18" s="415"/>
    </row>
    <row r="19" spans="1:6" ht="14.1">
      <c r="A19" s="246"/>
      <c r="B19" s="246"/>
      <c r="C19" s="415"/>
      <c r="D19" s="417"/>
      <c r="E19" s="417"/>
      <c r="F19" s="415"/>
    </row>
  </sheetData>
  <dataValidations count="4">
    <dataValidation type="list" allowBlank="1" showInputMessage="1" showErrorMessage="1" sqref="A2:A19" xr:uid="{00000000-0002-0000-0100-000000000000}">
      <formula1>$M$1:$M$12</formula1>
    </dataValidation>
    <dataValidation type="list" allowBlank="1" showInputMessage="1" showErrorMessage="1" sqref="B2:B19" xr:uid="{00000000-0002-0000-0100-000001000000}">
      <formula1>$N$1:$N$12</formula1>
    </dataValidation>
    <dataValidation type="list" allowBlank="1" showInputMessage="1" showErrorMessage="1" sqref="C2:C19" xr:uid="{00000000-0002-0000-0100-000002000000}">
      <formula1>$O$1:$O$12</formula1>
    </dataValidation>
    <dataValidation type="list" allowBlank="1" showInputMessage="1" showErrorMessage="1" sqref="E2:E19" xr:uid="{00000000-0002-0000-0100-000003000000}">
      <formula1>$P$1:$P$12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132"/>
  <sheetViews>
    <sheetView topLeftCell="A22" zoomScale="85" zoomScaleNormal="85" workbookViewId="0">
      <selection activeCell="C43" sqref="C43"/>
    </sheetView>
  </sheetViews>
  <sheetFormatPr defaultColWidth="10.7109375" defaultRowHeight="20.100000000000001" customHeight="1"/>
  <cols>
    <col min="1" max="1" width="42.5703125" style="261" customWidth="1"/>
    <col min="2" max="2" width="35.7109375" style="261" customWidth="1"/>
    <col min="3" max="3" width="27.42578125" style="261" customWidth="1"/>
    <col min="4" max="4" width="90.7109375" style="261" customWidth="1"/>
    <col min="5" max="5" width="14.28515625" style="261" bestFit="1" customWidth="1"/>
    <col min="6" max="6" width="14.5703125" style="261" bestFit="1" customWidth="1"/>
    <col min="7" max="25" width="10.7109375" style="83"/>
    <col min="26" max="26" width="34.5703125" style="83" bestFit="1" customWidth="1"/>
    <col min="27" max="27" width="7.7109375" style="83" customWidth="1"/>
    <col min="28" max="28" width="16.42578125" style="83" customWidth="1"/>
    <col min="29" max="29" width="26" style="83" customWidth="1"/>
    <col min="30" max="16384" width="10.7109375" style="83"/>
  </cols>
  <sheetData>
    <row r="1" spans="1:29" ht="30" customHeight="1" thickBot="1">
      <c r="A1" s="504" t="s">
        <v>92</v>
      </c>
      <c r="B1" s="505"/>
      <c r="C1" s="505"/>
      <c r="D1" s="505"/>
      <c r="E1" s="506" t="s">
        <v>93</v>
      </c>
      <c r="F1" s="507"/>
      <c r="J1" s="84"/>
      <c r="K1" s="84"/>
      <c r="Z1" s="610" t="s">
        <v>6</v>
      </c>
      <c r="AA1" s="407" t="s">
        <v>94</v>
      </c>
      <c r="AB1" s="502" t="s">
        <v>95</v>
      </c>
      <c r="AC1" s="503"/>
    </row>
    <row r="2" spans="1:29" ht="20.100000000000001" customHeight="1" thickBot="1">
      <c r="A2" s="508" t="s">
        <v>96</v>
      </c>
      <c r="B2" s="508"/>
      <c r="C2" s="508"/>
      <c r="D2" s="85" t="s">
        <v>97</v>
      </c>
      <c r="E2" s="111" t="s">
        <v>98</v>
      </c>
      <c r="F2" s="111" t="s">
        <v>99</v>
      </c>
      <c r="Z2" s="611"/>
      <c r="AA2" s="407" t="s">
        <v>100</v>
      </c>
      <c r="AB2" s="408" t="s">
        <v>101</v>
      </c>
      <c r="AC2" s="407" t="s">
        <v>100</v>
      </c>
    </row>
    <row r="3" spans="1:29" ht="20.100000000000001" customHeight="1">
      <c r="A3" s="86" t="s">
        <v>102</v>
      </c>
      <c r="B3" s="479" t="s">
        <v>103</v>
      </c>
      <c r="C3" s="380">
        <v>2240</v>
      </c>
      <c r="D3" s="259" t="s">
        <v>104</v>
      </c>
      <c r="E3" s="260" t="s">
        <v>105</v>
      </c>
      <c r="F3" s="260"/>
      <c r="H3" s="87" t="s">
        <v>106</v>
      </c>
      <c r="Z3" t="s">
        <v>107</v>
      </c>
      <c r="AA3" t="s">
        <v>108</v>
      </c>
      <c r="AB3" t="s">
        <v>109</v>
      </c>
      <c r="AC3" s="2" t="s">
        <v>110</v>
      </c>
    </row>
    <row r="4" spans="1:29" ht="20.100000000000001" customHeight="1">
      <c r="A4" s="176" t="s">
        <v>111</v>
      </c>
      <c r="B4" s="261" t="s">
        <v>112</v>
      </c>
      <c r="C4" s="382">
        <v>166.2</v>
      </c>
      <c r="D4" s="262" t="s">
        <v>113</v>
      </c>
      <c r="E4" s="263" t="s">
        <v>105</v>
      </c>
      <c r="F4" s="263"/>
      <c r="Z4" t="s">
        <v>114</v>
      </c>
      <c r="AA4" t="s">
        <v>115</v>
      </c>
      <c r="AB4" t="s">
        <v>109</v>
      </c>
      <c r="AC4" s="2" t="s">
        <v>116</v>
      </c>
    </row>
    <row r="5" spans="1:29" ht="20.100000000000001" customHeight="1">
      <c r="A5" s="284" t="s">
        <v>117</v>
      </c>
      <c r="B5" s="264" t="s">
        <v>118</v>
      </c>
      <c r="C5" s="382">
        <v>186.81</v>
      </c>
      <c r="D5" s="262" t="s">
        <v>113</v>
      </c>
      <c r="E5" s="263" t="s">
        <v>105</v>
      </c>
      <c r="F5" s="263"/>
      <c r="Z5" t="s">
        <v>119</v>
      </c>
      <c r="AA5" t="s">
        <v>120</v>
      </c>
      <c r="AB5" t="s">
        <v>109</v>
      </c>
      <c r="AC5" s="2" t="s">
        <v>121</v>
      </c>
    </row>
    <row r="6" spans="1:29" ht="20.100000000000001" customHeight="1">
      <c r="A6" s="88" t="s">
        <v>122</v>
      </c>
      <c r="B6" s="264" t="s">
        <v>123</v>
      </c>
      <c r="C6" s="382">
        <v>98.14</v>
      </c>
      <c r="D6" s="262" t="s">
        <v>113</v>
      </c>
      <c r="E6" s="263" t="s">
        <v>105</v>
      </c>
      <c r="F6" s="263"/>
      <c r="Z6" s="425" t="s">
        <v>66</v>
      </c>
      <c r="AA6" s="425" t="s">
        <v>124</v>
      </c>
      <c r="AB6" s="425" t="s">
        <v>109</v>
      </c>
      <c r="AC6" s="425" t="s">
        <v>125</v>
      </c>
    </row>
    <row r="7" spans="1:29" ht="20.100000000000001" customHeight="1">
      <c r="A7" s="284" t="s">
        <v>126</v>
      </c>
      <c r="B7" s="264" t="s">
        <v>127</v>
      </c>
      <c r="C7" s="382">
        <v>118.74</v>
      </c>
      <c r="D7" s="262" t="s">
        <v>113</v>
      </c>
      <c r="E7" s="263" t="s">
        <v>105</v>
      </c>
      <c r="F7" s="263"/>
      <c r="Z7" t="s">
        <v>128</v>
      </c>
      <c r="AA7" t="s">
        <v>129</v>
      </c>
      <c r="AB7" t="s">
        <v>109</v>
      </c>
      <c r="AC7" t="s">
        <v>130</v>
      </c>
    </row>
    <row r="8" spans="1:29" ht="20.100000000000001" customHeight="1">
      <c r="A8" s="265"/>
      <c r="B8" s="264" t="s">
        <v>131</v>
      </c>
      <c r="C8" s="266">
        <f>SQRT((4/(PI()*1.025))*((C4/1000)-(C6/1000)))</f>
        <v>0.29076297180076899</v>
      </c>
      <c r="D8" s="262" t="s">
        <v>132</v>
      </c>
      <c r="E8" s="263"/>
      <c r="F8" s="263"/>
      <c r="Z8" t="s">
        <v>133</v>
      </c>
      <c r="AA8" s="2" t="s">
        <v>134</v>
      </c>
      <c r="AB8" t="s">
        <v>109</v>
      </c>
      <c r="AC8" t="s">
        <v>135</v>
      </c>
    </row>
    <row r="9" spans="1:29" ht="20.100000000000001" customHeight="1">
      <c r="A9" s="267"/>
      <c r="B9" s="264" t="s">
        <v>136</v>
      </c>
      <c r="C9" s="480">
        <f>SQRT((4/(PI()*1.025))*((C7/1000)-(C6/1000)))</f>
        <v>0.15996565064685772</v>
      </c>
      <c r="D9" s="262" t="s">
        <v>137</v>
      </c>
      <c r="E9" s="263"/>
      <c r="F9" s="263"/>
      <c r="H9" s="87" t="s">
        <v>138</v>
      </c>
      <c r="Z9" t="s">
        <v>139</v>
      </c>
      <c r="AA9" s="2" t="s">
        <v>140</v>
      </c>
      <c r="AB9" t="s">
        <v>109</v>
      </c>
      <c r="AC9" t="s">
        <v>141</v>
      </c>
    </row>
    <row r="10" spans="1:29" ht="20.100000000000001" customHeight="1">
      <c r="A10" s="267"/>
      <c r="B10" s="264" t="s">
        <v>142</v>
      </c>
      <c r="C10" s="382">
        <v>291.33999999999997</v>
      </c>
      <c r="D10" s="268" t="s">
        <v>143</v>
      </c>
      <c r="E10" s="263" t="s">
        <v>105</v>
      </c>
      <c r="F10" s="263"/>
      <c r="H10" s="87"/>
      <c r="Z10" t="s">
        <v>144</v>
      </c>
      <c r="AA10" t="s">
        <v>145</v>
      </c>
      <c r="AB10" t="s">
        <v>146</v>
      </c>
      <c r="AC10" t="s">
        <v>147</v>
      </c>
    </row>
    <row r="11" spans="1:29" ht="20.100000000000001" customHeight="1">
      <c r="A11" s="267"/>
      <c r="B11" s="264" t="s">
        <v>148</v>
      </c>
      <c r="C11" s="382">
        <v>6</v>
      </c>
      <c r="D11" s="259" t="s">
        <v>149</v>
      </c>
      <c r="E11" s="263" t="s">
        <v>105</v>
      </c>
      <c r="F11" s="263"/>
      <c r="H11" s="87"/>
      <c r="Z11" t="s">
        <v>150</v>
      </c>
      <c r="AA11" t="s">
        <v>151</v>
      </c>
      <c r="AB11" t="s">
        <v>109</v>
      </c>
      <c r="AC11" t="s">
        <v>152</v>
      </c>
    </row>
    <row r="12" spans="1:29" ht="20.100000000000001" customHeight="1">
      <c r="A12" s="267"/>
      <c r="B12" s="264" t="s">
        <v>153</v>
      </c>
      <c r="C12" s="382">
        <v>1.89</v>
      </c>
      <c r="D12" s="259" t="s">
        <v>154</v>
      </c>
      <c r="E12" s="263"/>
      <c r="F12" s="263"/>
      <c r="Z12" t="s">
        <v>155</v>
      </c>
      <c r="AA12" t="s">
        <v>156</v>
      </c>
      <c r="AB12" t="s">
        <v>157</v>
      </c>
      <c r="AC12" t="s">
        <v>158</v>
      </c>
    </row>
    <row r="13" spans="1:29" ht="20.100000000000001" customHeight="1">
      <c r="A13" s="267"/>
      <c r="B13" s="264" t="s">
        <v>159</v>
      </c>
      <c r="C13" s="382">
        <v>2.4</v>
      </c>
      <c r="D13" s="268" t="s">
        <v>160</v>
      </c>
      <c r="E13" s="263" t="s">
        <v>105</v>
      </c>
      <c r="F13" s="263"/>
      <c r="Z13" t="s">
        <v>161</v>
      </c>
      <c r="AA13" t="s">
        <v>162</v>
      </c>
      <c r="AB13" t="s">
        <v>157</v>
      </c>
      <c r="AC13" t="s">
        <v>163</v>
      </c>
    </row>
    <row r="14" spans="1:29" ht="20.100000000000001" customHeight="1">
      <c r="A14" s="267"/>
      <c r="B14" s="269" t="s">
        <v>164</v>
      </c>
      <c r="C14" s="384">
        <v>40.411999999999999</v>
      </c>
      <c r="D14" s="268" t="s">
        <v>165</v>
      </c>
      <c r="E14" s="263"/>
      <c r="F14" s="263"/>
      <c r="Z14" t="s">
        <v>166</v>
      </c>
      <c r="AA14" t="s">
        <v>167</v>
      </c>
      <c r="AB14" t="s">
        <v>109</v>
      </c>
      <c r="AC14" t="s">
        <v>168</v>
      </c>
    </row>
    <row r="15" spans="1:29" ht="20.100000000000001" customHeight="1">
      <c r="A15" s="267"/>
      <c r="B15" s="269" t="s">
        <v>169</v>
      </c>
      <c r="C15" s="385">
        <v>1685</v>
      </c>
      <c r="D15" s="259"/>
      <c r="E15" s="263"/>
      <c r="F15" s="263"/>
      <c r="Z15" t="s">
        <v>170</v>
      </c>
      <c r="AA15" t="s">
        <v>171</v>
      </c>
      <c r="AB15" t="s">
        <v>109</v>
      </c>
      <c r="AC15" t="s">
        <v>172</v>
      </c>
    </row>
    <row r="16" spans="1:29" ht="20.100000000000001" customHeight="1">
      <c r="A16" s="267"/>
      <c r="B16" s="481" t="s">
        <v>173</v>
      </c>
      <c r="C16" s="345"/>
      <c r="D16" s="259" t="s">
        <v>174</v>
      </c>
      <c r="E16" s="263"/>
      <c r="F16" s="263"/>
      <c r="M16" s="612"/>
      <c r="N16" s="612"/>
      <c r="O16" s="612"/>
      <c r="P16" s="612"/>
      <c r="Q16" s="612"/>
      <c r="R16" s="612"/>
      <c r="S16" s="612"/>
      <c r="T16" s="612"/>
      <c r="U16" s="612"/>
      <c r="V16" s="612"/>
      <c r="Z16" t="s">
        <v>175</v>
      </c>
      <c r="AA16" t="s">
        <v>176</v>
      </c>
      <c r="AB16" t="s">
        <v>109</v>
      </c>
      <c r="AC16" t="s">
        <v>177</v>
      </c>
    </row>
    <row r="17" spans="1:29" ht="20.100000000000001" customHeight="1" thickBot="1">
      <c r="A17" s="267"/>
      <c r="B17" s="270" t="s">
        <v>178</v>
      </c>
      <c r="C17" s="385">
        <v>563380</v>
      </c>
      <c r="D17" s="271" t="s">
        <v>179</v>
      </c>
      <c r="E17" s="272" t="s">
        <v>105</v>
      </c>
      <c r="F17" s="272"/>
      <c r="H17" s="87" t="s">
        <v>180</v>
      </c>
      <c r="Q17" s="87" t="s">
        <v>181</v>
      </c>
      <c r="Z17" t="s">
        <v>182</v>
      </c>
      <c r="AA17" t="s">
        <v>183</v>
      </c>
      <c r="AB17" t="s">
        <v>157</v>
      </c>
      <c r="AC17" t="s">
        <v>184</v>
      </c>
    </row>
    <row r="18" spans="1:29" ht="20.100000000000001" customHeight="1">
      <c r="A18" s="86" t="s">
        <v>185</v>
      </c>
      <c r="B18" s="261" t="s">
        <v>186</v>
      </c>
      <c r="C18" s="380">
        <v>5781</v>
      </c>
      <c r="D18" s="268" t="s">
        <v>187</v>
      </c>
      <c r="E18" s="260"/>
      <c r="F18" s="260"/>
      <c r="Z18" t="s">
        <v>188</v>
      </c>
      <c r="AA18" t="s">
        <v>189</v>
      </c>
      <c r="AB18" t="s">
        <v>157</v>
      </c>
      <c r="AC18" t="s">
        <v>124</v>
      </c>
    </row>
    <row r="19" spans="1:29" ht="20.100000000000001" customHeight="1">
      <c r="A19" s="176" t="s">
        <v>111</v>
      </c>
      <c r="B19" s="261" t="s">
        <v>190</v>
      </c>
      <c r="C19" s="383">
        <v>1552</v>
      </c>
      <c r="D19" s="273"/>
      <c r="E19" s="263"/>
      <c r="F19" s="263"/>
      <c r="Z19" t="s">
        <v>191</v>
      </c>
      <c r="AA19" t="s">
        <v>192</v>
      </c>
      <c r="AB19" t="s">
        <v>146</v>
      </c>
      <c r="AC19" t="s">
        <v>193</v>
      </c>
    </row>
    <row r="20" spans="1:29" ht="20.100000000000001" customHeight="1">
      <c r="A20" s="284" t="s">
        <v>194</v>
      </c>
      <c r="B20" s="482" t="s">
        <v>195</v>
      </c>
      <c r="C20" s="383">
        <f>C19*0.87</f>
        <v>1350.24</v>
      </c>
      <c r="D20" s="268" t="s">
        <v>196</v>
      </c>
      <c r="E20" s="263"/>
      <c r="F20" s="263"/>
      <c r="H20" s="87"/>
      <c r="Z20" t="s">
        <v>197</v>
      </c>
      <c r="AA20" t="s">
        <v>198</v>
      </c>
      <c r="AB20" t="s">
        <v>146</v>
      </c>
      <c r="AC20" t="s">
        <v>199</v>
      </c>
    </row>
    <row r="21" spans="1:29" ht="20.100000000000001" customHeight="1">
      <c r="A21" s="88" t="s">
        <v>122</v>
      </c>
      <c r="B21" s="261" t="s">
        <v>200</v>
      </c>
      <c r="C21" s="483">
        <f>(($C$19/1000)/($C$18/1000))</f>
        <v>0.26846566338003808</v>
      </c>
      <c r="D21" s="268"/>
      <c r="E21" s="263"/>
      <c r="F21" s="263"/>
      <c r="J21" s="89"/>
      <c r="Z21" t="s">
        <v>201</v>
      </c>
      <c r="AA21" t="s">
        <v>202</v>
      </c>
      <c r="AB21" t="s">
        <v>146</v>
      </c>
      <c r="AC21" t="s">
        <v>203</v>
      </c>
    </row>
    <row r="22" spans="1:29" ht="20.100000000000001" customHeight="1">
      <c r="A22" s="284" t="s">
        <v>126</v>
      </c>
      <c r="B22" s="261" t="s">
        <v>204</v>
      </c>
      <c r="C22" s="483">
        <f>(($C$20/1000)/($C$18/1000))</f>
        <v>0.23356512714063313</v>
      </c>
      <c r="D22" s="268" t="s">
        <v>205</v>
      </c>
      <c r="E22" s="263"/>
      <c r="F22" s="263"/>
      <c r="Z22" t="s">
        <v>206</v>
      </c>
      <c r="AA22" t="s">
        <v>207</v>
      </c>
      <c r="AB22" t="s">
        <v>146</v>
      </c>
      <c r="AC22" t="s">
        <v>208</v>
      </c>
    </row>
    <row r="23" spans="1:29" ht="20.100000000000001" customHeight="1">
      <c r="A23" s="274"/>
      <c r="B23" s="261" t="s">
        <v>131</v>
      </c>
      <c r="C23" s="480">
        <f>SQRT(((4/PI()/1.025)*(C21-C22))+(C25/1000)^2)</f>
        <v>0.37592807806225836</v>
      </c>
      <c r="D23" s="262" t="s">
        <v>209</v>
      </c>
      <c r="E23" s="263"/>
      <c r="F23" s="263"/>
      <c r="Z23" t="s">
        <v>210</v>
      </c>
      <c r="AA23" t="s">
        <v>211</v>
      </c>
      <c r="AB23" t="s">
        <v>146</v>
      </c>
      <c r="AC23" t="s">
        <v>212</v>
      </c>
    </row>
    <row r="24" spans="1:29" ht="20.100000000000001" customHeight="1">
      <c r="A24" s="274"/>
      <c r="B24" s="261" t="s">
        <v>213</v>
      </c>
      <c r="C24" s="385">
        <v>472</v>
      </c>
      <c r="D24" s="268" t="s">
        <v>214</v>
      </c>
      <c r="E24" s="263"/>
      <c r="F24" s="263"/>
      <c r="Z24" t="s">
        <v>206</v>
      </c>
      <c r="AA24" t="s">
        <v>215</v>
      </c>
      <c r="AB24" t="s">
        <v>146</v>
      </c>
      <c r="AC24" t="s">
        <v>216</v>
      </c>
    </row>
    <row r="25" spans="1:29" ht="20.100000000000001" customHeight="1">
      <c r="A25" s="274"/>
      <c r="B25" s="261" t="s">
        <v>217</v>
      </c>
      <c r="C25" s="385">
        <v>313</v>
      </c>
      <c r="D25" s="268" t="s">
        <v>218</v>
      </c>
      <c r="E25" s="263"/>
      <c r="F25" s="263"/>
      <c r="Z25" t="s">
        <v>219</v>
      </c>
      <c r="AA25" t="s">
        <v>220</v>
      </c>
      <c r="AB25" t="s">
        <v>146</v>
      </c>
      <c r="AC25" s="2" t="s">
        <v>120</v>
      </c>
    </row>
    <row r="26" spans="1:29" ht="20.100000000000001" customHeight="1">
      <c r="A26" s="274"/>
      <c r="B26" s="261" t="s">
        <v>142</v>
      </c>
      <c r="C26" s="383">
        <v>338</v>
      </c>
      <c r="D26" s="268" t="s">
        <v>221</v>
      </c>
      <c r="E26" s="263"/>
      <c r="F26" s="263"/>
      <c r="Z26" t="s">
        <v>222</v>
      </c>
      <c r="AA26" t="s">
        <v>223</v>
      </c>
      <c r="AB26" t="s">
        <v>146</v>
      </c>
      <c r="AC26" t="s">
        <v>224</v>
      </c>
    </row>
    <row r="27" spans="1:29" ht="20.100000000000001" customHeight="1">
      <c r="A27" s="274"/>
      <c r="B27" s="269" t="s">
        <v>225</v>
      </c>
      <c r="C27" s="381">
        <v>4.1399999999999997</v>
      </c>
      <c r="D27" s="268" t="s">
        <v>226</v>
      </c>
      <c r="E27" s="263"/>
      <c r="F27" s="263"/>
      <c r="Z27" t="s">
        <v>227</v>
      </c>
      <c r="AA27" t="s">
        <v>228</v>
      </c>
      <c r="AB27" t="s">
        <v>146</v>
      </c>
      <c r="AC27" t="s">
        <v>229</v>
      </c>
    </row>
    <row r="28" spans="1:29" ht="20.100000000000001" customHeight="1">
      <c r="A28" s="275"/>
      <c r="B28" s="484" t="s">
        <v>230</v>
      </c>
      <c r="C28" s="383">
        <v>70</v>
      </c>
      <c r="D28" s="268" t="s">
        <v>231</v>
      </c>
      <c r="E28" s="263"/>
      <c r="F28" s="263"/>
      <c r="Z28" t="s">
        <v>232</v>
      </c>
      <c r="AA28" t="s">
        <v>233</v>
      </c>
      <c r="AB28" t="s">
        <v>146</v>
      </c>
      <c r="AC28" s="2" t="s">
        <v>234</v>
      </c>
    </row>
    <row r="29" spans="1:29" ht="20.100000000000001" customHeight="1">
      <c r="A29" s="275"/>
      <c r="B29" s="484" t="s">
        <v>235</v>
      </c>
      <c r="C29" s="383">
        <v>34</v>
      </c>
      <c r="D29" s="268" t="s">
        <v>231</v>
      </c>
      <c r="E29" s="263"/>
      <c r="F29" s="263"/>
      <c r="Z29" t="s">
        <v>236</v>
      </c>
      <c r="AA29" t="s">
        <v>237</v>
      </c>
      <c r="AB29" t="s">
        <v>146</v>
      </c>
      <c r="AC29" s="2" t="s">
        <v>238</v>
      </c>
    </row>
    <row r="30" spans="1:29" ht="20.100000000000001" customHeight="1">
      <c r="A30" s="275"/>
      <c r="B30" s="264" t="s">
        <v>239</v>
      </c>
      <c r="C30" s="485">
        <f>(207*1000000*PI()*(((C24/1000)^4)-((C25/1000)^4))/64)</f>
        <v>406797.01009192056</v>
      </c>
      <c r="D30" s="262" t="s">
        <v>240</v>
      </c>
      <c r="E30" s="263"/>
      <c r="F30" s="263"/>
      <c r="H30" s="87" t="s">
        <v>241</v>
      </c>
      <c r="Z30" t="s">
        <v>242</v>
      </c>
      <c r="AA30" t="s">
        <v>243</v>
      </c>
      <c r="AB30" t="s">
        <v>146</v>
      </c>
      <c r="AC30" s="2" t="s">
        <v>244</v>
      </c>
    </row>
    <row r="31" spans="1:29" ht="20.100000000000001" customHeight="1">
      <c r="A31" s="280"/>
      <c r="B31" s="264" t="s">
        <v>245</v>
      </c>
      <c r="C31" s="386">
        <v>10</v>
      </c>
      <c r="D31" s="259"/>
      <c r="E31" s="263"/>
      <c r="F31" s="263"/>
      <c r="Z31" t="s">
        <v>246</v>
      </c>
      <c r="AA31" t="s">
        <v>247</v>
      </c>
      <c r="AB31" t="s">
        <v>146</v>
      </c>
      <c r="AC31" t="s">
        <v>184</v>
      </c>
    </row>
    <row r="32" spans="1:29" ht="20.100000000000001" customHeight="1">
      <c r="A32" s="275"/>
      <c r="B32" s="269" t="s">
        <v>169</v>
      </c>
      <c r="C32" s="386">
        <v>10</v>
      </c>
      <c r="D32" s="268"/>
      <c r="E32" s="263"/>
      <c r="F32" s="263"/>
      <c r="J32" s="90"/>
      <c r="K32" s="90"/>
      <c r="L32" s="90"/>
      <c r="M32" s="90"/>
      <c r="N32" s="90"/>
      <c r="Z32" t="s">
        <v>248</v>
      </c>
      <c r="AA32" t="s">
        <v>249</v>
      </c>
      <c r="AB32" t="s">
        <v>146</v>
      </c>
      <c r="AC32" t="s">
        <v>250</v>
      </c>
    </row>
    <row r="33" spans="1:29" ht="20.100000000000001" customHeight="1">
      <c r="A33" s="275"/>
      <c r="B33" s="276" t="s">
        <v>251</v>
      </c>
      <c r="C33" s="483">
        <f>(1/C27)</f>
        <v>0.24154589371980678</v>
      </c>
      <c r="D33" s="268" t="s">
        <v>252</v>
      </c>
      <c r="E33" s="263"/>
      <c r="F33" s="263"/>
      <c r="Z33" t="s">
        <v>253</v>
      </c>
      <c r="AA33" t="s">
        <v>254</v>
      </c>
      <c r="AB33" t="s">
        <v>146</v>
      </c>
      <c r="AC33" t="s">
        <v>255</v>
      </c>
    </row>
    <row r="34" spans="1:29" ht="20.100000000000001" customHeight="1">
      <c r="A34" s="275"/>
      <c r="B34" s="486" t="s">
        <v>256</v>
      </c>
      <c r="C34" s="387">
        <v>0.01</v>
      </c>
      <c r="D34" s="268" t="s">
        <v>252</v>
      </c>
      <c r="E34" s="263"/>
      <c r="F34" s="263"/>
      <c r="Z34" t="s">
        <v>257</v>
      </c>
      <c r="AA34" t="s">
        <v>258</v>
      </c>
      <c r="AB34" t="s">
        <v>146</v>
      </c>
      <c r="AC34" s="2" t="s">
        <v>259</v>
      </c>
    </row>
    <row r="35" spans="1:29" ht="20.100000000000001" customHeight="1">
      <c r="A35" s="275"/>
      <c r="B35" s="276" t="s">
        <v>260</v>
      </c>
      <c r="C35" s="483">
        <f>1+C33</f>
        <v>1.2415458937198067</v>
      </c>
      <c r="D35" s="268" t="s">
        <v>252</v>
      </c>
      <c r="E35" s="263"/>
      <c r="F35" s="263"/>
      <c r="Z35" t="s">
        <v>261</v>
      </c>
      <c r="AA35" t="s">
        <v>262</v>
      </c>
      <c r="AB35" t="s">
        <v>146</v>
      </c>
      <c r="AC35" s="2" t="s">
        <v>263</v>
      </c>
    </row>
    <row r="36" spans="1:29" ht="20.100000000000001" customHeight="1" thickBot="1">
      <c r="A36" s="275"/>
      <c r="B36" s="285" t="s">
        <v>264</v>
      </c>
      <c r="C36" s="485">
        <f>C30*((1+1/C27)-(1/C27))+0.01</f>
        <v>406797.02009192057</v>
      </c>
      <c r="D36" s="268" t="s">
        <v>265</v>
      </c>
      <c r="E36" s="272"/>
      <c r="F36" s="272"/>
      <c r="Z36" t="s">
        <v>266</v>
      </c>
      <c r="AA36" t="s">
        <v>267</v>
      </c>
      <c r="AB36" t="s">
        <v>146</v>
      </c>
      <c r="AC36" s="2" t="s">
        <v>268</v>
      </c>
    </row>
    <row r="37" spans="1:29" ht="20.100000000000001" customHeight="1">
      <c r="A37" s="86" t="s">
        <v>269</v>
      </c>
      <c r="B37" s="264" t="s">
        <v>186</v>
      </c>
      <c r="C37" s="379">
        <v>2219</v>
      </c>
      <c r="D37" s="277"/>
      <c r="E37" s="260" t="s">
        <v>105</v>
      </c>
      <c r="F37" s="260"/>
    </row>
    <row r="38" spans="1:29" ht="20.100000000000001" customHeight="1">
      <c r="A38" s="176" t="s">
        <v>111</v>
      </c>
      <c r="B38" s="261" t="s">
        <v>190</v>
      </c>
      <c r="C38" s="382">
        <v>2600</v>
      </c>
      <c r="D38" s="278"/>
      <c r="E38" s="263" t="s">
        <v>105</v>
      </c>
      <c r="F38" s="263"/>
    </row>
    <row r="39" spans="1:29" ht="20.100000000000001" customHeight="1">
      <c r="A39" s="284" t="s">
        <v>270</v>
      </c>
      <c r="B39" s="261" t="s">
        <v>195</v>
      </c>
      <c r="C39" s="382">
        <f>C38*0.87</f>
        <v>2262</v>
      </c>
      <c r="D39" s="268" t="s">
        <v>271</v>
      </c>
      <c r="E39" s="263" t="s">
        <v>105</v>
      </c>
      <c r="F39" s="263"/>
    </row>
    <row r="40" spans="1:29" ht="20.100000000000001" customHeight="1">
      <c r="A40" s="88" t="s">
        <v>122</v>
      </c>
      <c r="B40" s="261" t="s">
        <v>200</v>
      </c>
      <c r="C40" s="483">
        <f>(C38/1000)/(C37/1000)</f>
        <v>1.1716989634970709</v>
      </c>
      <c r="D40" s="259"/>
      <c r="E40" s="263"/>
      <c r="F40" s="263"/>
    </row>
    <row r="41" spans="1:29" ht="20.100000000000001" customHeight="1">
      <c r="A41" s="284" t="s">
        <v>272</v>
      </c>
      <c r="B41" s="261" t="s">
        <v>204</v>
      </c>
      <c r="C41" s="483">
        <f>(C39/1000)/(C37/1000)</f>
        <v>1.0193780982424516</v>
      </c>
      <c r="D41" s="279"/>
      <c r="E41" s="263"/>
      <c r="F41" s="263"/>
    </row>
    <row r="42" spans="1:29" ht="20.100000000000001" customHeight="1">
      <c r="A42" s="280"/>
      <c r="B42" s="264" t="s">
        <v>131</v>
      </c>
      <c r="C42" s="480">
        <f>SQRT(((4/PI()/1.025)*(C40-C41))+(C44/1000)^2)</f>
        <v>0.46090827946403307</v>
      </c>
      <c r="D42" s="262" t="s">
        <v>209</v>
      </c>
      <c r="E42" s="263"/>
      <c r="F42" s="263"/>
    </row>
    <row r="43" spans="1:29" ht="20.100000000000001" customHeight="1">
      <c r="A43" s="280"/>
      <c r="B43" s="264" t="s">
        <v>213</v>
      </c>
      <c r="C43" s="385">
        <v>301.8</v>
      </c>
      <c r="D43" s="281" t="s">
        <v>273</v>
      </c>
      <c r="E43" s="263" t="s">
        <v>274</v>
      </c>
      <c r="F43" s="263" t="s">
        <v>275</v>
      </c>
    </row>
    <row r="44" spans="1:29" ht="20.100000000000001" customHeight="1">
      <c r="A44" s="280"/>
      <c r="B44" s="264" t="s">
        <v>217</v>
      </c>
      <c r="C44" s="383">
        <v>152.4</v>
      </c>
      <c r="D44" s="268" t="s">
        <v>276</v>
      </c>
      <c r="E44" s="263" t="s">
        <v>105</v>
      </c>
      <c r="F44" s="263"/>
      <c r="H44" s="87" t="s">
        <v>277</v>
      </c>
    </row>
    <row r="45" spans="1:29" ht="20.100000000000001" customHeight="1">
      <c r="A45" s="280"/>
      <c r="B45" s="276" t="s">
        <v>142</v>
      </c>
      <c r="C45" s="383">
        <v>590</v>
      </c>
      <c r="D45" s="268" t="s">
        <v>221</v>
      </c>
      <c r="E45" s="263" t="s">
        <v>105</v>
      </c>
      <c r="F45" s="263"/>
    </row>
    <row r="46" spans="1:29" ht="20.100000000000001" customHeight="1">
      <c r="A46" s="280"/>
      <c r="B46" s="264" t="s">
        <v>239</v>
      </c>
      <c r="C46" s="388">
        <f>(207*1000000*PI()*(((C43/1000)^4)-((C44/1000)^4))/64)</f>
        <v>78816.727166176031</v>
      </c>
      <c r="E46" s="263"/>
      <c r="F46" s="263"/>
    </row>
    <row r="47" spans="1:29" ht="20.100000000000001" customHeight="1">
      <c r="A47" s="280"/>
      <c r="B47" s="264" t="s">
        <v>245</v>
      </c>
      <c r="C47" s="386">
        <f>(207*PI()*(((C43/1000)^2)-((C44/1000)^2))/4)*1000000</f>
        <v>11032094.014109271</v>
      </c>
      <c r="D47" s="282"/>
      <c r="E47" s="263"/>
      <c r="F47" s="263"/>
    </row>
    <row r="48" spans="1:29" ht="20.100000000000001" customHeight="1" thickBot="1">
      <c r="A48" s="280"/>
      <c r="B48" s="270" t="s">
        <v>169</v>
      </c>
      <c r="C48" s="389">
        <f>((207/(2*(1+0.3)))*(PI()*(((C43/1000)^4)-((C44/1000)^4))/32))*1000000</f>
        <v>60628.251666289267</v>
      </c>
      <c r="D48" s="283"/>
      <c r="E48" s="272"/>
      <c r="F48" s="272"/>
    </row>
    <row r="49" spans="1:8" ht="20.100000000000001" customHeight="1">
      <c r="A49" s="86" t="s">
        <v>278</v>
      </c>
      <c r="B49" s="264" t="s">
        <v>186</v>
      </c>
      <c r="C49" s="379"/>
      <c r="D49" s="277"/>
      <c r="E49" s="260"/>
      <c r="F49" s="260"/>
    </row>
    <row r="50" spans="1:8" ht="20.100000000000001" customHeight="1">
      <c r="A50" s="176" t="s">
        <v>111</v>
      </c>
      <c r="B50" s="261" t="s">
        <v>190</v>
      </c>
      <c r="C50" s="382"/>
      <c r="D50" s="278"/>
      <c r="E50" s="263"/>
      <c r="F50" s="263"/>
    </row>
    <row r="51" spans="1:8" ht="20.100000000000001" customHeight="1">
      <c r="A51" s="284"/>
      <c r="B51" s="261" t="s">
        <v>195</v>
      </c>
      <c r="C51" s="382"/>
      <c r="D51" s="268" t="s">
        <v>271</v>
      </c>
      <c r="E51" s="263"/>
      <c r="F51" s="263"/>
    </row>
    <row r="52" spans="1:8" ht="20.100000000000001" customHeight="1">
      <c r="A52" s="88" t="s">
        <v>122</v>
      </c>
      <c r="B52" s="261" t="s">
        <v>200</v>
      </c>
      <c r="C52" s="483" t="e">
        <f>(C50/1000)/(C49/1000)</f>
        <v>#DIV/0!</v>
      </c>
      <c r="D52" s="259"/>
      <c r="E52" s="263"/>
      <c r="F52" s="263"/>
    </row>
    <row r="53" spans="1:8" ht="20.100000000000001" customHeight="1">
      <c r="A53" s="284"/>
      <c r="B53" s="261" t="s">
        <v>204</v>
      </c>
      <c r="C53" s="483" t="e">
        <f>(C51/1000)/(C49/1000)</f>
        <v>#DIV/0!</v>
      </c>
      <c r="D53" s="279"/>
      <c r="E53" s="263"/>
      <c r="F53" s="263"/>
    </row>
    <row r="54" spans="1:8" ht="20.100000000000001" customHeight="1">
      <c r="A54" s="280"/>
      <c r="B54" s="264" t="s">
        <v>131</v>
      </c>
      <c r="C54" s="480" t="e">
        <f>SQRT(((4/PI()/1.025)*(C52-C53))+(C56/1000)^2)</f>
        <v>#DIV/0!</v>
      </c>
      <c r="D54" s="262"/>
      <c r="E54" s="263"/>
      <c r="F54" s="263"/>
    </row>
    <row r="55" spans="1:8" ht="20.100000000000001" customHeight="1">
      <c r="A55" s="280"/>
      <c r="B55" s="264" t="s">
        <v>213</v>
      </c>
      <c r="C55" s="385"/>
      <c r="D55" s="281" t="s">
        <v>273</v>
      </c>
      <c r="E55" s="263"/>
      <c r="F55" s="263"/>
    </row>
    <row r="56" spans="1:8" ht="20.100000000000001" customHeight="1">
      <c r="A56" s="280"/>
      <c r="B56" s="264" t="s">
        <v>217</v>
      </c>
      <c r="C56" s="383"/>
      <c r="D56" s="268" t="s">
        <v>276</v>
      </c>
      <c r="E56" s="263"/>
      <c r="F56" s="263"/>
      <c r="H56" s="87"/>
    </row>
    <row r="57" spans="1:8" ht="20.100000000000001" customHeight="1">
      <c r="A57" s="280"/>
      <c r="B57" s="276" t="s">
        <v>142</v>
      </c>
      <c r="C57" s="383"/>
      <c r="D57" s="268" t="s">
        <v>221</v>
      </c>
      <c r="E57" s="263"/>
      <c r="F57" s="263"/>
    </row>
    <row r="58" spans="1:8" ht="20.100000000000001" customHeight="1">
      <c r="A58" s="280"/>
      <c r="B58" s="264" t="s">
        <v>239</v>
      </c>
      <c r="C58" s="456">
        <f>(207*1000000*PI()*(((C55/1000)^4)-((C56/1000)^4))/64)</f>
        <v>0</v>
      </c>
      <c r="E58" s="263"/>
      <c r="F58" s="263"/>
    </row>
    <row r="59" spans="1:8" ht="20.100000000000001" customHeight="1">
      <c r="A59" s="280"/>
      <c r="B59" s="264" t="s">
        <v>245</v>
      </c>
      <c r="C59" s="457">
        <f>(207*PI()*(((C55/1000)^2)-((C56/1000)^2))/4)*1000000</f>
        <v>0</v>
      </c>
      <c r="D59" s="282"/>
      <c r="E59" s="263"/>
      <c r="F59" s="263"/>
    </row>
    <row r="60" spans="1:8" ht="20.100000000000001" customHeight="1" thickBot="1">
      <c r="A60" s="280"/>
      <c r="B60" s="269" t="s">
        <v>169</v>
      </c>
      <c r="C60" s="389">
        <f>((207/(2*(1+0.3)))*(PI()*(((C55/1000)^4)-((C56/1000)^4))/32))*1000000</f>
        <v>0</v>
      </c>
      <c r="D60" s="283"/>
      <c r="E60" s="272"/>
      <c r="F60" s="272"/>
    </row>
    <row r="61" spans="1:8" ht="20.100000000000001" customHeight="1" thickBot="1">
      <c r="A61" s="418" t="s">
        <v>279</v>
      </c>
      <c r="B61" s="418"/>
      <c r="C61" s="418"/>
      <c r="D61" s="419"/>
      <c r="E61" s="260"/>
      <c r="F61" s="260"/>
    </row>
    <row r="62" spans="1:8" ht="20.100000000000001" customHeight="1" thickBot="1">
      <c r="A62" s="420" t="s">
        <v>280</v>
      </c>
      <c r="B62" s="421"/>
      <c r="C62" s="421"/>
      <c r="D62" s="422"/>
      <c r="E62" s="285"/>
      <c r="F62" s="285"/>
    </row>
    <row r="90" spans="7:27" ht="20.100000000000001" customHeight="1">
      <c r="G90" s="261"/>
      <c r="H90" s="261"/>
      <c r="I90" s="261"/>
      <c r="J90" s="261"/>
      <c r="K90" s="261"/>
      <c r="L90" s="261"/>
      <c r="M90" s="261"/>
      <c r="N90" s="261"/>
      <c r="O90" s="261"/>
      <c r="P90" s="261"/>
      <c r="Q90" s="261"/>
      <c r="R90" s="261"/>
      <c r="S90" s="261"/>
      <c r="T90" s="261"/>
      <c r="U90" s="261"/>
      <c r="V90" s="261"/>
      <c r="W90" s="261"/>
      <c r="X90" s="261"/>
      <c r="Y90" s="261"/>
      <c r="Z90" s="261"/>
      <c r="AA90" s="261"/>
    </row>
    <row r="121" spans="8:8" ht="20.100000000000001" customHeight="1">
      <c r="H121" s="87" t="s">
        <v>281</v>
      </c>
    </row>
    <row r="132" spans="8:8" ht="20.100000000000001" customHeight="1">
      <c r="H132" s="87"/>
    </row>
  </sheetData>
  <dataConsolidate link="1"/>
  <mergeCells count="6">
    <mergeCell ref="AB1:AC1"/>
    <mergeCell ref="A1:D1"/>
    <mergeCell ref="E1:F1"/>
    <mergeCell ref="A2:C2"/>
    <mergeCell ref="M16:V16"/>
    <mergeCell ref="Z1:Z2"/>
  </mergeCells>
  <conditionalFormatting sqref="L2:L7">
    <cfRule type="cellIs" dxfId="84" priority="38" operator="equal">
      <formula>"ok"</formula>
    </cfRule>
    <cfRule type="cellIs" dxfId="83" priority="39" operator="equal">
      <formula>"KO"</formula>
    </cfRule>
  </conditionalFormatting>
  <conditionalFormatting sqref="E3:E16 E40:E48 E52:E59 E20:E28 E30:E36">
    <cfRule type="cellIs" dxfId="82" priority="24" operator="equal">
      <formula>"not ok"</formula>
    </cfRule>
    <cfRule type="cellIs" dxfId="81" priority="25" operator="equal">
      <formula>"ok"</formula>
    </cfRule>
  </conditionalFormatting>
  <conditionalFormatting sqref="E61">
    <cfRule type="cellIs" dxfId="80" priority="8" operator="equal">
      <formula>"not ok"</formula>
    </cfRule>
    <cfRule type="cellIs" dxfId="79" priority="9" operator="equal">
      <formula>"ok"</formula>
    </cfRule>
  </conditionalFormatting>
  <conditionalFormatting sqref="E17:E19">
    <cfRule type="cellIs" dxfId="78" priority="20" operator="equal">
      <formula>"not ok"</formula>
    </cfRule>
    <cfRule type="cellIs" dxfId="77" priority="21" operator="equal">
      <formula>"ok"</formula>
    </cfRule>
  </conditionalFormatting>
  <conditionalFormatting sqref="E39">
    <cfRule type="cellIs" dxfId="76" priority="18" operator="equal">
      <formula>"not ok"</formula>
    </cfRule>
    <cfRule type="cellIs" dxfId="75" priority="19" operator="equal">
      <formula>"ok"</formula>
    </cfRule>
  </conditionalFormatting>
  <conditionalFormatting sqref="E37:E38">
    <cfRule type="cellIs" dxfId="74" priority="16" operator="equal">
      <formula>"not ok"</formula>
    </cfRule>
    <cfRule type="cellIs" dxfId="73" priority="17" operator="equal">
      <formula>"ok"</formula>
    </cfRule>
  </conditionalFormatting>
  <conditionalFormatting sqref="E51">
    <cfRule type="cellIs" dxfId="72" priority="14" operator="equal">
      <formula>"not ok"</formula>
    </cfRule>
    <cfRule type="cellIs" dxfId="71" priority="15" operator="equal">
      <formula>"ok"</formula>
    </cfRule>
  </conditionalFormatting>
  <conditionalFormatting sqref="E49:E50">
    <cfRule type="cellIs" dxfId="70" priority="12" operator="equal">
      <formula>"not ok"</formula>
    </cfRule>
    <cfRule type="cellIs" dxfId="69" priority="13" operator="equal">
      <formula>"ok"</formula>
    </cfRule>
  </conditionalFormatting>
  <conditionalFormatting sqref="E60">
    <cfRule type="cellIs" dxfId="68" priority="10" operator="equal">
      <formula>"not ok"</formula>
    </cfRule>
    <cfRule type="cellIs" dxfId="67" priority="11" operator="equal">
      <formula>"ok"</formula>
    </cfRule>
  </conditionalFormatting>
  <conditionalFormatting sqref="E29">
    <cfRule type="cellIs" dxfId="66" priority="3" operator="equal">
      <formula>"not ok"</formula>
    </cfRule>
    <cfRule type="cellIs" dxfId="65" priority="4" operator="equal">
      <formula>"ok"</formula>
    </cfRule>
  </conditionalFormatting>
  <conditionalFormatting sqref="A8">
    <cfRule type="cellIs" dxfId="64" priority="1" operator="equal">
      <formula>"ok"</formula>
    </cfRule>
    <cfRule type="cellIs" dxfId="63" priority="2" operator="equal">
      <formula>"KO"</formula>
    </cfRule>
  </conditionalFormatting>
  <dataValidations count="2">
    <dataValidation type="decimal" errorStyle="information" operator="greaterThanOrEqual" allowBlank="1" showInputMessage="1" showErrorMessage="1" error="ATENÇÃO: MBR de travamento da vértebra é menor que o MBR de instalação da linha!_x000a_" sqref="C27" xr:uid="{3AEB885A-7538-4F3A-8FD2-B44FFE71C48C}">
      <formula1>C13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C1264EF3-3C1C-43F7-82BA-8F1FD581A3E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" r:id="rId4" name="Button 227">
              <controlPr defaultSize="0" print="0" autoFill="0" autoPict="0" macro="[0]!Plan3.import">
                <anchor moveWithCells="1">
                  <from>
                    <xdr:col>0</xdr:col>
                    <xdr:colOff>88900</xdr:colOff>
                    <xdr:row>0</xdr:row>
                    <xdr:rowOff>69850</xdr:rowOff>
                  </from>
                  <to>
                    <xdr:col>0</xdr:col>
                    <xdr:colOff>2724150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XFC30"/>
  <sheetViews>
    <sheetView zoomScale="55" zoomScaleNormal="55" workbookViewId="0">
      <selection activeCell="Q26" sqref="Q26"/>
    </sheetView>
  </sheetViews>
  <sheetFormatPr defaultColWidth="9.140625" defaultRowHeight="20.100000000000001" customHeight="1"/>
  <cols>
    <col min="1" max="1" width="19.140625" style="286" customWidth="1"/>
    <col min="2" max="2" width="44.5703125" style="286" bestFit="1" customWidth="1"/>
    <col min="3" max="3" width="14.5703125" style="286" customWidth="1"/>
    <col min="4" max="4" width="16.28515625" style="286" customWidth="1"/>
    <col min="5" max="5" width="16.42578125" style="286" customWidth="1"/>
    <col min="6" max="13" width="9.140625" style="4" customWidth="1"/>
    <col min="14" max="14" width="21.28515625" style="286" customWidth="1"/>
    <col min="15" max="15" width="17.28515625" style="286" customWidth="1"/>
    <col min="16" max="16" width="18.28515625" style="286" customWidth="1"/>
    <col min="17" max="17" width="14" style="286" bestFit="1" customWidth="1"/>
    <col min="18" max="18" width="14.85546875" style="286" bestFit="1" customWidth="1"/>
    <col min="19" max="19" width="9.140625" style="4" customWidth="1"/>
    <col min="20" max="16383" width="9.140625" style="4" hidden="1" customWidth="1"/>
    <col min="16384" max="16384" width="0.42578125" style="4" customWidth="1"/>
  </cols>
  <sheetData>
    <row r="1" spans="1:16" ht="20.100000000000001" customHeight="1" thickBot="1"/>
    <row r="2" spans="1:16" ht="20.100000000000001" customHeight="1" thickBot="1">
      <c r="A2" s="512" t="s">
        <v>282</v>
      </c>
      <c r="B2" s="514"/>
      <c r="C2" s="287" t="s">
        <v>67</v>
      </c>
      <c r="D2" s="288" t="s">
        <v>283</v>
      </c>
      <c r="N2" s="512" t="s">
        <v>284</v>
      </c>
      <c r="O2" s="513"/>
      <c r="P2" s="514"/>
    </row>
    <row r="3" spans="1:16" ht="20.100000000000001" customHeight="1">
      <c r="A3" s="458" t="s">
        <v>285</v>
      </c>
      <c r="B3" s="347" t="s">
        <v>286</v>
      </c>
      <c r="C3" s="303"/>
      <c r="D3" s="289"/>
      <c r="N3" s="291">
        <v>0.25</v>
      </c>
      <c r="O3" s="291">
        <v>0.25</v>
      </c>
      <c r="P3" s="291">
        <v>1.2</v>
      </c>
    </row>
    <row r="4" spans="1:16" ht="20.100000000000001" customHeight="1">
      <c r="A4" s="459" t="s">
        <v>122</v>
      </c>
      <c r="B4" s="350" t="s">
        <v>74</v>
      </c>
      <c r="C4" s="460"/>
      <c r="D4" s="307"/>
      <c r="N4" s="291">
        <v>-0.25</v>
      </c>
      <c r="O4" s="291">
        <v>0.25</v>
      </c>
      <c r="P4" s="291">
        <v>1.2</v>
      </c>
    </row>
    <row r="5" spans="1:16" ht="20.100000000000001" customHeight="1">
      <c r="A5" s="295" t="s">
        <v>287</v>
      </c>
      <c r="B5" s="349" t="s">
        <v>288</v>
      </c>
      <c r="C5" s="460"/>
      <c r="D5" s="307"/>
      <c r="N5" s="291">
        <v>-0.25</v>
      </c>
      <c r="O5" s="291">
        <v>-0.25</v>
      </c>
      <c r="P5" s="291">
        <v>1.2</v>
      </c>
    </row>
    <row r="6" spans="1:16" ht="20.100000000000001" customHeight="1">
      <c r="A6" s="295" t="s">
        <v>289</v>
      </c>
      <c r="B6" s="348" t="s">
        <v>290</v>
      </c>
      <c r="C6" s="460"/>
      <c r="D6" s="307"/>
      <c r="N6" s="291">
        <v>0.25</v>
      </c>
      <c r="O6" s="291">
        <v>-0.25</v>
      </c>
      <c r="P6" s="291">
        <v>1.2</v>
      </c>
    </row>
    <row r="7" spans="1:16" ht="20.100000000000001" customHeight="1">
      <c r="A7" s="459" t="s">
        <v>291</v>
      </c>
      <c r="B7" s="308" t="s">
        <v>292</v>
      </c>
      <c r="C7" s="461"/>
      <c r="D7" s="290"/>
      <c r="N7" s="291">
        <v>0.5</v>
      </c>
      <c r="O7" s="291">
        <v>0.5</v>
      </c>
      <c r="P7" s="291">
        <v>0</v>
      </c>
    </row>
    <row r="8" spans="1:16" ht="20.100000000000001" customHeight="1">
      <c r="A8" s="291" t="s">
        <v>293</v>
      </c>
      <c r="B8" s="350">
        <v>3810</v>
      </c>
      <c r="C8" s="461" t="s">
        <v>105</v>
      </c>
      <c r="D8" s="290"/>
      <c r="N8" s="291">
        <v>-0.5</v>
      </c>
      <c r="O8" s="291">
        <v>0.5</v>
      </c>
      <c r="P8" s="291">
        <v>0</v>
      </c>
    </row>
    <row r="9" spans="1:16" ht="20.100000000000001" customHeight="1">
      <c r="A9" s="291" t="s">
        <v>294</v>
      </c>
      <c r="B9" s="391">
        <v>502</v>
      </c>
      <c r="C9" s="461" t="s">
        <v>105</v>
      </c>
      <c r="D9" s="290"/>
      <c r="N9" s="291">
        <v>-0.5</v>
      </c>
      <c r="O9" s="291">
        <v>-0.5</v>
      </c>
      <c r="P9" s="291">
        <v>0</v>
      </c>
    </row>
    <row r="10" spans="1:16" ht="20.100000000000001" customHeight="1" thickBot="1">
      <c r="A10" s="291" t="s">
        <v>295</v>
      </c>
      <c r="B10" s="391">
        <v>907</v>
      </c>
      <c r="C10" s="461" t="s">
        <v>105</v>
      </c>
      <c r="D10" s="290"/>
      <c r="N10" s="291">
        <v>0.5</v>
      </c>
      <c r="O10" s="291">
        <v>-0.5</v>
      </c>
      <c r="P10" s="291">
        <v>0</v>
      </c>
    </row>
    <row r="11" spans="1:16" ht="20.100000000000001" customHeight="1">
      <c r="A11" s="459" t="s">
        <v>296</v>
      </c>
      <c r="B11" s="391">
        <v>681</v>
      </c>
      <c r="C11" s="461" t="s">
        <v>105</v>
      </c>
      <c r="D11" s="290"/>
      <c r="N11" s="297"/>
      <c r="O11" s="297"/>
      <c r="P11" s="297"/>
    </row>
    <row r="12" spans="1:16" ht="20.100000000000001" customHeight="1">
      <c r="A12" s="459" t="s">
        <v>297</v>
      </c>
      <c r="B12" s="391">
        <v>864</v>
      </c>
      <c r="C12" s="461" t="s">
        <v>105</v>
      </c>
      <c r="D12" s="290"/>
    </row>
    <row r="13" spans="1:16" ht="20.100000000000001" customHeight="1">
      <c r="A13" s="459" t="s">
        <v>298</v>
      </c>
      <c r="B13" s="391">
        <v>2037</v>
      </c>
      <c r="C13" s="461" t="s">
        <v>105</v>
      </c>
      <c r="D13" s="290"/>
      <c r="O13" s="298"/>
    </row>
    <row r="14" spans="1:16" ht="20.100000000000001" customHeight="1" thickBot="1">
      <c r="A14" s="462" t="s">
        <v>299</v>
      </c>
      <c r="B14" s="392">
        <v>839</v>
      </c>
      <c r="C14" s="463" t="s">
        <v>105</v>
      </c>
      <c r="D14" s="292"/>
    </row>
    <row r="15" spans="1:16" ht="20.100000000000001" customHeight="1" thickBot="1">
      <c r="B15" s="464"/>
    </row>
    <row r="16" spans="1:16" ht="20.100000000000001" customHeight="1" thickBot="1">
      <c r="N16" s="515" t="s">
        <v>300</v>
      </c>
      <c r="O16" s="516"/>
      <c r="P16" s="299"/>
    </row>
    <row r="17" spans="1:18" ht="20.100000000000001" customHeight="1" thickBot="1">
      <c r="A17" s="515" t="s">
        <v>301</v>
      </c>
      <c r="B17" s="517"/>
      <c r="C17" s="517"/>
      <c r="D17" s="293" t="s">
        <v>67</v>
      </c>
      <c r="E17" s="294" t="s">
        <v>283</v>
      </c>
      <c r="N17" s="300" t="s">
        <v>103</v>
      </c>
      <c r="O17" s="399">
        <f>Values!C3</f>
        <v>2240</v>
      </c>
      <c r="P17" s="298"/>
      <c r="Q17" s="298"/>
    </row>
    <row r="18" spans="1:18" ht="20.100000000000001" customHeight="1" thickBot="1">
      <c r="A18" s="518" t="s">
        <v>302</v>
      </c>
      <c r="B18" s="465" t="s">
        <v>303</v>
      </c>
      <c r="C18" s="413">
        <f>C19</f>
        <v>5043</v>
      </c>
      <c r="D18" s="309"/>
      <c r="E18" s="295"/>
      <c r="N18" s="301" t="s">
        <v>304</v>
      </c>
      <c r="O18" s="400">
        <f>+O17-(B8/1000)-(B9/1000)</f>
        <v>2235.6880000000001</v>
      </c>
    </row>
    <row r="19" spans="1:18" ht="20.100000000000001" customHeight="1" thickBot="1">
      <c r="A19" s="518"/>
      <c r="B19" s="466" t="s">
        <v>305</v>
      </c>
      <c r="C19" s="414">
        <v>5043</v>
      </c>
      <c r="D19" s="310" t="s">
        <v>105</v>
      </c>
      <c r="E19" s="296"/>
      <c r="N19" s="302"/>
      <c r="O19" s="302"/>
    </row>
    <row r="20" spans="1:18" ht="20.100000000000001" customHeight="1" thickBot="1">
      <c r="A20" s="518"/>
      <c r="B20" s="467" t="s">
        <v>306</v>
      </c>
      <c r="C20" s="468">
        <v>9.9999999999999995E-7</v>
      </c>
      <c r="D20" s="310"/>
      <c r="E20" s="296"/>
      <c r="N20" s="512" t="s">
        <v>307</v>
      </c>
      <c r="O20" s="513"/>
      <c r="P20" s="514"/>
      <c r="Q20" s="287" t="s">
        <v>67</v>
      </c>
      <c r="R20" s="288" t="s">
        <v>283</v>
      </c>
    </row>
    <row r="21" spans="1:18" ht="20.100000000000001" customHeight="1">
      <c r="A21" s="509" t="s">
        <v>308</v>
      </c>
      <c r="B21" s="469" t="s">
        <v>309</v>
      </c>
      <c r="C21" s="470">
        <f>+(B13/1000)-(B11/1000)</f>
        <v>1.3559999999999999</v>
      </c>
      <c r="D21" s="310"/>
      <c r="E21" s="296"/>
      <c r="N21" s="303">
        <v>0</v>
      </c>
      <c r="O21" s="393">
        <f>B8</f>
        <v>3810</v>
      </c>
      <c r="P21" s="396">
        <f>O17</f>
        <v>2240</v>
      </c>
      <c r="Q21" s="303" t="s">
        <v>105</v>
      </c>
      <c r="R21" s="289"/>
    </row>
    <row r="22" spans="1:18" ht="20.100000000000001" customHeight="1">
      <c r="A22" s="510"/>
      <c r="B22" s="466" t="s">
        <v>310</v>
      </c>
      <c r="C22" s="471">
        <f>+(B14/1000)-(B12/1000)</f>
        <v>-2.5000000000000022E-2</v>
      </c>
      <c r="D22" s="310"/>
      <c r="E22" s="296"/>
      <c r="N22" s="304">
        <v>5</v>
      </c>
      <c r="O22" s="394">
        <v>3810</v>
      </c>
      <c r="P22" s="397">
        <f>IF(OR(O22=0,O22=""),$P21,$P$21+((O22/1000)-($O$21/1000)))</f>
        <v>2240</v>
      </c>
      <c r="Q22" s="312" t="s">
        <v>105</v>
      </c>
      <c r="R22" s="290"/>
    </row>
    <row r="23" spans="1:18" ht="20.100000000000001" customHeight="1">
      <c r="A23" s="509" t="s">
        <v>311</v>
      </c>
      <c r="B23" s="469" t="s">
        <v>312</v>
      </c>
      <c r="C23" s="470">
        <f>+(B13/1000)+(B9/1000)</f>
        <v>2.5389999999999997</v>
      </c>
      <c r="D23" s="310"/>
      <c r="E23" s="296"/>
      <c r="N23" s="304">
        <v>10</v>
      </c>
      <c r="O23" s="394">
        <v>3810</v>
      </c>
      <c r="P23" s="397">
        <f>IF(OR(O23=0,O23=""),$P22,$P$21+((O23/1000)-($O$21/1000)))</f>
        <v>2240</v>
      </c>
      <c r="Q23" s="312" t="s">
        <v>105</v>
      </c>
      <c r="R23" s="290"/>
    </row>
    <row r="24" spans="1:18" ht="20.100000000000001" customHeight="1" thickBot="1">
      <c r="A24" s="511"/>
      <c r="B24" s="466" t="s">
        <v>313</v>
      </c>
      <c r="C24" s="471">
        <f>+(B14/1000)-(B10/1000)</f>
        <v>-6.800000000000006E-2</v>
      </c>
      <c r="D24" s="310"/>
      <c r="E24" s="296"/>
      <c r="N24" s="305">
        <v>15</v>
      </c>
      <c r="O24" s="395">
        <v>3810</v>
      </c>
      <c r="P24" s="398">
        <f>IF(OR(O24=0,O24=""),$P23,$P$21+((O24/1000)-($O$21/1000)))</f>
        <v>2240</v>
      </c>
      <c r="Q24" s="313" t="s">
        <v>105</v>
      </c>
      <c r="R24" s="306"/>
    </row>
    <row r="25" spans="1:18" ht="20.100000000000001" customHeight="1">
      <c r="A25" s="509" t="s">
        <v>314</v>
      </c>
      <c r="B25" s="469" t="s">
        <v>315</v>
      </c>
      <c r="C25" s="470">
        <f>+(B13/1000)</f>
        <v>2.0369999999999999</v>
      </c>
      <c r="D25" s="310"/>
      <c r="E25" s="296"/>
      <c r="Q25" s="297"/>
    </row>
    <row r="26" spans="1:18" ht="20.100000000000001" customHeight="1">
      <c r="A26" s="511"/>
      <c r="B26" s="472" t="s">
        <v>316</v>
      </c>
      <c r="C26" s="473">
        <f>+(B14/1000)</f>
        <v>0.83899999999999997</v>
      </c>
      <c r="D26" s="310"/>
      <c r="E26" s="296"/>
    </row>
    <row r="27" spans="1:18" ht="20.100000000000001" customHeight="1">
      <c r="A27" s="474" t="s">
        <v>317</v>
      </c>
      <c r="B27" s="475" t="s">
        <v>318</v>
      </c>
      <c r="C27" s="476">
        <f>O17-((B8/1000)-(B13/1000))</f>
        <v>2238.2269999999999</v>
      </c>
      <c r="D27" s="310"/>
      <c r="E27" s="290"/>
    </row>
    <row r="28" spans="1:18" ht="20.100000000000001" customHeight="1" thickBot="1">
      <c r="A28" s="477" t="s">
        <v>319</v>
      </c>
      <c r="B28" s="478" t="s">
        <v>320</v>
      </c>
      <c r="C28" s="390">
        <v>60</v>
      </c>
      <c r="D28" s="311" t="s">
        <v>105</v>
      </c>
      <c r="E28" s="292"/>
    </row>
    <row r="30" spans="1:18" ht="20.100000000000001" customHeight="1">
      <c r="B30" s="286" t="s">
        <v>321</v>
      </c>
    </row>
  </sheetData>
  <mergeCells count="9">
    <mergeCell ref="A21:A22"/>
    <mergeCell ref="A23:A24"/>
    <mergeCell ref="A25:A26"/>
    <mergeCell ref="N20:P20"/>
    <mergeCell ref="A2:B2"/>
    <mergeCell ref="N2:P2"/>
    <mergeCell ref="N16:O16"/>
    <mergeCell ref="A17:C17"/>
    <mergeCell ref="A18:A20"/>
  </mergeCells>
  <conditionalFormatting sqref="P18">
    <cfRule type="cellIs" dxfId="62" priority="59" operator="equal">
      <formula>"ok"</formula>
    </cfRule>
    <cfRule type="cellIs" dxfId="61" priority="60" operator="equal">
      <formula>"KO"</formula>
    </cfRule>
  </conditionalFormatting>
  <conditionalFormatting sqref="P17:Q17">
    <cfRule type="cellIs" dxfId="60" priority="45" operator="equal">
      <formula>"ok"</formula>
    </cfRule>
    <cfRule type="cellIs" dxfId="59" priority="46" operator="equal">
      <formula>"KO"</formula>
    </cfRule>
  </conditionalFormatting>
  <conditionalFormatting sqref="D18:D28">
    <cfRule type="cellIs" dxfId="58" priority="20" operator="equal">
      <formula>"not ok"</formula>
    </cfRule>
    <cfRule type="cellIs" dxfId="57" priority="31" operator="equal">
      <formula>"ok"</formula>
    </cfRule>
    <cfRule type="cellIs" dxfId="56" priority="32" operator="equal">
      <formula>"KO"</formula>
    </cfRule>
  </conditionalFormatting>
  <conditionalFormatting sqref="Q21:Q24">
    <cfRule type="cellIs" dxfId="55" priority="19" operator="equal">
      <formula>"not ok"</formula>
    </cfRule>
    <cfRule type="cellIs" dxfId="54" priority="29" operator="equal">
      <formula>"ok"</formula>
    </cfRule>
    <cfRule type="cellIs" dxfId="53" priority="30" operator="equal">
      <formula>"KO"</formula>
    </cfRule>
  </conditionalFormatting>
  <conditionalFormatting sqref="C8">
    <cfRule type="cellIs" dxfId="52" priority="9" operator="equal">
      <formula>"ok"</formula>
    </cfRule>
    <cfRule type="cellIs" dxfId="51" priority="10" operator="equal">
      <formula>"KO"</formula>
    </cfRule>
  </conditionalFormatting>
  <conditionalFormatting sqref="C4">
    <cfRule type="cellIs" dxfId="50" priority="7" operator="equal">
      <formula>"ok"</formula>
    </cfRule>
    <cfRule type="cellIs" dxfId="49" priority="8" operator="equal">
      <formula>"KO"</formula>
    </cfRule>
  </conditionalFormatting>
  <conditionalFormatting sqref="C5">
    <cfRule type="cellIs" dxfId="48" priority="5" operator="equal">
      <formula>"ok"</formula>
    </cfRule>
    <cfRule type="cellIs" dxfId="47" priority="6" operator="equal">
      <formula>"KO"</formula>
    </cfRule>
  </conditionalFormatting>
  <conditionalFormatting sqref="C3 C7">
    <cfRule type="cellIs" dxfId="46" priority="17" operator="equal">
      <formula>"ok"</formula>
    </cfRule>
    <cfRule type="cellIs" dxfId="45" priority="18" operator="equal">
      <formula>"KO"</formula>
    </cfRule>
  </conditionalFormatting>
  <conditionalFormatting sqref="C15">
    <cfRule type="cellIs" dxfId="44" priority="15" operator="equal">
      <formula>"ok"</formula>
    </cfRule>
    <cfRule type="cellIs" dxfId="43" priority="16" operator="equal">
      <formula>"KO"</formula>
    </cfRule>
  </conditionalFormatting>
  <conditionalFormatting sqref="C10:C14">
    <cfRule type="cellIs" dxfId="42" priority="13" operator="equal">
      <formula>"ok"</formula>
    </cfRule>
    <cfRule type="cellIs" dxfId="41" priority="14" operator="equal">
      <formula>"KO"</formula>
    </cfRule>
  </conditionalFormatting>
  <conditionalFormatting sqref="C9">
    <cfRule type="cellIs" dxfId="40" priority="11" operator="equal">
      <formula>"ok"</formula>
    </cfRule>
    <cfRule type="cellIs" dxfId="39" priority="12" operator="equal">
      <formula>"KO"</formula>
    </cfRule>
  </conditionalFormatting>
  <conditionalFormatting sqref="C6">
    <cfRule type="cellIs" dxfId="38" priority="3" operator="equal">
      <formula>"ok"</formula>
    </cfRule>
    <cfRule type="cellIs" dxfId="37" priority="4" operator="equal">
      <formula>"KO"</formula>
    </cfRule>
  </conditionalFormatting>
  <conditionalFormatting sqref="C3">
    <cfRule type="cellIs" dxfId="36" priority="2" operator="equal">
      <formula>"not ok"</formula>
    </cfRule>
  </conditionalFormatting>
  <conditionalFormatting sqref="C3:C14">
    <cfRule type="cellIs" dxfId="35" priority="1" operator="equal">
      <formula>"not ok"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52"/>
  <sheetViews>
    <sheetView zoomScale="70" zoomScaleNormal="70" workbookViewId="0">
      <selection activeCell="G16" sqref="G16"/>
    </sheetView>
  </sheetViews>
  <sheetFormatPr defaultColWidth="9.140625" defaultRowHeight="20.100000000000001" customHeight="1"/>
  <cols>
    <col min="1" max="1" width="23" style="4" customWidth="1"/>
    <col min="2" max="2" width="18.7109375" style="4" customWidth="1"/>
    <col min="3" max="3" width="22.7109375" style="4" customWidth="1"/>
    <col min="4" max="5" width="9.140625" style="4" customWidth="1"/>
    <col min="6" max="6" width="19.85546875" style="4" bestFit="1" customWidth="1"/>
    <col min="7" max="7" width="27.85546875" style="4" customWidth="1"/>
    <col min="8" max="8" width="9.140625" style="4" customWidth="1"/>
    <col min="9" max="9" width="9.140625" customWidth="1"/>
    <col min="10" max="10" width="19.85546875" bestFit="1" customWidth="1"/>
    <col min="11" max="11" width="23.28515625" customWidth="1"/>
    <col min="13" max="13" width="12.5703125" style="4" customWidth="1"/>
    <col min="14" max="14" width="16.42578125" style="4" customWidth="1"/>
    <col min="15" max="16384" width="9.140625" style="4"/>
  </cols>
  <sheetData>
    <row r="1" spans="1:14" ht="39.950000000000003" customHeight="1" thickBot="1">
      <c r="A1" s="522" t="s">
        <v>322</v>
      </c>
      <c r="B1" s="523"/>
      <c r="C1" s="523"/>
      <c r="D1" s="524"/>
      <c r="E1" s="6"/>
      <c r="F1" s="525" t="s">
        <v>323</v>
      </c>
      <c r="G1" s="526"/>
    </row>
    <row r="2" spans="1:14" ht="20.100000000000001" customHeight="1" thickBot="1">
      <c r="A2" s="527"/>
      <c r="B2" s="527"/>
      <c r="F2" s="527"/>
      <c r="G2" s="527"/>
    </row>
    <row r="3" spans="1:14" s="7" customFormat="1" ht="20.100000000000001" customHeight="1" thickBot="1">
      <c r="A3" s="519" t="s">
        <v>324</v>
      </c>
      <c r="B3" s="520"/>
      <c r="C3" s="521"/>
      <c r="F3" s="519" t="s">
        <v>325</v>
      </c>
      <c r="G3" s="521"/>
      <c r="I3"/>
      <c r="J3"/>
      <c r="K3"/>
      <c r="L3"/>
    </row>
    <row r="4" spans="1:14" s="7" customFormat="1" ht="20.100000000000001" customHeight="1" thickBot="1">
      <c r="A4" s="8" t="s">
        <v>326</v>
      </c>
      <c r="B4" s="8" t="s">
        <v>327</v>
      </c>
      <c r="C4" s="8" t="s">
        <v>328</v>
      </c>
      <c r="F4" s="8" t="s">
        <v>326</v>
      </c>
      <c r="G4" s="8" t="s">
        <v>328</v>
      </c>
      <c r="I4"/>
      <c r="J4"/>
      <c r="K4"/>
      <c r="L4"/>
    </row>
    <row r="5" spans="1:14" s="7" customFormat="1" ht="20.100000000000001" customHeight="1">
      <c r="A5" s="108">
        <v>0</v>
      </c>
      <c r="B5" s="107">
        <v>0</v>
      </c>
      <c r="C5" s="401">
        <f>B5/1000</f>
        <v>0</v>
      </c>
      <c r="F5" s="117">
        <v>0</v>
      </c>
      <c r="G5" s="117">
        <v>0</v>
      </c>
      <c r="I5"/>
      <c r="J5"/>
      <c r="K5"/>
      <c r="L5"/>
      <c r="M5" s="4"/>
      <c r="N5" s="4"/>
    </row>
    <row r="6" spans="1:14" s="7" customFormat="1" ht="20.100000000000001" customHeight="1">
      <c r="A6" s="109">
        <v>3.0000000000000001E-3</v>
      </c>
      <c r="B6" s="110">
        <v>1322</v>
      </c>
      <c r="C6" s="401">
        <f t="shared" ref="C6:C45" si="0">B6/1000</f>
        <v>1.3220000000000001</v>
      </c>
      <c r="F6" s="9">
        <f>Values!C33</f>
        <v>0.24154589371980678</v>
      </c>
      <c r="G6" s="10">
        <v>0.01</v>
      </c>
      <c r="I6"/>
      <c r="J6"/>
      <c r="K6"/>
      <c r="L6"/>
    </row>
    <row r="7" spans="1:14" s="7" customFormat="1" ht="20.100000000000001" customHeight="1" thickBot="1">
      <c r="A7" s="109">
        <v>6.0000000000000001E-3</v>
      </c>
      <c r="B7" s="110">
        <v>1531</v>
      </c>
      <c r="C7" s="401">
        <f t="shared" si="0"/>
        <v>1.5309999999999999</v>
      </c>
      <c r="F7" s="11">
        <f>F6+1</f>
        <v>1.2415458937198067</v>
      </c>
      <c r="G7" s="11">
        <f>Values!C36</f>
        <v>406797.02009192057</v>
      </c>
      <c r="H7" s="127"/>
      <c r="I7"/>
      <c r="J7"/>
      <c r="K7"/>
      <c r="L7"/>
    </row>
    <row r="8" spans="1:14" s="7" customFormat="1" ht="20.100000000000001" customHeight="1">
      <c r="A8" s="109">
        <v>8.9999999999999993E-3</v>
      </c>
      <c r="B8" s="110">
        <v>1775</v>
      </c>
      <c r="C8" s="401">
        <f t="shared" si="0"/>
        <v>1.7749999999999999</v>
      </c>
      <c r="F8" s="122"/>
      <c r="G8" s="122"/>
      <c r="I8"/>
      <c r="J8"/>
      <c r="K8"/>
      <c r="L8"/>
    </row>
    <row r="9" spans="1:14" s="7" customFormat="1" ht="20.100000000000001" customHeight="1" thickBot="1">
      <c r="A9" s="109">
        <v>1.4E-2</v>
      </c>
      <c r="B9" s="110">
        <v>2055</v>
      </c>
      <c r="C9" s="401">
        <f t="shared" si="0"/>
        <v>2.0550000000000002</v>
      </c>
      <c r="F9" s="122"/>
      <c r="G9" s="122"/>
      <c r="I9"/>
      <c r="J9"/>
      <c r="K9"/>
      <c r="L9"/>
    </row>
    <row r="10" spans="1:14" s="7" customFormat="1" ht="20.100000000000001" customHeight="1">
      <c r="A10" s="109">
        <v>1.9E-2</v>
      </c>
      <c r="B10" s="110">
        <v>2382</v>
      </c>
      <c r="C10" s="401">
        <f t="shared" si="0"/>
        <v>2.3820000000000001</v>
      </c>
      <c r="F10" s="112" t="s">
        <v>67</v>
      </c>
      <c r="G10" s="113" t="s">
        <v>283</v>
      </c>
      <c r="I10"/>
      <c r="J10"/>
      <c r="K10"/>
      <c r="L10"/>
    </row>
    <row r="11" spans="1:14" s="7" customFormat="1" ht="20.100000000000001" customHeight="1" thickBot="1">
      <c r="A11" s="109">
        <v>2.4E-2</v>
      </c>
      <c r="B11" s="110">
        <v>2726</v>
      </c>
      <c r="C11" s="401">
        <f t="shared" si="0"/>
        <v>2.726</v>
      </c>
      <c r="F11" s="236" t="s">
        <v>105</v>
      </c>
      <c r="G11" s="237"/>
      <c r="I11"/>
      <c r="J11"/>
      <c r="K11"/>
      <c r="L11"/>
    </row>
    <row r="12" spans="1:14" s="7" customFormat="1" ht="20.100000000000001" customHeight="1">
      <c r="A12" s="109">
        <v>0.03</v>
      </c>
      <c r="B12" s="110">
        <v>3116</v>
      </c>
      <c r="C12" s="401">
        <f t="shared" si="0"/>
        <v>3.1160000000000001</v>
      </c>
      <c r="F12" s="122"/>
      <c r="G12" s="122"/>
      <c r="I12"/>
      <c r="J12"/>
      <c r="K12"/>
      <c r="L12"/>
    </row>
    <row r="13" spans="1:14" s="7" customFormat="1" ht="20.100000000000001" customHeight="1">
      <c r="A13" s="109">
        <v>3.5999999999999997E-2</v>
      </c>
      <c r="B13" s="110">
        <v>3543</v>
      </c>
      <c r="C13" s="401">
        <f t="shared" si="0"/>
        <v>3.5430000000000001</v>
      </c>
      <c r="F13" s="122"/>
      <c r="G13" s="122"/>
      <c r="I13"/>
      <c r="J13"/>
      <c r="K13"/>
      <c r="L13"/>
    </row>
    <row r="14" spans="1:14" s="7" customFormat="1" ht="20.100000000000001" customHeight="1">
      <c r="A14" s="109">
        <v>4.3999999999999997E-2</v>
      </c>
      <c r="B14" s="110">
        <v>4007</v>
      </c>
      <c r="C14" s="401">
        <f t="shared" si="0"/>
        <v>4.0069999999999997</v>
      </c>
      <c r="F14" s="122"/>
      <c r="G14" s="122"/>
      <c r="I14"/>
      <c r="J14"/>
      <c r="K14"/>
      <c r="L14"/>
    </row>
    <row r="15" spans="1:14" s="7" customFormat="1" ht="20.100000000000001" customHeight="1">
      <c r="A15" s="109">
        <v>5.0999999999999997E-2</v>
      </c>
      <c r="B15" s="110">
        <v>4508</v>
      </c>
      <c r="C15" s="401">
        <f t="shared" si="0"/>
        <v>4.508</v>
      </c>
      <c r="F15" s="122"/>
      <c r="G15" s="122"/>
      <c r="I15"/>
      <c r="J15"/>
      <c r="K15"/>
      <c r="L15"/>
    </row>
    <row r="16" spans="1:14" s="7" customFormat="1" ht="20.100000000000001" customHeight="1">
      <c r="A16" s="109">
        <v>5.8999999999999997E-2</v>
      </c>
      <c r="B16" s="110">
        <v>5046</v>
      </c>
      <c r="C16" s="401">
        <f t="shared" si="0"/>
        <v>5.0460000000000003</v>
      </c>
      <c r="F16" s="122"/>
      <c r="G16" s="122"/>
      <c r="I16"/>
      <c r="J16"/>
      <c r="K16"/>
      <c r="L16"/>
    </row>
    <row r="17" spans="1:12" s="7" customFormat="1" ht="20.100000000000001" customHeight="1">
      <c r="A17" s="109">
        <v>6.8000000000000005E-2</v>
      </c>
      <c r="B17" s="110">
        <v>5621</v>
      </c>
      <c r="C17" s="401">
        <f t="shared" si="0"/>
        <v>5.6210000000000004</v>
      </c>
      <c r="F17" s="122"/>
      <c r="G17" s="122"/>
      <c r="I17"/>
      <c r="J17"/>
      <c r="K17"/>
      <c r="L17"/>
    </row>
    <row r="18" spans="1:12" s="7" customFormat="1" ht="20.100000000000001" customHeight="1">
      <c r="A18" s="109">
        <v>7.8E-2</v>
      </c>
      <c r="B18" s="110">
        <v>6232</v>
      </c>
      <c r="C18" s="401">
        <f t="shared" si="0"/>
        <v>6.2320000000000002</v>
      </c>
      <c r="F18" s="122"/>
      <c r="G18" s="122"/>
      <c r="I18"/>
      <c r="J18"/>
      <c r="K18"/>
      <c r="L18"/>
    </row>
    <row r="19" spans="1:12" s="7" customFormat="1" ht="20.100000000000001" customHeight="1">
      <c r="A19" s="109">
        <v>8.6999999999999994E-2</v>
      </c>
      <c r="B19" s="110">
        <v>6880</v>
      </c>
      <c r="C19" s="401">
        <f t="shared" si="0"/>
        <v>6.88</v>
      </c>
      <c r="F19" s="122"/>
      <c r="G19" s="122"/>
      <c r="I19"/>
      <c r="J19"/>
      <c r="K19"/>
      <c r="L19"/>
    </row>
    <row r="20" spans="1:12" s="7" customFormat="1" ht="20.100000000000001" customHeight="1">
      <c r="A20" s="109">
        <v>9.8000000000000004E-2</v>
      </c>
      <c r="B20" s="110">
        <v>7565</v>
      </c>
      <c r="C20" s="401">
        <f t="shared" si="0"/>
        <v>7.5650000000000004</v>
      </c>
      <c r="F20" s="122"/>
      <c r="G20" s="122"/>
      <c r="I20"/>
      <c r="J20"/>
      <c r="K20"/>
      <c r="L20"/>
    </row>
    <row r="21" spans="1:12" s="7" customFormat="1" ht="20.100000000000001" customHeight="1">
      <c r="A21" s="109">
        <v>0.109</v>
      </c>
      <c r="B21" s="110">
        <v>8287</v>
      </c>
      <c r="C21" s="401">
        <f t="shared" si="0"/>
        <v>8.2870000000000008</v>
      </c>
      <c r="F21" s="122"/>
      <c r="G21" s="122"/>
      <c r="I21"/>
      <c r="J21"/>
      <c r="K21"/>
      <c r="L21"/>
    </row>
    <row r="22" spans="1:12" s="7" customFormat="1" ht="20.100000000000001" customHeight="1">
      <c r="A22" s="109">
        <v>0.121</v>
      </c>
      <c r="B22" s="110">
        <v>9046</v>
      </c>
      <c r="C22" s="401">
        <f t="shared" si="0"/>
        <v>9.0459999999999994</v>
      </c>
      <c r="F22" s="122"/>
      <c r="G22" s="122"/>
      <c r="I22"/>
      <c r="J22"/>
      <c r="K22"/>
      <c r="L22"/>
    </row>
    <row r="23" spans="1:12" s="7" customFormat="1" ht="20.100000000000001" customHeight="1">
      <c r="A23" s="109">
        <v>0.13300000000000001</v>
      </c>
      <c r="B23" s="110">
        <v>9841</v>
      </c>
      <c r="C23" s="401">
        <f t="shared" si="0"/>
        <v>9.8409999999999993</v>
      </c>
      <c r="F23" s="122"/>
      <c r="G23" s="122"/>
      <c r="I23"/>
      <c r="J23"/>
      <c r="K23"/>
      <c r="L23"/>
    </row>
    <row r="24" spans="1:12" s="7" customFormat="1" ht="20.100000000000001" customHeight="1">
      <c r="A24" s="109">
        <v>0.14499999999999999</v>
      </c>
      <c r="B24" s="110">
        <v>10674</v>
      </c>
      <c r="C24" s="401">
        <f t="shared" si="0"/>
        <v>10.673999999999999</v>
      </c>
      <c r="F24" s="122"/>
      <c r="G24" s="122"/>
      <c r="I24"/>
      <c r="J24"/>
      <c r="K24"/>
      <c r="L24"/>
    </row>
    <row r="25" spans="1:12" s="7" customFormat="1" ht="20.100000000000001" customHeight="1">
      <c r="A25" s="109">
        <v>0.159</v>
      </c>
      <c r="B25" s="110">
        <v>11543</v>
      </c>
      <c r="C25" s="401">
        <f t="shared" si="0"/>
        <v>11.542999999999999</v>
      </c>
      <c r="F25" s="122"/>
      <c r="G25" s="122"/>
      <c r="I25"/>
      <c r="J25"/>
      <c r="K25"/>
      <c r="L25"/>
    </row>
    <row r="26" spans="1:12" s="7" customFormat="1" ht="20.100000000000001" customHeight="1">
      <c r="A26" s="109">
        <v>0.17299999999999999</v>
      </c>
      <c r="B26" s="110">
        <v>12449</v>
      </c>
      <c r="C26" s="401">
        <f t="shared" si="0"/>
        <v>12.449</v>
      </c>
      <c r="F26" s="122"/>
      <c r="G26" s="122"/>
      <c r="I26"/>
      <c r="J26"/>
      <c r="K26"/>
      <c r="L26"/>
    </row>
    <row r="27" spans="1:12" s="7" customFormat="1" ht="20.100000000000001" customHeight="1">
      <c r="A27" s="109">
        <v>0.187</v>
      </c>
      <c r="B27" s="110">
        <v>13391</v>
      </c>
      <c r="C27" s="401">
        <f t="shared" si="0"/>
        <v>13.391</v>
      </c>
      <c r="F27" s="122"/>
      <c r="G27" s="122"/>
      <c r="I27"/>
      <c r="J27"/>
      <c r="K27"/>
      <c r="L27"/>
    </row>
    <row r="28" spans="1:12" s="7" customFormat="1" ht="20.100000000000001" customHeight="1">
      <c r="A28" s="109">
        <v>0.20200000000000001</v>
      </c>
      <c r="B28" s="110">
        <v>14371</v>
      </c>
      <c r="C28" s="401">
        <f t="shared" si="0"/>
        <v>14.371</v>
      </c>
      <c r="F28" s="122"/>
      <c r="G28" s="122"/>
      <c r="I28"/>
      <c r="J28"/>
      <c r="K28"/>
      <c r="L28"/>
    </row>
    <row r="29" spans="1:12" s="7" customFormat="1" ht="20.100000000000001" customHeight="1">
      <c r="A29" s="109">
        <v>0.217</v>
      </c>
      <c r="B29" s="110">
        <v>15388</v>
      </c>
      <c r="C29" s="401">
        <f t="shared" si="0"/>
        <v>15.388</v>
      </c>
      <c r="F29" s="122"/>
      <c r="G29" s="122"/>
      <c r="I29"/>
      <c r="J29"/>
      <c r="K29"/>
      <c r="L29"/>
    </row>
    <row r="30" spans="1:12" s="7" customFormat="1" ht="20.100000000000001" customHeight="1">
      <c r="A30" s="109"/>
      <c r="B30" s="110"/>
      <c r="C30" s="401">
        <f t="shared" si="0"/>
        <v>0</v>
      </c>
      <c r="F30" s="122"/>
      <c r="G30" s="122"/>
      <c r="I30"/>
      <c r="J30"/>
      <c r="K30"/>
      <c r="L30"/>
    </row>
    <row r="31" spans="1:12" s="7" customFormat="1" ht="20.100000000000001" customHeight="1">
      <c r="A31" s="109"/>
      <c r="B31" s="110"/>
      <c r="C31" s="401">
        <f t="shared" si="0"/>
        <v>0</v>
      </c>
      <c r="F31" s="122"/>
      <c r="G31" s="122"/>
      <c r="I31"/>
      <c r="J31"/>
      <c r="K31"/>
      <c r="L31"/>
    </row>
    <row r="32" spans="1:12" s="7" customFormat="1" ht="20.100000000000001" customHeight="1">
      <c r="A32" s="109"/>
      <c r="B32" s="110"/>
      <c r="C32" s="401">
        <f t="shared" si="0"/>
        <v>0</v>
      </c>
      <c r="F32" s="122"/>
      <c r="G32" s="122"/>
      <c r="I32"/>
      <c r="J32"/>
      <c r="K32"/>
      <c r="L32"/>
    </row>
    <row r="33" spans="1:12" s="7" customFormat="1" ht="20.100000000000001" customHeight="1">
      <c r="A33" s="109"/>
      <c r="B33" s="110"/>
      <c r="C33" s="401">
        <f t="shared" si="0"/>
        <v>0</v>
      </c>
      <c r="F33" s="122"/>
      <c r="G33" s="122"/>
      <c r="I33"/>
      <c r="J33"/>
      <c r="K33"/>
      <c r="L33"/>
    </row>
    <row r="34" spans="1:12" s="7" customFormat="1" ht="20.100000000000001" customHeight="1">
      <c r="A34" s="109"/>
      <c r="B34" s="110"/>
      <c r="C34" s="401">
        <f t="shared" si="0"/>
        <v>0</v>
      </c>
      <c r="F34" s="122"/>
      <c r="G34" s="122"/>
      <c r="I34"/>
      <c r="J34"/>
      <c r="K34"/>
      <c r="L34"/>
    </row>
    <row r="35" spans="1:12" s="7" customFormat="1" ht="20.100000000000001" customHeight="1">
      <c r="A35" s="109"/>
      <c r="B35" s="110"/>
      <c r="C35" s="401">
        <f t="shared" si="0"/>
        <v>0</v>
      </c>
      <c r="F35" s="122"/>
      <c r="G35" s="122"/>
      <c r="I35"/>
      <c r="J35"/>
      <c r="K35"/>
      <c r="L35"/>
    </row>
    <row r="36" spans="1:12" s="7" customFormat="1" ht="20.100000000000001" customHeight="1">
      <c r="A36" s="109"/>
      <c r="B36" s="110"/>
      <c r="C36" s="401">
        <f t="shared" si="0"/>
        <v>0</v>
      </c>
      <c r="F36" s="122"/>
      <c r="G36" s="122"/>
      <c r="I36"/>
      <c r="J36"/>
      <c r="K36"/>
      <c r="L36"/>
    </row>
    <row r="37" spans="1:12" s="7" customFormat="1" ht="20.100000000000001" customHeight="1">
      <c r="A37" s="109"/>
      <c r="B37" s="110"/>
      <c r="C37" s="401">
        <f t="shared" si="0"/>
        <v>0</v>
      </c>
      <c r="F37" s="122"/>
      <c r="G37" s="122"/>
      <c r="I37"/>
      <c r="J37"/>
      <c r="K37"/>
      <c r="L37"/>
    </row>
    <row r="38" spans="1:12" s="7" customFormat="1" ht="20.100000000000001" customHeight="1">
      <c r="A38" s="109"/>
      <c r="B38" s="110"/>
      <c r="C38" s="401">
        <f t="shared" si="0"/>
        <v>0</v>
      </c>
      <c r="F38" s="122"/>
      <c r="G38" s="122"/>
      <c r="I38"/>
      <c r="J38"/>
      <c r="K38"/>
      <c r="L38"/>
    </row>
    <row r="39" spans="1:12" s="7" customFormat="1" ht="20.100000000000001" customHeight="1">
      <c r="A39" s="109"/>
      <c r="B39" s="110"/>
      <c r="C39" s="401">
        <f t="shared" si="0"/>
        <v>0</v>
      </c>
      <c r="F39" s="122"/>
      <c r="G39" s="122"/>
      <c r="I39"/>
      <c r="J39"/>
      <c r="K39"/>
      <c r="L39"/>
    </row>
    <row r="40" spans="1:12" s="7" customFormat="1" ht="20.100000000000001" customHeight="1">
      <c r="A40" s="109"/>
      <c r="B40" s="110"/>
      <c r="C40" s="401">
        <f t="shared" si="0"/>
        <v>0</v>
      </c>
      <c r="F40" s="122"/>
      <c r="G40" s="122"/>
      <c r="I40"/>
      <c r="J40"/>
      <c r="K40"/>
      <c r="L40"/>
    </row>
    <row r="41" spans="1:12" s="7" customFormat="1" ht="20.100000000000001" customHeight="1">
      <c r="A41" s="109"/>
      <c r="B41" s="110"/>
      <c r="C41" s="401">
        <f t="shared" si="0"/>
        <v>0</v>
      </c>
      <c r="F41" s="122"/>
      <c r="G41" s="122"/>
      <c r="I41"/>
      <c r="J41"/>
      <c r="K41"/>
      <c r="L41"/>
    </row>
    <row r="42" spans="1:12" s="7" customFormat="1" ht="20.100000000000001" customHeight="1">
      <c r="A42" s="109"/>
      <c r="B42" s="110"/>
      <c r="C42" s="401">
        <f t="shared" si="0"/>
        <v>0</v>
      </c>
      <c r="F42" s="122"/>
      <c r="G42" s="122"/>
      <c r="I42"/>
      <c r="J42"/>
      <c r="K42"/>
      <c r="L42"/>
    </row>
    <row r="43" spans="1:12" s="7" customFormat="1" ht="20.100000000000001" customHeight="1">
      <c r="A43" s="109"/>
      <c r="B43" s="110"/>
      <c r="C43" s="401">
        <f t="shared" si="0"/>
        <v>0</v>
      </c>
      <c r="F43" s="122"/>
      <c r="G43" s="122"/>
      <c r="I43"/>
      <c r="J43"/>
      <c r="K43"/>
      <c r="L43"/>
    </row>
    <row r="44" spans="1:12" s="7" customFormat="1" ht="20.100000000000001" customHeight="1">
      <c r="A44" s="114"/>
      <c r="B44" s="110"/>
      <c r="C44" s="401">
        <f t="shared" si="0"/>
        <v>0</v>
      </c>
      <c r="F44" s="123"/>
      <c r="G44" s="124"/>
      <c r="I44"/>
      <c r="J44"/>
      <c r="K44"/>
      <c r="L44"/>
    </row>
    <row r="45" spans="1:12" s="7" customFormat="1" ht="20.100000000000001" customHeight="1" thickBot="1">
      <c r="A45" s="115"/>
      <c r="B45" s="116"/>
      <c r="C45" s="402">
        <f t="shared" si="0"/>
        <v>0</v>
      </c>
      <c r="F45" s="125"/>
      <c r="G45" s="126"/>
      <c r="I45"/>
      <c r="J45"/>
      <c r="K45"/>
      <c r="L45"/>
    </row>
    <row r="46" spans="1:12" s="6" customFormat="1" ht="20.100000000000001" customHeight="1">
      <c r="A46" s="12"/>
      <c r="B46" s="13"/>
      <c r="C46" s="14"/>
      <c r="I46"/>
      <c r="J46"/>
      <c r="K46"/>
      <c r="L46"/>
    </row>
    <row r="47" spans="1:12" s="6" customFormat="1" ht="20.100000000000001" customHeight="1">
      <c r="A47" s="12"/>
      <c r="B47" s="13"/>
      <c r="C47" s="14"/>
      <c r="I47"/>
      <c r="J47"/>
      <c r="K47"/>
      <c r="L47"/>
    </row>
    <row r="48" spans="1:12" s="6" customFormat="1" ht="20.100000000000001" customHeight="1">
      <c r="A48" s="12"/>
      <c r="B48" s="13"/>
      <c r="C48" s="14"/>
      <c r="I48"/>
      <c r="J48"/>
      <c r="K48"/>
      <c r="L48"/>
    </row>
    <row r="49" spans="1:3" ht="20.100000000000001" customHeight="1">
      <c r="A49" s="15"/>
      <c r="B49" s="16"/>
      <c r="C49" s="17"/>
    </row>
    <row r="50" spans="1:3" ht="20.100000000000001" customHeight="1">
      <c r="A50" s="5"/>
      <c r="B50" s="5"/>
    </row>
    <row r="51" spans="1:3" ht="20.100000000000001" customHeight="1">
      <c r="A51" s="5"/>
      <c r="B51" s="5"/>
    </row>
    <row r="52" spans="1:3" ht="20.100000000000001" customHeight="1">
      <c r="A52" s="5"/>
      <c r="B52" s="5"/>
    </row>
  </sheetData>
  <mergeCells count="6">
    <mergeCell ref="A3:C3"/>
    <mergeCell ref="F3:G3"/>
    <mergeCell ref="A1:D1"/>
    <mergeCell ref="F1:G1"/>
    <mergeCell ref="A2:B2"/>
    <mergeCell ref="F2:G2"/>
  </mergeCells>
  <conditionalFormatting sqref="D6:D9 D16:D43">
    <cfRule type="cellIs" dxfId="34" priority="12" operator="equal">
      <formula>"ok"</formula>
    </cfRule>
    <cfRule type="cellIs" dxfId="33" priority="13" operator="equal">
      <formula>"KO"</formula>
    </cfRule>
  </conditionalFormatting>
  <conditionalFormatting sqref="D10">
    <cfRule type="cellIs" dxfId="32" priority="10" operator="equal">
      <formula>"ok"</formula>
    </cfRule>
    <cfRule type="cellIs" dxfId="31" priority="11" operator="equal">
      <formula>"KO"</formula>
    </cfRule>
  </conditionalFormatting>
  <conditionalFormatting sqref="D13:D15">
    <cfRule type="cellIs" dxfId="30" priority="4" operator="equal">
      <formula>"ok"</formula>
    </cfRule>
    <cfRule type="cellIs" dxfId="29" priority="5" operator="equal">
      <formula>"KO"</formula>
    </cfRule>
  </conditionalFormatting>
  <conditionalFormatting sqref="D11">
    <cfRule type="cellIs" dxfId="28" priority="8" operator="equal">
      <formula>"ok"</formula>
    </cfRule>
    <cfRule type="cellIs" dxfId="27" priority="9" operator="equal">
      <formula>"KO"</formula>
    </cfRule>
  </conditionalFormatting>
  <conditionalFormatting sqref="D12">
    <cfRule type="cellIs" dxfId="26" priority="6" operator="equal">
      <formula>"ok"</formula>
    </cfRule>
    <cfRule type="cellIs" dxfId="25" priority="7" operator="equal">
      <formula>"KO"</formula>
    </cfRule>
  </conditionalFormatting>
  <conditionalFormatting sqref="F11:G11">
    <cfRule type="cellIs" dxfId="24" priority="2" operator="equal">
      <formula>"ok"</formula>
    </cfRule>
    <cfRule type="cellIs" dxfId="23" priority="3" operator="equal">
      <formula>"KO"</formula>
    </cfRule>
  </conditionalFormatting>
  <conditionalFormatting sqref="F11">
    <cfRule type="cellIs" dxfId="22" priority="1" operator="equal">
      <formula>"not ok"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N114"/>
  <sheetViews>
    <sheetView topLeftCell="A10" workbookViewId="0">
      <selection activeCell="C28" sqref="C28"/>
    </sheetView>
  </sheetViews>
  <sheetFormatPr defaultColWidth="9.140625" defaultRowHeight="11.45"/>
  <cols>
    <col min="1" max="1" width="16" style="22" bestFit="1" customWidth="1"/>
    <col min="2" max="2" width="5.5703125" style="22" customWidth="1"/>
    <col min="3" max="3" width="44.85546875" style="22" customWidth="1"/>
    <col min="4" max="4" width="6.28515625" style="22" customWidth="1"/>
    <col min="5" max="5" width="23.140625" style="22" customWidth="1"/>
    <col min="6" max="6" width="10.85546875" style="22" bestFit="1" customWidth="1"/>
    <col min="7" max="7" width="23.42578125" style="22" customWidth="1"/>
    <col min="8" max="8" width="14.7109375" style="22" customWidth="1"/>
    <col min="9" max="9" width="36.7109375" style="18" bestFit="1" customWidth="1"/>
    <col min="10" max="10" width="9.140625" style="169"/>
    <col min="11" max="11" width="7.28515625" style="18" customWidth="1"/>
    <col min="12" max="13" width="8" style="18" customWidth="1"/>
    <col min="14" max="16384" width="9.140625" style="18"/>
  </cols>
  <sheetData>
    <row r="2" spans="1:14" ht="12" thickBot="1">
      <c r="A2" s="18"/>
      <c r="B2" s="18"/>
      <c r="C2" s="18"/>
      <c r="D2" s="18"/>
      <c r="E2" s="18"/>
      <c r="F2" s="18"/>
      <c r="G2" s="18"/>
      <c r="H2" s="18"/>
    </row>
    <row r="3" spans="1:14">
      <c r="A3" s="19" t="s">
        <v>329</v>
      </c>
      <c r="B3" s="20" t="s">
        <v>330</v>
      </c>
      <c r="C3" s="19"/>
      <c r="D3" s="20" t="s">
        <v>331</v>
      </c>
      <c r="E3" s="21"/>
      <c r="F3" s="19" t="s">
        <v>332</v>
      </c>
      <c r="G3" s="19" t="s">
        <v>333</v>
      </c>
      <c r="H3" s="19" t="s">
        <v>334</v>
      </c>
      <c r="I3" s="20"/>
    </row>
    <row r="4" spans="1:14">
      <c r="A4" s="91" t="s">
        <v>335</v>
      </c>
      <c r="B4" s="92" t="s">
        <v>336</v>
      </c>
      <c r="C4" s="91" t="s">
        <v>330</v>
      </c>
      <c r="D4" s="92" t="s">
        <v>336</v>
      </c>
      <c r="E4" s="91" t="s">
        <v>337</v>
      </c>
      <c r="F4" s="91" t="s">
        <v>335</v>
      </c>
      <c r="G4" s="91" t="s">
        <v>2</v>
      </c>
      <c r="H4" s="91" t="s">
        <v>338</v>
      </c>
      <c r="I4" s="92" t="s">
        <v>339</v>
      </c>
    </row>
    <row r="5" spans="1:14">
      <c r="A5" s="93"/>
      <c r="B5" s="94"/>
      <c r="C5" s="94"/>
      <c r="D5" s="94"/>
      <c r="E5" s="95" t="str">
        <f>CONCATENATE("Load ",Results!H13,".sim")</f>
        <v>Load Estatico.sim</v>
      </c>
      <c r="F5" s="94"/>
      <c r="G5" s="94"/>
      <c r="H5" s="94"/>
      <c r="I5" s="96"/>
    </row>
    <row r="6" spans="1:14" ht="12.6">
      <c r="A6" s="97" t="s">
        <v>109</v>
      </c>
      <c r="B6" s="22" t="s">
        <v>340</v>
      </c>
      <c r="C6" s="22" t="str">
        <f>CONCATENATE(I6," - ",F6)</f>
        <v>Bend Radius - Stiffener1</v>
      </c>
      <c r="D6" s="22" t="s">
        <v>341</v>
      </c>
      <c r="E6" s="22" t="s">
        <v>342</v>
      </c>
      <c r="F6" s="22" t="str">
        <f>Results!$H$10</f>
        <v>Stiffener1</v>
      </c>
      <c r="H6" s="22" t="s">
        <v>343</v>
      </c>
      <c r="I6" s="98" t="s">
        <v>344</v>
      </c>
      <c r="J6"/>
      <c r="K6"/>
      <c r="L6"/>
      <c r="M6"/>
      <c r="N6"/>
    </row>
    <row r="7" spans="1:14" ht="12.6">
      <c r="A7" s="97" t="s">
        <v>109</v>
      </c>
      <c r="B7" s="22" t="s">
        <v>345</v>
      </c>
      <c r="C7" s="22" t="str">
        <f>CONCATENATE(I7," - ",F7)</f>
        <v>Bend Radius - Line</v>
      </c>
      <c r="D7" s="22" t="s">
        <v>346</v>
      </c>
      <c r="E7" s="22" t="s">
        <v>342</v>
      </c>
      <c r="F7" s="22" t="str">
        <f>Results!$H$9</f>
        <v>Line</v>
      </c>
      <c r="H7" s="22" t="s">
        <v>343</v>
      </c>
      <c r="I7" s="98" t="s">
        <v>344</v>
      </c>
      <c r="J7"/>
      <c r="K7"/>
      <c r="L7"/>
      <c r="M7"/>
      <c r="N7"/>
    </row>
    <row r="8" spans="1:14" ht="12.6">
      <c r="A8" s="97" t="s">
        <v>109</v>
      </c>
      <c r="B8" s="22" t="s">
        <v>347</v>
      </c>
      <c r="C8" s="22" t="str">
        <f>CONCATENATE(I8," - ",F8)</f>
        <v>Vertical Seabed Clearance - Line</v>
      </c>
      <c r="D8" s="22" t="s">
        <v>348</v>
      </c>
      <c r="E8" s="22" t="s">
        <v>342</v>
      </c>
      <c r="F8" s="22" t="str">
        <f>Results!$H$9</f>
        <v>Line</v>
      </c>
      <c r="H8" s="22" t="s">
        <v>343</v>
      </c>
      <c r="I8" s="98" t="s">
        <v>349</v>
      </c>
      <c r="J8"/>
      <c r="K8"/>
      <c r="L8"/>
      <c r="M8"/>
      <c r="N8"/>
    </row>
    <row r="9" spans="1:14" ht="12.6">
      <c r="A9" s="97" t="s">
        <v>109</v>
      </c>
      <c r="B9" s="22" t="s">
        <v>350</v>
      </c>
      <c r="C9" s="22" t="str">
        <f>CONCATENATE(I9," - ",F9)</f>
        <v>Vertical Seabed Clearance - Stiffener1</v>
      </c>
      <c r="D9" s="22" t="s">
        <v>351</v>
      </c>
      <c r="E9" s="22" t="s">
        <v>342</v>
      </c>
      <c r="F9" s="22" t="str">
        <f>Results!$H$10</f>
        <v>Stiffener1</v>
      </c>
      <c r="H9" s="22" t="s">
        <v>343</v>
      </c>
      <c r="I9" s="98" t="s">
        <v>349</v>
      </c>
      <c r="J9"/>
      <c r="K9"/>
      <c r="L9"/>
      <c r="M9"/>
      <c r="N9"/>
    </row>
    <row r="10" spans="1:14" ht="12.6">
      <c r="A10" s="97" t="s">
        <v>109</v>
      </c>
      <c r="B10" s="22" t="s">
        <v>352</v>
      </c>
      <c r="C10" s="22" t="str">
        <f>CONCATENATE(I10," - ",F10)</f>
        <v>Depth - Environment</v>
      </c>
      <c r="D10" s="22" t="s">
        <v>353</v>
      </c>
      <c r="E10" s="22" t="s">
        <v>354</v>
      </c>
      <c r="F10" s="22" t="s">
        <v>355</v>
      </c>
      <c r="I10" s="98" t="s">
        <v>356</v>
      </c>
      <c r="J10"/>
      <c r="K10"/>
      <c r="L10"/>
      <c r="M10"/>
      <c r="N10"/>
    </row>
    <row r="11" spans="1:14" ht="12.6">
      <c r="A11" s="97" t="s">
        <v>109</v>
      </c>
      <c r="B11" s="22" t="s">
        <v>357</v>
      </c>
      <c r="C11" s="22" t="str">
        <f>CONCATENATE(I11," - ",F11," - ",G11)</f>
        <v>Z - Line - End B</v>
      </c>
      <c r="D11" s="22" t="s">
        <v>358</v>
      </c>
      <c r="E11" s="22" t="s">
        <v>359</v>
      </c>
      <c r="F11" s="22" t="str">
        <f>Results!$H$9</f>
        <v>Line</v>
      </c>
      <c r="G11" s="22" t="s">
        <v>360</v>
      </c>
      <c r="I11" s="98" t="s">
        <v>361</v>
      </c>
      <c r="J11"/>
      <c r="K11"/>
      <c r="L11"/>
      <c r="M11"/>
      <c r="N11"/>
    </row>
    <row r="12" spans="1:14" ht="12.6">
      <c r="A12" s="97" t="s">
        <v>109</v>
      </c>
      <c r="B12" s="22" t="s">
        <v>255</v>
      </c>
      <c r="C12" s="22" t="str">
        <f>CONCATENATE(I12," - ",F12)</f>
        <v>Rotation 2 - P7000048060</v>
      </c>
      <c r="D12" s="22" t="s">
        <v>362</v>
      </c>
      <c r="E12" s="22" t="s">
        <v>359</v>
      </c>
      <c r="F12" s="22" t="str">
        <f>Results!H11</f>
        <v>P7000048060</v>
      </c>
      <c r="I12" s="98" t="s">
        <v>363</v>
      </c>
      <c r="J12"/>
      <c r="K12"/>
      <c r="L12"/>
      <c r="M12"/>
      <c r="N12"/>
    </row>
    <row r="13" spans="1:14" ht="12.6">
      <c r="A13" s="97" t="s">
        <v>109</v>
      </c>
      <c r="B13" s="22" t="s">
        <v>364</v>
      </c>
      <c r="C13" s="22" t="str">
        <f>CONCATENATE(I13," - ",F13," - ",G13)</f>
        <v>End Ex-Force - Line - End B</v>
      </c>
      <c r="D13" s="22" t="s">
        <v>365</v>
      </c>
      <c r="E13" s="22" t="s">
        <v>359</v>
      </c>
      <c r="F13" s="22" t="str">
        <f>Results!$H$9</f>
        <v>Line</v>
      </c>
      <c r="G13" s="22" t="s">
        <v>360</v>
      </c>
      <c r="I13" s="98" t="s">
        <v>366</v>
      </c>
      <c r="J13"/>
      <c r="K13"/>
      <c r="L13"/>
      <c r="M13"/>
      <c r="N13"/>
    </row>
    <row r="14" spans="1:14" ht="12.6">
      <c r="A14" s="97" t="s">
        <v>109</v>
      </c>
      <c r="B14" s="22" t="s">
        <v>367</v>
      </c>
      <c r="C14" s="22" t="str">
        <f>CONCATENATE(I14," - ",F14," - ",G14)</f>
        <v>End Ez-Force - Line - End B</v>
      </c>
      <c r="D14" s="22" t="s">
        <v>368</v>
      </c>
      <c r="E14" s="22" t="s">
        <v>359</v>
      </c>
      <c r="F14" s="22" t="str">
        <f>Results!$H$9</f>
        <v>Line</v>
      </c>
      <c r="G14" s="22" t="s">
        <v>360</v>
      </c>
      <c r="I14" s="98" t="s">
        <v>369</v>
      </c>
      <c r="J14"/>
      <c r="K14"/>
      <c r="L14"/>
      <c r="M14"/>
      <c r="N14"/>
    </row>
    <row r="15" spans="1:14" ht="12.6">
      <c r="A15" s="97" t="s">
        <v>109</v>
      </c>
      <c r="B15" s="22" t="s">
        <v>370</v>
      </c>
      <c r="C15" s="22" t="str">
        <f>CONCATENATE(I15," - ",F15," - ",G15)</f>
        <v>End Ey-Moment - Line - End B</v>
      </c>
      <c r="D15" s="22" t="s">
        <v>371</v>
      </c>
      <c r="E15" s="22" t="s">
        <v>359</v>
      </c>
      <c r="F15" s="22" t="str">
        <f>Results!$H$9</f>
        <v>Line</v>
      </c>
      <c r="G15" s="22" t="s">
        <v>360</v>
      </c>
      <c r="I15" s="98" t="s">
        <v>372</v>
      </c>
      <c r="J15"/>
      <c r="K15"/>
      <c r="L15"/>
      <c r="M15"/>
      <c r="N15"/>
    </row>
    <row r="16" spans="1:14" ht="12.6">
      <c r="A16" s="97" t="s">
        <v>373</v>
      </c>
      <c r="B16" s="22" t="s">
        <v>374</v>
      </c>
      <c r="C16" s="22" t="str">
        <f t="shared" ref="C16:C21" si="0">_xlfn.CONCAT(I16," - ",F16)</f>
        <v>X - Line</v>
      </c>
      <c r="D16" s="22" t="s">
        <v>158</v>
      </c>
      <c r="E16" s="22" t="s">
        <v>375</v>
      </c>
      <c r="F16" s="22" t="str">
        <f>Results!$H$9</f>
        <v>Line</v>
      </c>
      <c r="H16" s="22" t="s">
        <v>343</v>
      </c>
      <c r="I16" s="98" t="s">
        <v>376</v>
      </c>
      <c r="J16"/>
      <c r="K16"/>
      <c r="L16"/>
      <c r="M16"/>
      <c r="N16"/>
    </row>
    <row r="17" spans="1:14" ht="12.6">
      <c r="A17" s="97" t="s">
        <v>373</v>
      </c>
      <c r="B17" s="22" t="s">
        <v>377</v>
      </c>
      <c r="C17" s="22" t="str">
        <f t="shared" si="0"/>
        <v>Z - Line</v>
      </c>
      <c r="D17" s="22" t="s">
        <v>378</v>
      </c>
      <c r="E17" s="22" t="s">
        <v>375</v>
      </c>
      <c r="F17" s="22" t="str">
        <f>Results!$H$9</f>
        <v>Line</v>
      </c>
      <c r="H17" s="22" t="s">
        <v>343</v>
      </c>
      <c r="I17" s="98" t="s">
        <v>361</v>
      </c>
      <c r="J17"/>
      <c r="K17"/>
      <c r="L17"/>
      <c r="M17"/>
      <c r="N17"/>
    </row>
    <row r="18" spans="1:14" ht="12.6">
      <c r="A18" s="97" t="s">
        <v>373</v>
      </c>
      <c r="B18" s="22" t="s">
        <v>379</v>
      </c>
      <c r="C18" s="22" t="str">
        <f t="shared" si="0"/>
        <v>Vertical Seabed Clearance - Line</v>
      </c>
      <c r="D18" s="22" t="s">
        <v>380</v>
      </c>
      <c r="E18" s="22" t="s">
        <v>375</v>
      </c>
      <c r="F18" s="22" t="str">
        <f>Results!$H$9</f>
        <v>Line</v>
      </c>
      <c r="H18" s="22" t="s">
        <v>343</v>
      </c>
      <c r="I18" s="98" t="s">
        <v>349</v>
      </c>
      <c r="J18"/>
      <c r="K18"/>
      <c r="L18"/>
      <c r="M18"/>
      <c r="N18"/>
    </row>
    <row r="19" spans="1:14" ht="12.6">
      <c r="A19" s="97" t="s">
        <v>373</v>
      </c>
      <c r="B19" s="22" t="s">
        <v>381</v>
      </c>
      <c r="C19" s="22" t="str">
        <f t="shared" si="0"/>
        <v>Vertical Seabed Clearance - Stiffener1</v>
      </c>
      <c r="D19" s="22" t="s">
        <v>382</v>
      </c>
      <c r="E19" s="22" t="s">
        <v>375</v>
      </c>
      <c r="F19" s="22" t="str">
        <f>Results!$H$10</f>
        <v>Stiffener1</v>
      </c>
      <c r="H19" s="22" t="s">
        <v>343</v>
      </c>
      <c r="I19" s="98" t="s">
        <v>349</v>
      </c>
      <c r="J19"/>
      <c r="K19"/>
      <c r="L19"/>
      <c r="M19"/>
      <c r="N19"/>
    </row>
    <row r="20" spans="1:14" ht="12.6">
      <c r="A20" s="97" t="s">
        <v>373</v>
      </c>
      <c r="B20" s="22" t="s">
        <v>383</v>
      </c>
      <c r="C20" s="22" t="str">
        <f t="shared" si="0"/>
        <v>Declination - Line</v>
      </c>
      <c r="D20" s="22" t="s">
        <v>384</v>
      </c>
      <c r="E20" s="22" t="s">
        <v>375</v>
      </c>
      <c r="F20" s="22" t="str">
        <f>Results!$H$9</f>
        <v>Line</v>
      </c>
      <c r="H20" s="22" t="s">
        <v>343</v>
      </c>
      <c r="I20" s="98" t="s">
        <v>385</v>
      </c>
      <c r="J20"/>
      <c r="K20"/>
      <c r="L20"/>
      <c r="M20"/>
      <c r="N20"/>
    </row>
    <row r="21" spans="1:14" ht="12.6">
      <c r="A21" s="97" t="s">
        <v>109</v>
      </c>
      <c r="B21" s="22" t="s">
        <v>386</v>
      </c>
      <c r="C21" s="22" t="str">
        <f t="shared" si="0"/>
        <v>Bend Moment - Stiffener1</v>
      </c>
      <c r="D21" s="22" t="s">
        <v>387</v>
      </c>
      <c r="E21" s="22" t="s">
        <v>388</v>
      </c>
      <c r="F21" s="22" t="str">
        <f>Results!$H$10</f>
        <v>Stiffener1</v>
      </c>
      <c r="H21" s="22" t="s">
        <v>343</v>
      </c>
      <c r="I21" s="98" t="s">
        <v>389</v>
      </c>
      <c r="J21"/>
      <c r="K21"/>
      <c r="L21"/>
      <c r="M21"/>
      <c r="N21"/>
    </row>
    <row r="22" spans="1:14" ht="12.6">
      <c r="A22" s="423" t="s">
        <v>109</v>
      </c>
      <c r="B22" s="423" t="s">
        <v>390</v>
      </c>
      <c r="C22" s="22" t="str">
        <f>_xlfn.CONCAT(I22," - ",F22)</f>
        <v>Shear Force - Stiffener1</v>
      </c>
      <c r="D22" s="423" t="s">
        <v>391</v>
      </c>
      <c r="E22" s="22" t="s">
        <v>388</v>
      </c>
      <c r="F22" s="22" t="str">
        <f>Results!$H$10</f>
        <v>Stiffener1</v>
      </c>
      <c r="G22" s="423"/>
      <c r="H22" s="22" t="s">
        <v>343</v>
      </c>
      <c r="I22" s="98" t="s">
        <v>392</v>
      </c>
      <c r="J22"/>
      <c r="K22"/>
      <c r="L22"/>
      <c r="M22"/>
      <c r="N22"/>
    </row>
    <row r="23" spans="1:14" ht="12.6">
      <c r="A23" s="99"/>
      <c r="B23" s="100"/>
      <c r="C23" s="100"/>
      <c r="D23" s="100"/>
      <c r="E23" s="101" t="str">
        <f>CONCATENATE("Load ",Results!H14,".sim")</f>
        <v>Load Dinamico.sim</v>
      </c>
      <c r="F23" s="100"/>
      <c r="G23" s="100"/>
      <c r="H23" s="100"/>
      <c r="I23" s="102"/>
      <c r="J23"/>
      <c r="K23"/>
      <c r="L23"/>
      <c r="M23"/>
      <c r="N23"/>
    </row>
    <row r="24" spans="1:14" ht="12.6">
      <c r="A24" s="97" t="s">
        <v>109</v>
      </c>
      <c r="B24" s="22" t="s">
        <v>393</v>
      </c>
      <c r="C24" s="22" t="str">
        <f>CONCATENATE(I24," - ",F24)</f>
        <v>StageValue[3] - A/R</v>
      </c>
      <c r="D24" s="22" t="s">
        <v>394</v>
      </c>
      <c r="E24" s="22" t="s">
        <v>354</v>
      </c>
      <c r="F24" s="22" t="str">
        <f>Results!$H$12</f>
        <v>A/R</v>
      </c>
      <c r="I24" s="98" t="s">
        <v>395</v>
      </c>
      <c r="J24"/>
      <c r="K24"/>
      <c r="L24"/>
      <c r="M24"/>
      <c r="N24"/>
    </row>
    <row r="25" spans="1:14" ht="12.6">
      <c r="A25" s="97" t="s">
        <v>109</v>
      </c>
      <c r="B25" s="22" t="s">
        <v>396</v>
      </c>
      <c r="C25" s="22" t="str">
        <f>CONCATENATE(I25," - ",F25)</f>
        <v>Bend Radius - Stiffener1</v>
      </c>
      <c r="D25" s="22" t="s">
        <v>397</v>
      </c>
      <c r="E25" s="22" t="s">
        <v>342</v>
      </c>
      <c r="F25" s="22" t="str">
        <f>Results!$H$10</f>
        <v>Stiffener1</v>
      </c>
      <c r="H25" s="22" t="s">
        <v>398</v>
      </c>
      <c r="I25" s="98" t="s">
        <v>344</v>
      </c>
      <c r="J25"/>
      <c r="K25"/>
      <c r="L25"/>
      <c r="M25"/>
      <c r="N25"/>
    </row>
    <row r="26" spans="1:14" ht="12.6">
      <c r="A26" s="97" t="s">
        <v>109</v>
      </c>
      <c r="B26" s="22" t="s">
        <v>399</v>
      </c>
      <c r="C26" s="22" t="str">
        <f>CONCATENATE(I26," - ",F26)</f>
        <v>Bend Radius - Line</v>
      </c>
      <c r="D26" s="22" t="s">
        <v>400</v>
      </c>
      <c r="E26" s="22" t="s">
        <v>342</v>
      </c>
      <c r="F26" s="22" t="str">
        <f>Results!$H$9</f>
        <v>Line</v>
      </c>
      <c r="H26" s="22" t="s">
        <v>398</v>
      </c>
      <c r="I26" s="98" t="s">
        <v>344</v>
      </c>
      <c r="J26"/>
      <c r="K26"/>
      <c r="L26"/>
      <c r="M26"/>
      <c r="N26"/>
    </row>
    <row r="27" spans="1:14" ht="12.6">
      <c r="A27" s="97" t="s">
        <v>109</v>
      </c>
      <c r="B27" s="22" t="s">
        <v>401</v>
      </c>
      <c r="C27" s="22" t="str">
        <f>CONCATENATE(I27," - ",F27)</f>
        <v>NumberOfAttachments - Line</v>
      </c>
      <c r="D27" s="22" t="s">
        <v>402</v>
      </c>
      <c r="E27" s="22" t="s">
        <v>354</v>
      </c>
      <c r="F27" s="22" t="str">
        <f>Results!$H$9</f>
        <v>Line</v>
      </c>
      <c r="I27" s="98" t="s">
        <v>403</v>
      </c>
      <c r="J27" s="212">
        <f>Results!B30</f>
        <v>5</v>
      </c>
      <c r="K27"/>
      <c r="L27"/>
      <c r="M27"/>
      <c r="N27"/>
    </row>
    <row r="28" spans="1:14" ht="12.6">
      <c r="A28" s="97" t="s">
        <v>404</v>
      </c>
      <c r="B28" s="22" t="s">
        <v>405</v>
      </c>
      <c r="C28" s="22" t="str">
        <f>CONCATENATE(E28," - ",F28," - ",G28," - ",H28," - ",I28)</f>
        <v>Linked Statistics - Line - End B - 0 to 32 - End Ex-Force,End Ez-Force,End Ey-Moment</v>
      </c>
      <c r="D28" s="22" t="s">
        <v>406</v>
      </c>
      <c r="E28" s="22" t="s">
        <v>407</v>
      </c>
      <c r="F28" s="22" t="str">
        <f>Results!$H$9</f>
        <v>Line</v>
      </c>
      <c r="G28" s="22" t="s">
        <v>360</v>
      </c>
      <c r="H28" s="22" t="s">
        <v>398</v>
      </c>
      <c r="I28" s="98" t="s">
        <v>408</v>
      </c>
      <c r="J28"/>
      <c r="K28"/>
      <c r="L28"/>
      <c r="M28"/>
      <c r="N28"/>
    </row>
    <row r="29" spans="1:14" ht="12.6">
      <c r="A29" s="97" t="s">
        <v>409</v>
      </c>
      <c r="B29" s="22" t="s">
        <v>352</v>
      </c>
      <c r="C29" s="22" t="str">
        <f>CONCATENATE(E29," - ",F29," - ",G29," - ",H29," - ",I29)</f>
        <v>Time History - Line - Touchdown - Whole Simulation - Arc Length</v>
      </c>
      <c r="D29" s="22" t="s">
        <v>357</v>
      </c>
      <c r="E29" s="22" t="s">
        <v>410</v>
      </c>
      <c r="F29" s="22" t="str">
        <f>Results!$H$9</f>
        <v>Line</v>
      </c>
      <c r="G29" s="22" t="s">
        <v>411</v>
      </c>
      <c r="H29" s="22" t="s">
        <v>412</v>
      </c>
      <c r="I29" s="98" t="s">
        <v>413</v>
      </c>
      <c r="J29"/>
      <c r="K29"/>
      <c r="L29"/>
      <c r="M29"/>
      <c r="N29"/>
    </row>
    <row r="30" spans="1:14" ht="12.6">
      <c r="A30" s="97" t="s">
        <v>409</v>
      </c>
      <c r="B30" s="22" t="s">
        <v>353</v>
      </c>
      <c r="C30" s="22" t="str">
        <f>CONCATENATE(E30," - ",F30," - ",G30," - ",H30," - ",I30)</f>
        <v>Time History - Stiffener1 - Touchdown - Whole Simulation - Arc Length</v>
      </c>
      <c r="D30" s="22" t="s">
        <v>358</v>
      </c>
      <c r="E30" s="22" t="s">
        <v>410</v>
      </c>
      <c r="F30" s="22" t="str">
        <f>Results!$H$10</f>
        <v>Stiffener1</v>
      </c>
      <c r="G30" s="22" t="s">
        <v>411</v>
      </c>
      <c r="H30" s="22" t="s">
        <v>412</v>
      </c>
      <c r="I30" s="98" t="s">
        <v>413</v>
      </c>
      <c r="J30"/>
      <c r="K30"/>
      <c r="L30"/>
      <c r="M30"/>
      <c r="N30"/>
    </row>
    <row r="31" spans="1:14" ht="12.6">
      <c r="A31" s="97" t="s">
        <v>409</v>
      </c>
      <c r="B31" s="22" t="s">
        <v>414</v>
      </c>
      <c r="C31" s="22" t="str">
        <f>CONCATENATE(E31," - ",H31,)</f>
        <v>Sample Times - Whole Simulation</v>
      </c>
      <c r="D31" s="22" t="s">
        <v>184</v>
      </c>
      <c r="E31" s="22" t="s">
        <v>415</v>
      </c>
      <c r="H31" s="22" t="s">
        <v>412</v>
      </c>
      <c r="I31" s="98"/>
      <c r="J31"/>
      <c r="K31"/>
      <c r="L31"/>
      <c r="M31"/>
      <c r="N31"/>
    </row>
    <row r="32" spans="1:14" ht="12.6">
      <c r="A32" s="97" t="s">
        <v>409</v>
      </c>
      <c r="B32" s="22" t="s">
        <v>416</v>
      </c>
      <c r="C32" s="22" t="str">
        <f>CONCATENATE(E32," - ",F32," - ",G32," - ",H32," - ",I32)</f>
        <v>Linked Statistics - Line - End B - 41,899 to 41,901 - End Ex-Force,End Ez-Force,End Ey-Moment</v>
      </c>
      <c r="D32" s="22" t="s">
        <v>417</v>
      </c>
      <c r="E32" s="22" t="s">
        <v>407</v>
      </c>
      <c r="F32" s="22" t="str">
        <f>Results!$H$9</f>
        <v>Line</v>
      </c>
      <c r="G32" s="22" t="s">
        <v>360</v>
      </c>
      <c r="H32" s="22" t="str">
        <f>_xlfn.CONCAT(Auxiliar!G19-0.001," to ",Auxiliar!G19+0.001)</f>
        <v>41,899 to 41,901</v>
      </c>
      <c r="I32" s="98" t="s">
        <v>408</v>
      </c>
      <c r="J32"/>
      <c r="K32"/>
      <c r="L32"/>
      <c r="M32"/>
      <c r="N32"/>
    </row>
    <row r="33" spans="1:14" ht="12.6">
      <c r="A33" s="97" t="s">
        <v>109</v>
      </c>
      <c r="B33" s="22" t="s">
        <v>418</v>
      </c>
      <c r="C33" s="22" t="str">
        <f>_xlfn.CONCAT(I33," - ",F33)</f>
        <v>Bend Moment - Stiffener1</v>
      </c>
      <c r="D33" s="22" t="s">
        <v>419</v>
      </c>
      <c r="E33" s="22" t="s">
        <v>388</v>
      </c>
      <c r="F33" s="22" t="str">
        <f>Results!$H$10</f>
        <v>Stiffener1</v>
      </c>
      <c r="H33" s="22" t="s">
        <v>412</v>
      </c>
      <c r="I33" s="98" t="s">
        <v>389</v>
      </c>
      <c r="J33"/>
      <c r="K33"/>
      <c r="L33"/>
      <c r="M33"/>
      <c r="N33"/>
    </row>
    <row r="34" spans="1:14" ht="12.6">
      <c r="A34" s="97" t="s">
        <v>109</v>
      </c>
      <c r="B34" s="22" t="s">
        <v>420</v>
      </c>
      <c r="C34" s="22" t="str">
        <f>_xlfn.CONCAT(I34," - ",F34)</f>
        <v>Shear Force - Stiffener1</v>
      </c>
      <c r="D34" s="22" t="s">
        <v>421</v>
      </c>
      <c r="E34" s="22" t="s">
        <v>388</v>
      </c>
      <c r="F34" s="22" t="str">
        <f>Results!$H$10</f>
        <v>Stiffener1</v>
      </c>
      <c r="H34" s="22" t="s">
        <v>412</v>
      </c>
      <c r="I34" s="98" t="s">
        <v>392</v>
      </c>
      <c r="J34"/>
      <c r="K34"/>
      <c r="L34"/>
      <c r="M34"/>
      <c r="N34"/>
    </row>
    <row r="35" spans="1:14" ht="12.6">
      <c r="A35" s="99"/>
      <c r="B35" s="100"/>
      <c r="C35" s="100"/>
      <c r="D35" s="100"/>
      <c r="E35" s="101" t="str">
        <f>CONCATENATE("Load ",Results!H15,".sim")</f>
        <v>Load Cont1.sim</v>
      </c>
      <c r="F35" s="100"/>
      <c r="G35" s="100"/>
      <c r="H35" s="100"/>
      <c r="I35" s="102"/>
      <c r="J35"/>
      <c r="K35"/>
      <c r="L35"/>
      <c r="M35"/>
      <c r="N35"/>
    </row>
    <row r="36" spans="1:14" ht="12.6">
      <c r="A36" s="97" t="s">
        <v>109</v>
      </c>
      <c r="B36" s="22" t="s">
        <v>422</v>
      </c>
      <c r="C36" s="22" t="str">
        <f>CONCATENATE(I36," - ",F36)</f>
        <v>Bend Radius - Stiffener1</v>
      </c>
      <c r="D36" s="22" t="s">
        <v>423</v>
      </c>
      <c r="E36" s="22" t="s">
        <v>342</v>
      </c>
      <c r="F36" s="22" t="str">
        <f>Results!$H$10</f>
        <v>Stiffener1</v>
      </c>
      <c r="I36" s="98" t="s">
        <v>344</v>
      </c>
      <c r="J36"/>
      <c r="K36"/>
      <c r="L36"/>
      <c r="M36"/>
      <c r="N36"/>
    </row>
    <row r="37" spans="1:14" ht="12.6">
      <c r="A37" s="97" t="s">
        <v>109</v>
      </c>
      <c r="B37" s="22" t="s">
        <v>424</v>
      </c>
      <c r="C37" s="22" t="str">
        <f>CONCATENATE(I37," - ",F37)</f>
        <v>Bend Radius - Line</v>
      </c>
      <c r="D37" s="22" t="s">
        <v>425</v>
      </c>
      <c r="E37" s="22" t="s">
        <v>342</v>
      </c>
      <c r="F37" s="22" t="str">
        <f>Results!$H$9</f>
        <v>Line</v>
      </c>
      <c r="I37" s="98" t="s">
        <v>344</v>
      </c>
      <c r="J37"/>
      <c r="K37"/>
      <c r="L37"/>
      <c r="M37"/>
      <c r="N37"/>
    </row>
    <row r="38" spans="1:14" ht="12.6">
      <c r="A38" s="97" t="s">
        <v>426</v>
      </c>
      <c r="B38" s="22" t="s">
        <v>374</v>
      </c>
      <c r="C38" s="22" t="str">
        <f t="shared" ref="C38:C46" si="1">CONCATENATE(I38," - ",F38)</f>
        <v>X - Line</v>
      </c>
      <c r="D38" s="22" t="s">
        <v>158</v>
      </c>
      <c r="E38" s="22" t="s">
        <v>375</v>
      </c>
      <c r="F38" s="22" t="str">
        <f>Results!$H$9</f>
        <v>Line</v>
      </c>
      <c r="H38" s="22" t="s">
        <v>343</v>
      </c>
      <c r="I38" s="98" t="s">
        <v>376</v>
      </c>
      <c r="J38"/>
      <c r="K38"/>
      <c r="L38"/>
      <c r="M38"/>
      <c r="N38"/>
    </row>
    <row r="39" spans="1:14" ht="12.6">
      <c r="A39" s="97" t="s">
        <v>426</v>
      </c>
      <c r="B39" s="22" t="s">
        <v>377</v>
      </c>
      <c r="C39" s="22" t="str">
        <f t="shared" si="1"/>
        <v>Z - Line</v>
      </c>
      <c r="D39" s="22" t="s">
        <v>378</v>
      </c>
      <c r="E39" s="22" t="s">
        <v>375</v>
      </c>
      <c r="F39" s="22" t="str">
        <f>Results!$H$9</f>
        <v>Line</v>
      </c>
      <c r="H39" s="22" t="s">
        <v>343</v>
      </c>
      <c r="I39" s="98" t="s">
        <v>361</v>
      </c>
      <c r="J39"/>
      <c r="K39"/>
      <c r="L39"/>
      <c r="M39"/>
      <c r="N39"/>
    </row>
    <row r="40" spans="1:14" ht="15" customHeight="1">
      <c r="A40" s="97" t="s">
        <v>426</v>
      </c>
      <c r="B40" s="22" t="s">
        <v>379</v>
      </c>
      <c r="C40" s="22" t="str">
        <f t="shared" si="1"/>
        <v>Vertical Seabed Clearance - Line</v>
      </c>
      <c r="D40" s="22" t="s">
        <v>380</v>
      </c>
      <c r="E40" s="22" t="s">
        <v>375</v>
      </c>
      <c r="F40" s="22" t="str">
        <f>Results!$H$9</f>
        <v>Line</v>
      </c>
      <c r="H40" s="22" t="s">
        <v>343</v>
      </c>
      <c r="I40" s="98" t="s">
        <v>349</v>
      </c>
      <c r="J40"/>
      <c r="K40"/>
      <c r="L40"/>
      <c r="M40"/>
      <c r="N40"/>
    </row>
    <row r="41" spans="1:14" ht="12.6">
      <c r="A41" s="97" t="s">
        <v>426</v>
      </c>
      <c r="B41" s="22" t="s">
        <v>381</v>
      </c>
      <c r="C41" s="22" t="str">
        <f t="shared" si="1"/>
        <v>X - Stiffener1</v>
      </c>
      <c r="D41" s="22" t="s">
        <v>382</v>
      </c>
      <c r="E41" s="22" t="s">
        <v>375</v>
      </c>
      <c r="F41" s="22" t="str">
        <f>Results!$H$10</f>
        <v>Stiffener1</v>
      </c>
      <c r="H41" s="22" t="s">
        <v>343</v>
      </c>
      <c r="I41" s="98" t="s">
        <v>376</v>
      </c>
      <c r="J41"/>
      <c r="K41"/>
      <c r="L41"/>
      <c r="M41"/>
      <c r="N41"/>
    </row>
    <row r="42" spans="1:14" ht="12.6">
      <c r="A42" s="97" t="s">
        <v>426</v>
      </c>
      <c r="B42" s="22" t="s">
        <v>427</v>
      </c>
      <c r="C42" s="22" t="str">
        <f t="shared" si="1"/>
        <v>Vertical Seabed Clearance - Stiffener1</v>
      </c>
      <c r="D42" s="22" t="s">
        <v>428</v>
      </c>
      <c r="E42" s="22" t="s">
        <v>375</v>
      </c>
      <c r="F42" s="22" t="str">
        <f>Results!$H$10</f>
        <v>Stiffener1</v>
      </c>
      <c r="H42" s="22" t="s">
        <v>343</v>
      </c>
      <c r="I42" s="98" t="s">
        <v>349</v>
      </c>
      <c r="J42"/>
      <c r="K42"/>
      <c r="L42"/>
      <c r="M42"/>
      <c r="N42"/>
    </row>
    <row r="43" spans="1:14" ht="12.6">
      <c r="A43" s="97" t="s">
        <v>426</v>
      </c>
      <c r="B43" s="22" t="s">
        <v>429</v>
      </c>
      <c r="C43" s="22" t="str">
        <f t="shared" si="1"/>
        <v>Declination - Line</v>
      </c>
      <c r="D43" s="22" t="s">
        <v>430</v>
      </c>
      <c r="E43" s="22" t="s">
        <v>375</v>
      </c>
      <c r="F43" s="22" t="str">
        <f>Results!$H$9</f>
        <v>Line</v>
      </c>
      <c r="H43" s="22" t="s">
        <v>343</v>
      </c>
      <c r="I43" s="98" t="s">
        <v>385</v>
      </c>
      <c r="J43"/>
      <c r="K43"/>
      <c r="L43"/>
      <c r="M43"/>
      <c r="N43"/>
    </row>
    <row r="44" spans="1:14" ht="12.6">
      <c r="A44" s="97" t="s">
        <v>109</v>
      </c>
      <c r="B44" s="22" t="s">
        <v>431</v>
      </c>
      <c r="C44" s="22" t="str">
        <f t="shared" si="1"/>
        <v>End Ey-Moment - Line</v>
      </c>
      <c r="D44" s="22" t="s">
        <v>432</v>
      </c>
      <c r="E44" s="22" t="s">
        <v>359</v>
      </c>
      <c r="F44" s="22" t="str">
        <f>Results!$H$9</f>
        <v>Line</v>
      </c>
      <c r="G44" s="22" t="s">
        <v>360</v>
      </c>
      <c r="I44" s="98" t="s">
        <v>372</v>
      </c>
      <c r="J44"/>
      <c r="K44"/>
      <c r="L44"/>
      <c r="M44"/>
      <c r="N44"/>
    </row>
    <row r="45" spans="1:14" ht="12.6">
      <c r="A45" s="97" t="s">
        <v>426</v>
      </c>
      <c r="B45" s="22" t="s">
        <v>433</v>
      </c>
      <c r="C45" s="22" t="str">
        <f t="shared" si="1"/>
        <v>NumberOfAttachments - Line</v>
      </c>
      <c r="D45" s="22" t="s">
        <v>434</v>
      </c>
      <c r="E45" s="22" t="s">
        <v>354</v>
      </c>
      <c r="F45" s="22" t="str">
        <f>Results!$H$9</f>
        <v>Line</v>
      </c>
      <c r="G45" s="168"/>
      <c r="H45" s="168"/>
      <c r="I45" s="98" t="s">
        <v>403</v>
      </c>
      <c r="J45"/>
      <c r="K45"/>
      <c r="L45"/>
      <c r="M45"/>
      <c r="N45"/>
    </row>
    <row r="46" spans="1:14" ht="12.6">
      <c r="A46" s="97" t="s">
        <v>426</v>
      </c>
      <c r="B46" s="22" t="s">
        <v>435</v>
      </c>
      <c r="C46" s="22" t="str">
        <f t="shared" si="1"/>
        <v>Attachmentz[6] - Line</v>
      </c>
      <c r="D46" s="22" t="s">
        <v>436</v>
      </c>
      <c r="E46" s="22" t="s">
        <v>354</v>
      </c>
      <c r="F46" s="22" t="str">
        <f>Results!$H$9</f>
        <v>Line</v>
      </c>
      <c r="I46" s="98" t="str">
        <f>CONCATENATE("Attachmentz[",Auxiliar3!P27,"]")</f>
        <v>Attachmentz[6]</v>
      </c>
      <c r="J46" s="212">
        <f>Auxiliar3!P27</f>
        <v>6</v>
      </c>
      <c r="K46"/>
      <c r="L46"/>
      <c r="M46"/>
      <c r="N46"/>
    </row>
    <row r="47" spans="1:14" ht="12.6">
      <c r="A47" s="97" t="s">
        <v>109</v>
      </c>
      <c r="B47" s="22" t="s">
        <v>437</v>
      </c>
      <c r="C47" s="22" t="str">
        <f>_xlfn.CONCAT(I47," - ",F47)</f>
        <v>Bend Moment - Stiffener1</v>
      </c>
      <c r="D47" s="22" t="s">
        <v>438</v>
      </c>
      <c r="E47" s="22" t="s">
        <v>388</v>
      </c>
      <c r="F47" s="22" t="str">
        <f>Results!$H$10</f>
        <v>Stiffener1</v>
      </c>
      <c r="H47" s="22" t="s">
        <v>343</v>
      </c>
      <c r="I47" s="98" t="s">
        <v>389</v>
      </c>
      <c r="J47"/>
      <c r="K47"/>
      <c r="L47"/>
      <c r="M47"/>
      <c r="N47"/>
    </row>
    <row r="48" spans="1:14" ht="12.6">
      <c r="A48" s="423" t="s">
        <v>109</v>
      </c>
      <c r="B48" s="423" t="s">
        <v>439</v>
      </c>
      <c r="C48" s="22" t="str">
        <f t="shared" ref="C48" si="2">CONCATENATE(I48," - ",F48)</f>
        <v>Shear Force - Stiffener1</v>
      </c>
      <c r="D48" s="423" t="s">
        <v>440</v>
      </c>
      <c r="E48" s="423" t="s">
        <v>388</v>
      </c>
      <c r="F48" s="22" t="str">
        <f>Results!$H$10</f>
        <v>Stiffener1</v>
      </c>
      <c r="G48" s="423"/>
      <c r="H48" s="22" t="s">
        <v>343</v>
      </c>
      <c r="I48" s="424" t="s">
        <v>392</v>
      </c>
      <c r="J48"/>
      <c r="K48"/>
      <c r="L48"/>
      <c r="M48"/>
      <c r="N48"/>
    </row>
    <row r="49" spans="1:14" ht="12.6">
      <c r="A49" s="99"/>
      <c r="B49" s="100"/>
      <c r="C49" s="100"/>
      <c r="D49" s="100"/>
      <c r="E49" s="101" t="str">
        <f>CONCATENATE("Load ",Results!H16,".sim")</f>
        <v>Load Cont2.sim</v>
      </c>
      <c r="F49" s="100"/>
      <c r="G49" s="100"/>
      <c r="H49" s="100"/>
      <c r="I49" s="102"/>
      <c r="J49"/>
      <c r="K49"/>
      <c r="L49"/>
      <c r="M49"/>
      <c r="N49"/>
    </row>
    <row r="50" spans="1:14" ht="12.6">
      <c r="A50" s="97" t="s">
        <v>109</v>
      </c>
      <c r="B50" s="22" t="s">
        <v>441</v>
      </c>
      <c r="C50" s="22" t="str">
        <f>CONCATENATE(I50," - ",F50)</f>
        <v>Bend Radius - Stiffener1</v>
      </c>
      <c r="D50" s="22" t="s">
        <v>442</v>
      </c>
      <c r="E50" s="22" t="s">
        <v>342</v>
      </c>
      <c r="F50" s="22" t="str">
        <f>Results!$H$10</f>
        <v>Stiffener1</v>
      </c>
      <c r="I50" s="98" t="s">
        <v>344</v>
      </c>
      <c r="J50"/>
      <c r="K50"/>
      <c r="L50"/>
      <c r="M50"/>
      <c r="N50"/>
    </row>
    <row r="51" spans="1:14" ht="12.6">
      <c r="A51" s="22" t="s">
        <v>109</v>
      </c>
      <c r="B51" s="22" t="s">
        <v>443</v>
      </c>
      <c r="C51" s="22" t="str">
        <f t="shared" ref="C51:C62" si="3">CONCATENATE(I51," - ",F51)</f>
        <v>Bend Radius - Line</v>
      </c>
      <c r="D51" s="22" t="s">
        <v>444</v>
      </c>
      <c r="E51" s="22" t="s">
        <v>342</v>
      </c>
      <c r="F51" s="22" t="str">
        <f>Results!$H$9</f>
        <v>Line</v>
      </c>
      <c r="I51" s="98" t="s">
        <v>344</v>
      </c>
      <c r="J51"/>
      <c r="K51"/>
      <c r="L51"/>
      <c r="M51"/>
      <c r="N51"/>
    </row>
    <row r="52" spans="1:14" ht="12.6">
      <c r="A52" s="97" t="s">
        <v>445</v>
      </c>
      <c r="B52" s="22" t="s">
        <v>374</v>
      </c>
      <c r="C52" s="22" t="str">
        <f t="shared" si="3"/>
        <v>X - Line</v>
      </c>
      <c r="D52" s="22" t="s">
        <v>158</v>
      </c>
      <c r="E52" s="22" t="s">
        <v>375</v>
      </c>
      <c r="F52" s="22" t="str">
        <f>Results!$H$9</f>
        <v>Line</v>
      </c>
      <c r="H52" s="22" t="s">
        <v>343</v>
      </c>
      <c r="I52" s="98" t="s">
        <v>376</v>
      </c>
      <c r="J52"/>
      <c r="K52"/>
      <c r="L52"/>
      <c r="M52"/>
      <c r="N52"/>
    </row>
    <row r="53" spans="1:14" ht="12.6">
      <c r="A53" s="97" t="s">
        <v>445</v>
      </c>
      <c r="B53" s="22" t="s">
        <v>377</v>
      </c>
      <c r="C53" s="22" t="str">
        <f t="shared" si="3"/>
        <v>Z - Line</v>
      </c>
      <c r="D53" s="22" t="s">
        <v>378</v>
      </c>
      <c r="E53" s="22" t="s">
        <v>375</v>
      </c>
      <c r="F53" s="22" t="str">
        <f>Results!$H$9</f>
        <v>Line</v>
      </c>
      <c r="H53" s="22" t="s">
        <v>343</v>
      </c>
      <c r="I53" s="98" t="s">
        <v>361</v>
      </c>
      <c r="J53"/>
      <c r="K53"/>
      <c r="L53"/>
      <c r="M53"/>
      <c r="N53"/>
    </row>
    <row r="54" spans="1:14" ht="12.6">
      <c r="A54" s="97" t="s">
        <v>445</v>
      </c>
      <c r="B54" s="22" t="s">
        <v>381</v>
      </c>
      <c r="C54" s="22" t="str">
        <f t="shared" si="3"/>
        <v>X - Stiffener1</v>
      </c>
      <c r="D54" s="22" t="s">
        <v>382</v>
      </c>
      <c r="E54" s="22" t="s">
        <v>375</v>
      </c>
      <c r="F54" s="22" t="str">
        <f>Results!$H$10</f>
        <v>Stiffener1</v>
      </c>
      <c r="H54" s="22" t="s">
        <v>343</v>
      </c>
      <c r="I54" s="98" t="s">
        <v>376</v>
      </c>
      <c r="J54"/>
      <c r="K54"/>
      <c r="L54"/>
      <c r="M54"/>
      <c r="N54"/>
    </row>
    <row r="55" spans="1:14" ht="12" customHeight="1">
      <c r="A55" s="97" t="s">
        <v>445</v>
      </c>
      <c r="B55" s="22" t="s">
        <v>379</v>
      </c>
      <c r="C55" s="22" t="str">
        <f t="shared" si="3"/>
        <v>Vertical Seabed Clearance - Line</v>
      </c>
      <c r="D55" s="22" t="s">
        <v>380</v>
      </c>
      <c r="E55" s="22" t="s">
        <v>375</v>
      </c>
      <c r="F55" s="22" t="str">
        <f>Results!$H$9</f>
        <v>Line</v>
      </c>
      <c r="H55" s="22" t="s">
        <v>343</v>
      </c>
      <c r="I55" s="98" t="s">
        <v>349</v>
      </c>
      <c r="J55"/>
      <c r="K55"/>
      <c r="L55"/>
      <c r="M55"/>
      <c r="N55"/>
    </row>
    <row r="56" spans="1:14" ht="12.6">
      <c r="A56" s="97" t="s">
        <v>445</v>
      </c>
      <c r="B56" s="22" t="s">
        <v>427</v>
      </c>
      <c r="C56" s="22" t="str">
        <f t="shared" si="3"/>
        <v>Vertical Seabed Clearance - Stiffener1</v>
      </c>
      <c r="D56" s="22" t="s">
        <v>428</v>
      </c>
      <c r="E56" s="22" t="s">
        <v>375</v>
      </c>
      <c r="F56" s="22" t="str">
        <f>Results!$H$10</f>
        <v>Stiffener1</v>
      </c>
      <c r="H56" s="22" t="s">
        <v>343</v>
      </c>
      <c r="I56" s="98" t="s">
        <v>349</v>
      </c>
      <c r="J56"/>
      <c r="K56"/>
      <c r="L56"/>
      <c r="M56"/>
      <c r="N56"/>
    </row>
    <row r="57" spans="1:14" ht="12.6">
      <c r="A57" s="97" t="s">
        <v>445</v>
      </c>
      <c r="B57" s="22" t="s">
        <v>429</v>
      </c>
      <c r="C57" s="22" t="str">
        <f t="shared" si="3"/>
        <v>Declination - Line</v>
      </c>
      <c r="D57" s="22" t="s">
        <v>430</v>
      </c>
      <c r="E57" s="22" t="s">
        <v>375</v>
      </c>
      <c r="F57" s="22" t="str">
        <f>Results!$H$9</f>
        <v>Line</v>
      </c>
      <c r="H57" s="22" t="s">
        <v>343</v>
      </c>
      <c r="I57" s="98" t="s">
        <v>385</v>
      </c>
      <c r="J57"/>
      <c r="K57"/>
      <c r="L57"/>
      <c r="M57"/>
      <c r="N57"/>
    </row>
    <row r="58" spans="1:14" ht="12.6">
      <c r="A58" s="97" t="s">
        <v>109</v>
      </c>
      <c r="B58" s="18" t="s">
        <v>446</v>
      </c>
      <c r="C58" s="22" t="str">
        <f t="shared" si="3"/>
        <v>End Ey-Moment - Line</v>
      </c>
      <c r="D58" s="18" t="s">
        <v>447</v>
      </c>
      <c r="E58" s="22" t="s">
        <v>359</v>
      </c>
      <c r="F58" s="22" t="str">
        <f>Results!$H$9</f>
        <v>Line</v>
      </c>
      <c r="G58" s="22" t="s">
        <v>360</v>
      </c>
      <c r="I58" s="98" t="s">
        <v>372</v>
      </c>
      <c r="J58"/>
      <c r="K58"/>
      <c r="L58"/>
      <c r="M58"/>
      <c r="N58"/>
    </row>
    <row r="59" spans="1:14" ht="12.6">
      <c r="A59" s="97" t="s">
        <v>445</v>
      </c>
      <c r="B59" s="22" t="s">
        <v>433</v>
      </c>
      <c r="C59" s="22" t="str">
        <f>_xlfn.CONCAT(I59," - ",F59)</f>
        <v>NumberOfAttachments - Line</v>
      </c>
      <c r="D59" s="22" t="s">
        <v>434</v>
      </c>
      <c r="E59" s="22" t="s">
        <v>354</v>
      </c>
      <c r="F59" s="22" t="str">
        <f>Results!$H$9</f>
        <v>Line</v>
      </c>
      <c r="G59" s="168"/>
      <c r="H59" s="168"/>
      <c r="I59" s="98" t="s">
        <v>403</v>
      </c>
      <c r="J59" s="218">
        <f>Auxiliar4!P27</f>
        <v>6</v>
      </c>
      <c r="K59"/>
      <c r="L59"/>
      <c r="M59"/>
      <c r="N59"/>
    </row>
    <row r="60" spans="1:14" ht="12.6">
      <c r="A60" s="97" t="s">
        <v>109</v>
      </c>
      <c r="B60" s="22" t="s">
        <v>448</v>
      </c>
      <c r="C60" s="22" t="str">
        <f>_xlfn.CONCAT(I60," - ",F60)</f>
        <v>Bend Moment - Stiffener1</v>
      </c>
      <c r="D60" s="22" t="s">
        <v>449</v>
      </c>
      <c r="E60" s="22" t="s">
        <v>388</v>
      </c>
      <c r="F60" s="22" t="str">
        <f>Results!$H$10</f>
        <v>Stiffener1</v>
      </c>
      <c r="H60" s="22" t="s">
        <v>343</v>
      </c>
      <c r="I60" s="98" t="s">
        <v>389</v>
      </c>
      <c r="J60" s="333"/>
      <c r="K60"/>
      <c r="L60"/>
      <c r="M60"/>
      <c r="N60"/>
    </row>
    <row r="61" spans="1:14" ht="12.6">
      <c r="A61" s="423" t="s">
        <v>109</v>
      </c>
      <c r="B61" s="423" t="s">
        <v>450</v>
      </c>
      <c r="C61" s="22" t="str">
        <f t="shared" ref="C61" si="4">CONCATENATE(I61," - ",F61)</f>
        <v>Shear Force - Stiffener1</v>
      </c>
      <c r="D61" s="423" t="s">
        <v>451</v>
      </c>
      <c r="E61" s="423" t="s">
        <v>388</v>
      </c>
      <c r="F61" s="22" t="str">
        <f>Results!$H$10</f>
        <v>Stiffener1</v>
      </c>
      <c r="G61" s="423"/>
      <c r="H61" s="22" t="s">
        <v>343</v>
      </c>
      <c r="I61" s="424" t="s">
        <v>392</v>
      </c>
      <c r="J61" s="333"/>
      <c r="K61"/>
      <c r="L61"/>
      <c r="M61"/>
      <c r="N61"/>
    </row>
    <row r="62" spans="1:14" ht="12.6">
      <c r="A62" s="97" t="s">
        <v>445</v>
      </c>
      <c r="B62" s="22" t="s">
        <v>435</v>
      </c>
      <c r="C62" s="22" t="str">
        <f t="shared" si="3"/>
        <v>Attachmentz[6] - Line</v>
      </c>
      <c r="D62" s="22" t="s">
        <v>436</v>
      </c>
      <c r="E62" s="22" t="s">
        <v>354</v>
      </c>
      <c r="F62" s="22" t="str">
        <f>Results!$H$9</f>
        <v>Line</v>
      </c>
      <c r="I62" s="22" t="str">
        <f>CONCATENATE("Attachmentz[",Auxiliar4!P27,"]")</f>
        <v>Attachmentz[6]</v>
      </c>
      <c r="J62" s="528"/>
      <c r="K62" s="529"/>
      <c r="L62" s="529"/>
      <c r="M62" s="529"/>
      <c r="N62" s="530"/>
    </row>
    <row r="63" spans="1:14">
      <c r="A63" s="224" t="str">
        <f>IF(N63="","",IF(ISNUMBER(J63),"Auxiliar4",IF(ISNUMBER(K63),"Auxiliar3",IF(ISNUMBER(L63),"Auxiliar2",IF(ISNUMBER(M63),"Auxiliar2")))))</f>
        <v>Auxiliar4</v>
      </c>
      <c r="B63" s="224"/>
      <c r="D63" s="224" t="str">
        <f>IF(N63="z",CONCATENATE("AB",M63),IF(N63="","",CONCATENATE("AA",N63)))</f>
        <v>AA6</v>
      </c>
      <c r="E63" s="224" t="str">
        <f>IF(N63="",IF(J63="j","Load Cont1.sim",IF(K63="k","Load Estatico.sim","")),"Get Data")</f>
        <v>Get Data</v>
      </c>
      <c r="F63" s="224" t="str">
        <f>IF(N63="","",Results!$H$9)</f>
        <v>Line</v>
      </c>
      <c r="G63" s="224"/>
      <c r="H63" s="224"/>
      <c r="I63" s="224" t="str">
        <f>IF(N63="z",CONCATENATE("attachmentz[",M63,"]"),IF(N63="","",CONCATENATE("attachmenttype[",N63,"]")))</f>
        <v>attachmenttype[6]</v>
      </c>
      <c r="J63" s="225">
        <f t="shared" ref="J63:J94" si="5">IFERROR(IF(J62="",J$27+1,IF(J62=J$59,"j",J62+1)),"jj")</f>
        <v>6</v>
      </c>
      <c r="K63" s="226" t="str">
        <f t="shared" ref="K63:K94" si="6">IF((J63="jj"),IFERROR(IF(K62="",J$27+1,IF(K62=J$46,"k",K62+1)),"kk"),"")</f>
        <v/>
      </c>
      <c r="L63" s="226" t="str">
        <f>IF((K63="kk"),IFERROR(IF(L62="",2,IF(L62=J$27,"l",L62+1)),"ll"),"")</f>
        <v/>
      </c>
      <c r="M63" s="226" t="str">
        <f>IF(OR(L63="l",L63="ll"),IFERROR(IF(M62="",2,IF(M62=J$27,"m",M62+1)),"mm"),"")</f>
        <v/>
      </c>
      <c r="N63" s="227">
        <f>IF(ISNUMBER(M63),"z",IF(ISNUMBER(L63),L63,IF(ISNUMBER(K63),K63,IF(ISNUMBER(J63),J63,""))))</f>
        <v>6</v>
      </c>
    </row>
    <row r="64" spans="1:14">
      <c r="A64" s="224" t="str">
        <f t="shared" ref="A64:A114" si="7">IF(N64="","",IF(ISNUMBER(J64),"Auxiliar4",IF(ISNUMBER(K64),"Auxiliar3",IF(ISNUMBER(L64),"Auxiliar2",IF(ISNUMBER(M64),"Auxiliar2")))))</f>
        <v/>
      </c>
      <c r="B64" s="224"/>
      <c r="C64" s="224"/>
      <c r="D64" s="224" t="str">
        <f t="shared" ref="D64:D114" si="8">IF(N64="z",CONCATENATE("AB",M64),IF(N64="","",CONCATENATE("AA",N64)))</f>
        <v/>
      </c>
      <c r="E64" s="224" t="str">
        <f t="shared" ref="E64:E114" si="9">IF(N64="",IF(J64="j","Load Cont1.sim",IF(K64="k","Load Estatico.sim","")),"Get Data")</f>
        <v>Load Cont1.sim</v>
      </c>
      <c r="F64" s="224" t="str">
        <f>IF(N64="","",Results!$H$9)</f>
        <v/>
      </c>
      <c r="G64" s="224"/>
      <c r="H64" s="224"/>
      <c r="I64" s="224" t="str">
        <f t="shared" ref="I64:I114" si="10">IF(N64="z",CONCATENATE("attachmentz[",M64,"]"),IF(N64="","",CONCATENATE("attachmenttype[",N64,"]")))</f>
        <v/>
      </c>
      <c r="J64" s="225" t="str">
        <f t="shared" si="5"/>
        <v>j</v>
      </c>
      <c r="K64" s="226" t="str">
        <f t="shared" si="6"/>
        <v/>
      </c>
      <c r="L64" s="226" t="str">
        <f t="shared" ref="L64:L114" si="11">IF((K64="kk"),IFERROR(IF(L63="",2,IF(L63=J$27,"l",L63+1)),"ll"),"")</f>
        <v/>
      </c>
      <c r="M64" s="226" t="str">
        <f t="shared" ref="M64:M114" si="12">IF(OR(L64="l",L64="ll"),IFERROR(IF(M63="",2,IF(M63=J$27,"m",M63+1)),"mm"),"")</f>
        <v/>
      </c>
      <c r="N64" s="227" t="str">
        <f t="shared" ref="N64:N114" si="13">IF(ISNUMBER(M64),"z",IF(ISNUMBER(L64),L64,IF(ISNUMBER(K64),K64,IF(ISNUMBER(J64),J64,""))))</f>
        <v/>
      </c>
    </row>
    <row r="65" spans="1:14">
      <c r="A65" s="224" t="str">
        <f t="shared" si="7"/>
        <v>Auxiliar3</v>
      </c>
      <c r="B65" s="224"/>
      <c r="C65" s="224"/>
      <c r="D65" s="224" t="str">
        <f t="shared" si="8"/>
        <v>AA6</v>
      </c>
      <c r="E65" s="224" t="str">
        <f t="shared" si="9"/>
        <v>Get Data</v>
      </c>
      <c r="F65" s="224" t="str">
        <f>IF(N65="","",Results!$H$9)</f>
        <v>Line</v>
      </c>
      <c r="G65" s="224"/>
      <c r="H65" s="224"/>
      <c r="I65" s="224" t="str">
        <f t="shared" si="10"/>
        <v>attachmenttype[6]</v>
      </c>
      <c r="J65" s="225" t="str">
        <f t="shared" si="5"/>
        <v>jj</v>
      </c>
      <c r="K65" s="226">
        <f t="shared" si="6"/>
        <v>6</v>
      </c>
      <c r="L65" s="226" t="str">
        <f t="shared" si="11"/>
        <v/>
      </c>
      <c r="M65" s="226" t="str">
        <f t="shared" si="12"/>
        <v/>
      </c>
      <c r="N65" s="227">
        <f t="shared" si="13"/>
        <v>6</v>
      </c>
    </row>
    <row r="66" spans="1:14">
      <c r="A66" s="224" t="str">
        <f t="shared" si="7"/>
        <v/>
      </c>
      <c r="B66" s="224"/>
      <c r="C66" s="224"/>
      <c r="D66" s="224" t="str">
        <f t="shared" si="8"/>
        <v/>
      </c>
      <c r="E66" s="224" t="str">
        <f t="shared" si="9"/>
        <v>Load Estatico.sim</v>
      </c>
      <c r="F66" s="224" t="str">
        <f>IF(N66="","",Results!$H$9)</f>
        <v/>
      </c>
      <c r="G66" s="224"/>
      <c r="H66" s="224"/>
      <c r="I66" s="224" t="str">
        <f t="shared" si="10"/>
        <v/>
      </c>
      <c r="J66" s="225" t="str">
        <f t="shared" si="5"/>
        <v>jj</v>
      </c>
      <c r="K66" s="226" t="str">
        <f t="shared" si="6"/>
        <v>k</v>
      </c>
      <c r="L66" s="226" t="str">
        <f t="shared" si="11"/>
        <v/>
      </c>
      <c r="M66" s="226" t="str">
        <f t="shared" si="12"/>
        <v/>
      </c>
      <c r="N66" s="227" t="str">
        <f t="shared" si="13"/>
        <v/>
      </c>
    </row>
    <row r="67" spans="1:14">
      <c r="A67" s="224" t="str">
        <f t="shared" si="7"/>
        <v>Auxiliar2</v>
      </c>
      <c r="B67" s="224"/>
      <c r="C67" s="224"/>
      <c r="D67" s="224" t="str">
        <f t="shared" si="8"/>
        <v>AA2</v>
      </c>
      <c r="E67" s="224" t="str">
        <f t="shared" si="9"/>
        <v>Get Data</v>
      </c>
      <c r="F67" s="224" t="str">
        <f>IF(N67="","",Results!$H$9)</f>
        <v>Line</v>
      </c>
      <c r="G67" s="224"/>
      <c r="H67" s="224"/>
      <c r="I67" s="224" t="str">
        <f t="shared" si="10"/>
        <v>attachmenttype[2]</v>
      </c>
      <c r="J67" s="225" t="str">
        <f t="shared" si="5"/>
        <v>jj</v>
      </c>
      <c r="K67" s="226" t="str">
        <f t="shared" si="6"/>
        <v>kk</v>
      </c>
      <c r="L67" s="226">
        <f t="shared" si="11"/>
        <v>2</v>
      </c>
      <c r="M67" s="226" t="str">
        <f t="shared" si="12"/>
        <v/>
      </c>
      <c r="N67" s="227">
        <f t="shared" si="13"/>
        <v>2</v>
      </c>
    </row>
    <row r="68" spans="1:14">
      <c r="A68" s="224" t="str">
        <f t="shared" si="7"/>
        <v>Auxiliar2</v>
      </c>
      <c r="B68" s="224"/>
      <c r="C68" s="224"/>
      <c r="D68" s="224" t="str">
        <f t="shared" si="8"/>
        <v>AA3</v>
      </c>
      <c r="E68" s="224" t="str">
        <f t="shared" si="9"/>
        <v>Get Data</v>
      </c>
      <c r="F68" s="224" t="str">
        <f>IF(N68="","",Results!$H$9)</f>
        <v>Line</v>
      </c>
      <c r="G68" s="224"/>
      <c r="H68" s="224"/>
      <c r="I68" s="224" t="str">
        <f t="shared" si="10"/>
        <v>attachmenttype[3]</v>
      </c>
      <c r="J68" s="225" t="str">
        <f t="shared" si="5"/>
        <v>jj</v>
      </c>
      <c r="K68" s="226" t="str">
        <f t="shared" si="6"/>
        <v>kk</v>
      </c>
      <c r="L68" s="226">
        <f t="shared" si="11"/>
        <v>3</v>
      </c>
      <c r="M68" s="226" t="str">
        <f t="shared" si="12"/>
        <v/>
      </c>
      <c r="N68" s="227">
        <f t="shared" si="13"/>
        <v>3</v>
      </c>
    </row>
    <row r="69" spans="1:14">
      <c r="A69" s="224" t="str">
        <f t="shared" si="7"/>
        <v>Auxiliar2</v>
      </c>
      <c r="B69" s="224"/>
      <c r="C69" s="224"/>
      <c r="D69" s="224" t="str">
        <f t="shared" si="8"/>
        <v>AA4</v>
      </c>
      <c r="E69" s="224" t="str">
        <f>IF(N69="",IF(J69="j","Load Cont1.sim",IF(K69="k","Load Estatico.sim","")),"Get Data")</f>
        <v>Get Data</v>
      </c>
      <c r="F69" s="224" t="str">
        <f>IF(N69="","",Results!$H$9)</f>
        <v>Line</v>
      </c>
      <c r="G69" s="224"/>
      <c r="H69" s="224"/>
      <c r="I69" s="224" t="str">
        <f t="shared" si="10"/>
        <v>attachmenttype[4]</v>
      </c>
      <c r="J69" s="225" t="str">
        <f t="shared" si="5"/>
        <v>jj</v>
      </c>
      <c r="K69" s="226" t="str">
        <f t="shared" si="6"/>
        <v>kk</v>
      </c>
      <c r="L69" s="226">
        <f t="shared" si="11"/>
        <v>4</v>
      </c>
      <c r="M69" s="226" t="str">
        <f t="shared" si="12"/>
        <v/>
      </c>
      <c r="N69" s="227">
        <f t="shared" si="13"/>
        <v>4</v>
      </c>
    </row>
    <row r="70" spans="1:14">
      <c r="A70" s="224" t="str">
        <f t="shared" si="7"/>
        <v>Auxiliar2</v>
      </c>
      <c r="B70" s="224"/>
      <c r="C70" s="224"/>
      <c r="D70" s="224" t="str">
        <f t="shared" si="8"/>
        <v>AA5</v>
      </c>
      <c r="E70" s="224" t="str">
        <f t="shared" si="9"/>
        <v>Get Data</v>
      </c>
      <c r="F70" s="224" t="str">
        <f>IF(N70="","",Results!$H$9)</f>
        <v>Line</v>
      </c>
      <c r="G70" s="224"/>
      <c r="H70" s="224"/>
      <c r="I70" s="224" t="str">
        <f t="shared" si="10"/>
        <v>attachmenttype[5]</v>
      </c>
      <c r="J70" s="225" t="str">
        <f t="shared" si="5"/>
        <v>jj</v>
      </c>
      <c r="K70" s="226" t="str">
        <f t="shared" si="6"/>
        <v>kk</v>
      </c>
      <c r="L70" s="226">
        <f t="shared" si="11"/>
        <v>5</v>
      </c>
      <c r="M70" s="226" t="str">
        <f t="shared" si="12"/>
        <v/>
      </c>
      <c r="N70" s="227">
        <f t="shared" si="13"/>
        <v>5</v>
      </c>
    </row>
    <row r="71" spans="1:14">
      <c r="A71" s="224" t="str">
        <f t="shared" si="7"/>
        <v>Auxiliar2</v>
      </c>
      <c r="B71" s="224"/>
      <c r="C71" s="224"/>
      <c r="D71" s="224" t="str">
        <f t="shared" si="8"/>
        <v>AB2</v>
      </c>
      <c r="E71" s="224" t="str">
        <f t="shared" si="9"/>
        <v>Get Data</v>
      </c>
      <c r="F71" s="224" t="str">
        <f>IF(N71="","",Results!$H$9)</f>
        <v>Line</v>
      </c>
      <c r="G71" s="224"/>
      <c r="H71" s="224"/>
      <c r="I71" s="224" t="str">
        <f t="shared" si="10"/>
        <v>attachmentz[2]</v>
      </c>
      <c r="J71" s="225" t="str">
        <f t="shared" si="5"/>
        <v>jj</v>
      </c>
      <c r="K71" s="226" t="str">
        <f t="shared" si="6"/>
        <v>kk</v>
      </c>
      <c r="L71" s="226" t="str">
        <f t="shared" si="11"/>
        <v>l</v>
      </c>
      <c r="M71" s="226">
        <f t="shared" si="12"/>
        <v>2</v>
      </c>
      <c r="N71" s="227" t="str">
        <f t="shared" si="13"/>
        <v>z</v>
      </c>
    </row>
    <row r="72" spans="1:14">
      <c r="A72" s="224" t="str">
        <f t="shared" si="7"/>
        <v>Auxiliar2</v>
      </c>
      <c r="B72" s="224"/>
      <c r="C72" s="224"/>
      <c r="D72" s="224" t="str">
        <f t="shared" si="8"/>
        <v>AB3</v>
      </c>
      <c r="E72" s="224" t="str">
        <f t="shared" si="9"/>
        <v>Get Data</v>
      </c>
      <c r="F72" s="224" t="str">
        <f>IF(N72="","",Results!$H$9)</f>
        <v>Line</v>
      </c>
      <c r="G72" s="224"/>
      <c r="H72" s="224"/>
      <c r="I72" s="224" t="str">
        <f t="shared" si="10"/>
        <v>attachmentz[3]</v>
      </c>
      <c r="J72" s="225" t="str">
        <f t="shared" si="5"/>
        <v>jj</v>
      </c>
      <c r="K72" s="226" t="str">
        <f t="shared" si="6"/>
        <v>kk</v>
      </c>
      <c r="L72" s="226" t="str">
        <f t="shared" si="11"/>
        <v>ll</v>
      </c>
      <c r="M72" s="226">
        <f t="shared" si="12"/>
        <v>3</v>
      </c>
      <c r="N72" s="227" t="str">
        <f t="shared" si="13"/>
        <v>z</v>
      </c>
    </row>
    <row r="73" spans="1:14">
      <c r="A73" s="224" t="str">
        <f t="shared" si="7"/>
        <v>Auxiliar2</v>
      </c>
      <c r="B73" s="224"/>
      <c r="C73" s="224"/>
      <c r="D73" s="224" t="str">
        <f t="shared" si="8"/>
        <v>AB4</v>
      </c>
      <c r="E73" s="224" t="str">
        <f t="shared" si="9"/>
        <v>Get Data</v>
      </c>
      <c r="F73" s="224" t="str">
        <f>IF(N73="","",Results!$H$9)</f>
        <v>Line</v>
      </c>
      <c r="G73" s="224"/>
      <c r="H73" s="224"/>
      <c r="I73" s="224" t="str">
        <f t="shared" si="10"/>
        <v>attachmentz[4]</v>
      </c>
      <c r="J73" s="225" t="str">
        <f t="shared" si="5"/>
        <v>jj</v>
      </c>
      <c r="K73" s="226" t="str">
        <f t="shared" si="6"/>
        <v>kk</v>
      </c>
      <c r="L73" s="226" t="str">
        <f t="shared" si="11"/>
        <v>ll</v>
      </c>
      <c r="M73" s="226">
        <f t="shared" si="12"/>
        <v>4</v>
      </c>
      <c r="N73" s="227" t="str">
        <f t="shared" si="13"/>
        <v>z</v>
      </c>
    </row>
    <row r="74" spans="1:14">
      <c r="A74" s="224" t="str">
        <f t="shared" si="7"/>
        <v>Auxiliar2</v>
      </c>
      <c r="B74" s="224"/>
      <c r="C74" s="224"/>
      <c r="D74" s="224" t="str">
        <f t="shared" si="8"/>
        <v>AB5</v>
      </c>
      <c r="E74" s="224" t="str">
        <f t="shared" si="9"/>
        <v>Get Data</v>
      </c>
      <c r="F74" s="224" t="str">
        <f>IF(N74="","",Results!$H$9)</f>
        <v>Line</v>
      </c>
      <c r="G74" s="224"/>
      <c r="H74" s="224"/>
      <c r="I74" s="224" t="str">
        <f t="shared" si="10"/>
        <v>attachmentz[5]</v>
      </c>
      <c r="J74" s="225" t="str">
        <f t="shared" si="5"/>
        <v>jj</v>
      </c>
      <c r="K74" s="226" t="str">
        <f t="shared" si="6"/>
        <v>kk</v>
      </c>
      <c r="L74" s="226" t="str">
        <f t="shared" si="11"/>
        <v>ll</v>
      </c>
      <c r="M74" s="226">
        <f t="shared" si="12"/>
        <v>5</v>
      </c>
      <c r="N74" s="227" t="str">
        <f t="shared" si="13"/>
        <v>z</v>
      </c>
    </row>
    <row r="75" spans="1:14">
      <c r="A75" s="224" t="str">
        <f t="shared" si="7"/>
        <v/>
      </c>
      <c r="B75" s="224"/>
      <c r="C75" s="224"/>
      <c r="D75" s="224" t="str">
        <f t="shared" si="8"/>
        <v/>
      </c>
      <c r="E75" s="224" t="str">
        <f t="shared" si="9"/>
        <v/>
      </c>
      <c r="F75" s="224" t="str">
        <f>IF(N75="","",Results!$H$9)</f>
        <v/>
      </c>
      <c r="G75" s="224"/>
      <c r="H75" s="224"/>
      <c r="I75" s="224" t="str">
        <f t="shared" si="10"/>
        <v/>
      </c>
      <c r="J75" s="225" t="str">
        <f t="shared" si="5"/>
        <v>jj</v>
      </c>
      <c r="K75" s="226" t="str">
        <f t="shared" si="6"/>
        <v>kk</v>
      </c>
      <c r="L75" s="226" t="str">
        <f t="shared" si="11"/>
        <v>ll</v>
      </c>
      <c r="M75" s="226" t="str">
        <f t="shared" si="12"/>
        <v>m</v>
      </c>
      <c r="N75" s="227" t="str">
        <f t="shared" si="13"/>
        <v/>
      </c>
    </row>
    <row r="76" spans="1:14">
      <c r="A76" s="224" t="str">
        <f t="shared" si="7"/>
        <v/>
      </c>
      <c r="B76" s="224"/>
      <c r="C76" s="224"/>
      <c r="D76" s="224" t="str">
        <f t="shared" si="8"/>
        <v/>
      </c>
      <c r="E76" s="224" t="str">
        <f t="shared" si="9"/>
        <v/>
      </c>
      <c r="F76" s="224" t="str">
        <f>IF(N76="","",Results!$H$9)</f>
        <v/>
      </c>
      <c r="G76" s="224"/>
      <c r="H76" s="224"/>
      <c r="I76" s="224" t="str">
        <f t="shared" si="10"/>
        <v/>
      </c>
      <c r="J76" s="225" t="str">
        <f t="shared" si="5"/>
        <v>jj</v>
      </c>
      <c r="K76" s="226" t="str">
        <f t="shared" si="6"/>
        <v>kk</v>
      </c>
      <c r="L76" s="226" t="str">
        <f t="shared" si="11"/>
        <v>ll</v>
      </c>
      <c r="M76" s="226" t="str">
        <f t="shared" si="12"/>
        <v>mm</v>
      </c>
      <c r="N76" s="227" t="str">
        <f t="shared" si="13"/>
        <v/>
      </c>
    </row>
    <row r="77" spans="1:14">
      <c r="A77" s="224" t="str">
        <f t="shared" si="7"/>
        <v/>
      </c>
      <c r="B77" s="224"/>
      <c r="C77" s="224"/>
      <c r="D77" s="224" t="str">
        <f t="shared" si="8"/>
        <v/>
      </c>
      <c r="E77" s="224" t="str">
        <f t="shared" si="9"/>
        <v/>
      </c>
      <c r="F77" s="224" t="str">
        <f>IF(N77="","",Results!$H$9)</f>
        <v/>
      </c>
      <c r="G77" s="224"/>
      <c r="H77" s="224"/>
      <c r="I77" s="224" t="str">
        <f t="shared" si="10"/>
        <v/>
      </c>
      <c r="J77" s="225" t="str">
        <f t="shared" si="5"/>
        <v>jj</v>
      </c>
      <c r="K77" s="226" t="str">
        <f t="shared" si="6"/>
        <v>kk</v>
      </c>
      <c r="L77" s="226" t="str">
        <f t="shared" si="11"/>
        <v>ll</v>
      </c>
      <c r="M77" s="226" t="str">
        <f t="shared" si="12"/>
        <v>mm</v>
      </c>
      <c r="N77" s="227" t="str">
        <f t="shared" si="13"/>
        <v/>
      </c>
    </row>
    <row r="78" spans="1:14">
      <c r="A78" s="224" t="str">
        <f t="shared" si="7"/>
        <v/>
      </c>
      <c r="B78" s="224"/>
      <c r="C78" s="224"/>
      <c r="D78" s="224" t="str">
        <f t="shared" si="8"/>
        <v/>
      </c>
      <c r="E78" s="224" t="str">
        <f t="shared" si="9"/>
        <v/>
      </c>
      <c r="F78" s="224" t="str">
        <f>IF(N78="","",Results!$H$9)</f>
        <v/>
      </c>
      <c r="G78" s="224"/>
      <c r="H78" s="224"/>
      <c r="I78" s="224" t="str">
        <f t="shared" si="10"/>
        <v/>
      </c>
      <c r="J78" s="225" t="str">
        <f t="shared" si="5"/>
        <v>jj</v>
      </c>
      <c r="K78" s="226" t="str">
        <f t="shared" si="6"/>
        <v>kk</v>
      </c>
      <c r="L78" s="226" t="str">
        <f t="shared" si="11"/>
        <v>ll</v>
      </c>
      <c r="M78" s="226" t="str">
        <f t="shared" si="12"/>
        <v>mm</v>
      </c>
      <c r="N78" s="227" t="str">
        <f t="shared" si="13"/>
        <v/>
      </c>
    </row>
    <row r="79" spans="1:14">
      <c r="A79" s="224" t="str">
        <f t="shared" si="7"/>
        <v/>
      </c>
      <c r="B79" s="224"/>
      <c r="C79" s="224"/>
      <c r="D79" s="224" t="str">
        <f t="shared" si="8"/>
        <v/>
      </c>
      <c r="E79" s="224" t="str">
        <f t="shared" si="9"/>
        <v/>
      </c>
      <c r="F79" s="224" t="str">
        <f>IF(N79="","",Results!$H$9)</f>
        <v/>
      </c>
      <c r="G79" s="224"/>
      <c r="H79" s="224"/>
      <c r="I79" s="224" t="str">
        <f t="shared" si="10"/>
        <v/>
      </c>
      <c r="J79" s="225" t="str">
        <f t="shared" si="5"/>
        <v>jj</v>
      </c>
      <c r="K79" s="226" t="str">
        <f t="shared" si="6"/>
        <v>kk</v>
      </c>
      <c r="L79" s="226" t="str">
        <f t="shared" si="11"/>
        <v>ll</v>
      </c>
      <c r="M79" s="226" t="str">
        <f t="shared" si="12"/>
        <v>mm</v>
      </c>
      <c r="N79" s="227" t="str">
        <f t="shared" si="13"/>
        <v/>
      </c>
    </row>
    <row r="80" spans="1:14">
      <c r="A80" s="224" t="str">
        <f t="shared" si="7"/>
        <v/>
      </c>
      <c r="B80" s="224"/>
      <c r="C80" s="224"/>
      <c r="D80" s="224" t="str">
        <f t="shared" si="8"/>
        <v/>
      </c>
      <c r="E80" s="224" t="str">
        <f t="shared" si="9"/>
        <v/>
      </c>
      <c r="F80" s="224" t="str">
        <f>IF(N80="","",Results!$H$9)</f>
        <v/>
      </c>
      <c r="G80" s="224"/>
      <c r="H80" s="224"/>
      <c r="I80" s="224" t="str">
        <f t="shared" si="10"/>
        <v/>
      </c>
      <c r="J80" s="225" t="str">
        <f t="shared" si="5"/>
        <v>jj</v>
      </c>
      <c r="K80" s="226" t="str">
        <f t="shared" si="6"/>
        <v>kk</v>
      </c>
      <c r="L80" s="226" t="str">
        <f t="shared" si="11"/>
        <v>ll</v>
      </c>
      <c r="M80" s="226" t="str">
        <f t="shared" si="12"/>
        <v>mm</v>
      </c>
      <c r="N80" s="227" t="str">
        <f t="shared" si="13"/>
        <v/>
      </c>
    </row>
    <row r="81" spans="1:14">
      <c r="A81" s="224" t="str">
        <f t="shared" si="7"/>
        <v/>
      </c>
      <c r="B81" s="224"/>
      <c r="C81" s="224"/>
      <c r="D81" s="224" t="str">
        <f t="shared" si="8"/>
        <v/>
      </c>
      <c r="E81" s="224" t="str">
        <f t="shared" si="9"/>
        <v/>
      </c>
      <c r="F81" s="224" t="str">
        <f>IF(N81="","",Results!$H$9)</f>
        <v/>
      </c>
      <c r="G81" s="224"/>
      <c r="H81" s="224"/>
      <c r="I81" s="224" t="str">
        <f t="shared" si="10"/>
        <v/>
      </c>
      <c r="J81" s="225" t="str">
        <f t="shared" si="5"/>
        <v>jj</v>
      </c>
      <c r="K81" s="226" t="str">
        <f t="shared" si="6"/>
        <v>kk</v>
      </c>
      <c r="L81" s="226" t="str">
        <f t="shared" si="11"/>
        <v>ll</v>
      </c>
      <c r="M81" s="226" t="str">
        <f t="shared" si="12"/>
        <v>mm</v>
      </c>
      <c r="N81" s="227" t="str">
        <f t="shared" si="13"/>
        <v/>
      </c>
    </row>
    <row r="82" spans="1:14">
      <c r="A82" s="224" t="str">
        <f t="shared" si="7"/>
        <v/>
      </c>
      <c r="B82" s="224"/>
      <c r="C82" s="224"/>
      <c r="D82" s="224" t="str">
        <f t="shared" si="8"/>
        <v/>
      </c>
      <c r="E82" s="224" t="str">
        <f t="shared" si="9"/>
        <v/>
      </c>
      <c r="F82" s="224" t="str">
        <f>IF(N82="","",Results!$H$9)</f>
        <v/>
      </c>
      <c r="G82" s="224"/>
      <c r="H82" s="224"/>
      <c r="I82" s="224" t="str">
        <f t="shared" si="10"/>
        <v/>
      </c>
      <c r="J82" s="225" t="str">
        <f t="shared" si="5"/>
        <v>jj</v>
      </c>
      <c r="K82" s="226" t="str">
        <f t="shared" si="6"/>
        <v>kk</v>
      </c>
      <c r="L82" s="226" t="str">
        <f t="shared" si="11"/>
        <v>ll</v>
      </c>
      <c r="M82" s="226" t="str">
        <f t="shared" si="12"/>
        <v>mm</v>
      </c>
      <c r="N82" s="227" t="str">
        <f t="shared" si="13"/>
        <v/>
      </c>
    </row>
    <row r="83" spans="1:14">
      <c r="A83" s="224" t="str">
        <f t="shared" si="7"/>
        <v/>
      </c>
      <c r="B83" s="224"/>
      <c r="C83" s="224"/>
      <c r="D83" s="224" t="str">
        <f t="shared" si="8"/>
        <v/>
      </c>
      <c r="E83" s="224" t="str">
        <f t="shared" si="9"/>
        <v/>
      </c>
      <c r="F83" s="224" t="str">
        <f>IF(N83="","",Results!$H$9)</f>
        <v/>
      </c>
      <c r="G83" s="224"/>
      <c r="H83" s="224"/>
      <c r="I83" s="224" t="str">
        <f t="shared" si="10"/>
        <v/>
      </c>
      <c r="J83" s="225" t="str">
        <f t="shared" si="5"/>
        <v>jj</v>
      </c>
      <c r="K83" s="226" t="str">
        <f t="shared" si="6"/>
        <v>kk</v>
      </c>
      <c r="L83" s="226" t="str">
        <f t="shared" si="11"/>
        <v>ll</v>
      </c>
      <c r="M83" s="226" t="str">
        <f t="shared" si="12"/>
        <v>mm</v>
      </c>
      <c r="N83" s="227" t="str">
        <f t="shared" si="13"/>
        <v/>
      </c>
    </row>
    <row r="84" spans="1:14">
      <c r="A84" s="224" t="str">
        <f t="shared" si="7"/>
        <v/>
      </c>
      <c r="B84" s="224"/>
      <c r="C84" s="224"/>
      <c r="D84" s="224" t="str">
        <f t="shared" si="8"/>
        <v/>
      </c>
      <c r="E84" s="224" t="str">
        <f t="shared" si="9"/>
        <v/>
      </c>
      <c r="F84" s="224" t="str">
        <f>IF(N84="","",Results!$H$9)</f>
        <v/>
      </c>
      <c r="G84" s="224"/>
      <c r="H84" s="224"/>
      <c r="I84" s="224" t="str">
        <f t="shared" si="10"/>
        <v/>
      </c>
      <c r="J84" s="225" t="str">
        <f t="shared" si="5"/>
        <v>jj</v>
      </c>
      <c r="K84" s="226" t="str">
        <f t="shared" si="6"/>
        <v>kk</v>
      </c>
      <c r="L84" s="226" t="str">
        <f t="shared" si="11"/>
        <v>ll</v>
      </c>
      <c r="M84" s="226" t="str">
        <f t="shared" si="12"/>
        <v>mm</v>
      </c>
      <c r="N84" s="227" t="str">
        <f t="shared" si="13"/>
        <v/>
      </c>
    </row>
    <row r="85" spans="1:14">
      <c r="A85" s="224" t="str">
        <f t="shared" si="7"/>
        <v/>
      </c>
      <c r="B85" s="224"/>
      <c r="C85" s="224"/>
      <c r="D85" s="224" t="str">
        <f t="shared" si="8"/>
        <v/>
      </c>
      <c r="E85" s="224" t="str">
        <f t="shared" si="9"/>
        <v/>
      </c>
      <c r="F85" s="224" t="str">
        <f>IF(N85="","",Results!$H$9)</f>
        <v/>
      </c>
      <c r="G85" s="224"/>
      <c r="H85" s="224"/>
      <c r="I85" s="224" t="str">
        <f t="shared" si="10"/>
        <v/>
      </c>
      <c r="J85" s="225" t="str">
        <f t="shared" si="5"/>
        <v>jj</v>
      </c>
      <c r="K85" s="226" t="str">
        <f t="shared" si="6"/>
        <v>kk</v>
      </c>
      <c r="L85" s="226" t="str">
        <f t="shared" si="11"/>
        <v>ll</v>
      </c>
      <c r="M85" s="226" t="str">
        <f t="shared" si="12"/>
        <v>mm</v>
      </c>
      <c r="N85" s="227" t="str">
        <f t="shared" si="13"/>
        <v/>
      </c>
    </row>
    <row r="86" spans="1:14">
      <c r="A86" s="224" t="str">
        <f t="shared" si="7"/>
        <v/>
      </c>
      <c r="B86" s="224"/>
      <c r="C86" s="224"/>
      <c r="D86" s="224" t="str">
        <f t="shared" si="8"/>
        <v/>
      </c>
      <c r="E86" s="224" t="str">
        <f t="shared" si="9"/>
        <v/>
      </c>
      <c r="F86" s="224" t="str">
        <f>IF(N86="","",Results!$H$9)</f>
        <v/>
      </c>
      <c r="G86" s="224"/>
      <c r="H86" s="224"/>
      <c r="I86" s="224" t="str">
        <f t="shared" si="10"/>
        <v/>
      </c>
      <c r="J86" s="225" t="str">
        <f t="shared" si="5"/>
        <v>jj</v>
      </c>
      <c r="K86" s="226" t="str">
        <f t="shared" si="6"/>
        <v>kk</v>
      </c>
      <c r="L86" s="226" t="str">
        <f t="shared" si="11"/>
        <v>ll</v>
      </c>
      <c r="M86" s="226" t="str">
        <f t="shared" si="12"/>
        <v>mm</v>
      </c>
      <c r="N86" s="227" t="str">
        <f t="shared" si="13"/>
        <v/>
      </c>
    </row>
    <row r="87" spans="1:14">
      <c r="A87" s="224" t="str">
        <f t="shared" si="7"/>
        <v/>
      </c>
      <c r="B87" s="224"/>
      <c r="C87" s="224"/>
      <c r="D87" s="224" t="str">
        <f t="shared" si="8"/>
        <v/>
      </c>
      <c r="E87" s="224" t="str">
        <f t="shared" si="9"/>
        <v/>
      </c>
      <c r="F87" s="224" t="str">
        <f>IF(N87="","",Results!$H$9)</f>
        <v/>
      </c>
      <c r="G87" s="224"/>
      <c r="H87" s="224"/>
      <c r="I87" s="224" t="str">
        <f t="shared" si="10"/>
        <v/>
      </c>
      <c r="J87" s="225" t="str">
        <f t="shared" si="5"/>
        <v>jj</v>
      </c>
      <c r="K87" s="226" t="str">
        <f t="shared" si="6"/>
        <v>kk</v>
      </c>
      <c r="L87" s="226" t="str">
        <f t="shared" si="11"/>
        <v>ll</v>
      </c>
      <c r="M87" s="226" t="str">
        <f t="shared" si="12"/>
        <v>mm</v>
      </c>
      <c r="N87" s="227" t="str">
        <f t="shared" si="13"/>
        <v/>
      </c>
    </row>
    <row r="88" spans="1:14">
      <c r="A88" s="224" t="str">
        <f t="shared" si="7"/>
        <v/>
      </c>
      <c r="B88" s="224"/>
      <c r="C88" s="224"/>
      <c r="D88" s="224" t="str">
        <f t="shared" si="8"/>
        <v/>
      </c>
      <c r="E88" s="224" t="str">
        <f t="shared" si="9"/>
        <v/>
      </c>
      <c r="F88" s="224" t="str">
        <f>IF(N88="","",Results!$H$9)</f>
        <v/>
      </c>
      <c r="G88" s="224"/>
      <c r="H88" s="224"/>
      <c r="I88" s="224" t="str">
        <f t="shared" si="10"/>
        <v/>
      </c>
      <c r="J88" s="225" t="str">
        <f t="shared" si="5"/>
        <v>jj</v>
      </c>
      <c r="K88" s="226" t="str">
        <f t="shared" si="6"/>
        <v>kk</v>
      </c>
      <c r="L88" s="226" t="str">
        <f t="shared" si="11"/>
        <v>ll</v>
      </c>
      <c r="M88" s="226" t="str">
        <f t="shared" si="12"/>
        <v>mm</v>
      </c>
      <c r="N88" s="227" t="str">
        <f t="shared" si="13"/>
        <v/>
      </c>
    </row>
    <row r="89" spans="1:14">
      <c r="A89" s="224" t="str">
        <f t="shared" si="7"/>
        <v/>
      </c>
      <c r="B89" s="224"/>
      <c r="C89" s="224"/>
      <c r="D89" s="224" t="str">
        <f t="shared" si="8"/>
        <v/>
      </c>
      <c r="E89" s="224" t="str">
        <f t="shared" si="9"/>
        <v/>
      </c>
      <c r="F89" s="224" t="str">
        <f>IF(N89="","",Results!$H$9)</f>
        <v/>
      </c>
      <c r="G89" s="224"/>
      <c r="H89" s="224"/>
      <c r="I89" s="224" t="str">
        <f t="shared" si="10"/>
        <v/>
      </c>
      <c r="J89" s="225" t="str">
        <f t="shared" si="5"/>
        <v>jj</v>
      </c>
      <c r="K89" s="226" t="str">
        <f t="shared" si="6"/>
        <v>kk</v>
      </c>
      <c r="L89" s="226" t="str">
        <f t="shared" si="11"/>
        <v>ll</v>
      </c>
      <c r="M89" s="226" t="str">
        <f t="shared" si="12"/>
        <v>mm</v>
      </c>
      <c r="N89" s="227" t="str">
        <f t="shared" si="13"/>
        <v/>
      </c>
    </row>
    <row r="90" spans="1:14">
      <c r="A90" s="224" t="str">
        <f t="shared" si="7"/>
        <v/>
      </c>
      <c r="B90" s="224"/>
      <c r="C90" s="224"/>
      <c r="D90" s="224" t="str">
        <f t="shared" si="8"/>
        <v/>
      </c>
      <c r="E90" s="224" t="str">
        <f t="shared" si="9"/>
        <v/>
      </c>
      <c r="F90" s="224" t="str">
        <f>IF(N90="","",Results!$H$9)</f>
        <v/>
      </c>
      <c r="G90" s="224"/>
      <c r="H90" s="224"/>
      <c r="I90" s="224" t="str">
        <f t="shared" si="10"/>
        <v/>
      </c>
      <c r="J90" s="225" t="str">
        <f t="shared" si="5"/>
        <v>jj</v>
      </c>
      <c r="K90" s="226" t="str">
        <f t="shared" si="6"/>
        <v>kk</v>
      </c>
      <c r="L90" s="226" t="str">
        <f t="shared" si="11"/>
        <v>ll</v>
      </c>
      <c r="M90" s="226" t="str">
        <f t="shared" si="12"/>
        <v>mm</v>
      </c>
      <c r="N90" s="227" t="str">
        <f t="shared" si="13"/>
        <v/>
      </c>
    </row>
    <row r="91" spans="1:14">
      <c r="A91" s="224" t="str">
        <f t="shared" si="7"/>
        <v/>
      </c>
      <c r="B91" s="224"/>
      <c r="C91" s="224"/>
      <c r="D91" s="224" t="str">
        <f t="shared" si="8"/>
        <v/>
      </c>
      <c r="E91" s="224" t="str">
        <f t="shared" si="9"/>
        <v/>
      </c>
      <c r="F91" s="224" t="str">
        <f>IF(N91="","",Results!$H$9)</f>
        <v/>
      </c>
      <c r="G91" s="224"/>
      <c r="H91" s="224"/>
      <c r="I91" s="224" t="str">
        <f t="shared" si="10"/>
        <v/>
      </c>
      <c r="J91" s="225" t="str">
        <f t="shared" si="5"/>
        <v>jj</v>
      </c>
      <c r="K91" s="226" t="str">
        <f t="shared" si="6"/>
        <v>kk</v>
      </c>
      <c r="L91" s="226" t="str">
        <f t="shared" si="11"/>
        <v>ll</v>
      </c>
      <c r="M91" s="226" t="str">
        <f t="shared" si="12"/>
        <v>mm</v>
      </c>
      <c r="N91" s="227" t="str">
        <f t="shared" si="13"/>
        <v/>
      </c>
    </row>
    <row r="92" spans="1:14">
      <c r="A92" s="224" t="str">
        <f t="shared" si="7"/>
        <v/>
      </c>
      <c r="B92" s="224"/>
      <c r="C92" s="224"/>
      <c r="D92" s="224" t="str">
        <f t="shared" si="8"/>
        <v/>
      </c>
      <c r="E92" s="224" t="str">
        <f t="shared" si="9"/>
        <v/>
      </c>
      <c r="F92" s="224" t="str">
        <f>IF(N92="","",Results!$H$9)</f>
        <v/>
      </c>
      <c r="G92" s="224"/>
      <c r="H92" s="224"/>
      <c r="I92" s="224" t="str">
        <f t="shared" si="10"/>
        <v/>
      </c>
      <c r="J92" s="225" t="str">
        <f t="shared" si="5"/>
        <v>jj</v>
      </c>
      <c r="K92" s="226" t="str">
        <f t="shared" si="6"/>
        <v>kk</v>
      </c>
      <c r="L92" s="226" t="str">
        <f t="shared" si="11"/>
        <v>ll</v>
      </c>
      <c r="M92" s="226" t="str">
        <f t="shared" si="12"/>
        <v>mm</v>
      </c>
      <c r="N92" s="227" t="str">
        <f t="shared" si="13"/>
        <v/>
      </c>
    </row>
    <row r="93" spans="1:14">
      <c r="A93" s="224" t="str">
        <f t="shared" si="7"/>
        <v/>
      </c>
      <c r="B93" s="224"/>
      <c r="C93" s="224"/>
      <c r="D93" s="224" t="str">
        <f t="shared" si="8"/>
        <v/>
      </c>
      <c r="E93" s="224" t="str">
        <f t="shared" si="9"/>
        <v/>
      </c>
      <c r="F93" s="224" t="str">
        <f>IF(N93="","",Results!$H$9)</f>
        <v/>
      </c>
      <c r="G93" s="224"/>
      <c r="H93" s="224"/>
      <c r="I93" s="224" t="str">
        <f t="shared" si="10"/>
        <v/>
      </c>
      <c r="J93" s="225" t="str">
        <f t="shared" si="5"/>
        <v>jj</v>
      </c>
      <c r="K93" s="226" t="str">
        <f t="shared" si="6"/>
        <v>kk</v>
      </c>
      <c r="L93" s="226" t="str">
        <f t="shared" si="11"/>
        <v>ll</v>
      </c>
      <c r="M93" s="226" t="str">
        <f t="shared" si="12"/>
        <v>mm</v>
      </c>
      <c r="N93" s="227" t="str">
        <f t="shared" si="13"/>
        <v/>
      </c>
    </row>
    <row r="94" spans="1:14">
      <c r="A94" s="224" t="str">
        <f t="shared" si="7"/>
        <v/>
      </c>
      <c r="B94" s="224"/>
      <c r="C94" s="224"/>
      <c r="D94" s="224" t="str">
        <f t="shared" si="8"/>
        <v/>
      </c>
      <c r="E94" s="224" t="str">
        <f t="shared" si="9"/>
        <v/>
      </c>
      <c r="F94" s="224" t="str">
        <f>IF(N94="","",Results!$H$9)</f>
        <v/>
      </c>
      <c r="G94" s="224"/>
      <c r="H94" s="224"/>
      <c r="I94" s="224" t="str">
        <f t="shared" si="10"/>
        <v/>
      </c>
      <c r="J94" s="225" t="str">
        <f t="shared" si="5"/>
        <v>jj</v>
      </c>
      <c r="K94" s="226" t="str">
        <f t="shared" si="6"/>
        <v>kk</v>
      </c>
      <c r="L94" s="226" t="str">
        <f t="shared" si="11"/>
        <v>ll</v>
      </c>
      <c r="M94" s="226" t="str">
        <f t="shared" si="12"/>
        <v>mm</v>
      </c>
      <c r="N94" s="227" t="str">
        <f t="shared" si="13"/>
        <v/>
      </c>
    </row>
    <row r="95" spans="1:14">
      <c r="A95" s="224" t="str">
        <f t="shared" si="7"/>
        <v/>
      </c>
      <c r="B95" s="224"/>
      <c r="C95" s="224"/>
      <c r="D95" s="224" t="str">
        <f t="shared" si="8"/>
        <v/>
      </c>
      <c r="E95" s="224" t="str">
        <f t="shared" si="9"/>
        <v/>
      </c>
      <c r="F95" s="224" t="str">
        <f>IF(N95="","",Results!$H$9)</f>
        <v/>
      </c>
      <c r="G95" s="224"/>
      <c r="H95" s="224"/>
      <c r="I95" s="224" t="str">
        <f t="shared" si="10"/>
        <v/>
      </c>
      <c r="J95" s="225" t="str">
        <f t="shared" ref="J95:J114" si="14">IFERROR(IF(J94="",J$27+1,IF(J94=J$59,"j",J94+1)),"jj")</f>
        <v>jj</v>
      </c>
      <c r="K95" s="226" t="str">
        <f t="shared" ref="K95:K114" si="15">IF((J95="jj"),IFERROR(IF(K94="",J$27+1,IF(K94=J$46,"k",K94+1)),"kk"),"")</f>
        <v>kk</v>
      </c>
      <c r="L95" s="226" t="str">
        <f t="shared" si="11"/>
        <v>ll</v>
      </c>
      <c r="M95" s="226" t="str">
        <f t="shared" si="12"/>
        <v>mm</v>
      </c>
      <c r="N95" s="227" t="str">
        <f t="shared" si="13"/>
        <v/>
      </c>
    </row>
    <row r="96" spans="1:14">
      <c r="A96" s="224" t="str">
        <f t="shared" si="7"/>
        <v/>
      </c>
      <c r="B96" s="224"/>
      <c r="C96" s="224"/>
      <c r="D96" s="224" t="str">
        <f t="shared" si="8"/>
        <v/>
      </c>
      <c r="E96" s="224" t="str">
        <f t="shared" si="9"/>
        <v/>
      </c>
      <c r="F96" s="224" t="str">
        <f>IF(N96="","",Results!$H$9)</f>
        <v/>
      </c>
      <c r="G96" s="224"/>
      <c r="H96" s="224"/>
      <c r="I96" s="224" t="str">
        <f t="shared" si="10"/>
        <v/>
      </c>
      <c r="J96" s="225" t="str">
        <f t="shared" si="14"/>
        <v>jj</v>
      </c>
      <c r="K96" s="226" t="str">
        <f t="shared" si="15"/>
        <v>kk</v>
      </c>
      <c r="L96" s="226" t="str">
        <f t="shared" si="11"/>
        <v>ll</v>
      </c>
      <c r="M96" s="226" t="str">
        <f t="shared" si="12"/>
        <v>mm</v>
      </c>
      <c r="N96" s="227" t="str">
        <f t="shared" si="13"/>
        <v/>
      </c>
    </row>
    <row r="97" spans="1:14">
      <c r="A97" s="224" t="str">
        <f t="shared" si="7"/>
        <v/>
      </c>
      <c r="B97" s="224"/>
      <c r="C97" s="224"/>
      <c r="D97" s="224" t="str">
        <f t="shared" si="8"/>
        <v/>
      </c>
      <c r="E97" s="224" t="str">
        <f t="shared" si="9"/>
        <v/>
      </c>
      <c r="F97" s="224" t="str">
        <f>IF(N97="","",Results!$H$9)</f>
        <v/>
      </c>
      <c r="G97" s="224"/>
      <c r="H97" s="224"/>
      <c r="I97" s="224" t="str">
        <f t="shared" si="10"/>
        <v/>
      </c>
      <c r="J97" s="225" t="str">
        <f t="shared" si="14"/>
        <v>jj</v>
      </c>
      <c r="K97" s="226" t="str">
        <f t="shared" si="15"/>
        <v>kk</v>
      </c>
      <c r="L97" s="226" t="str">
        <f t="shared" si="11"/>
        <v>ll</v>
      </c>
      <c r="M97" s="226" t="str">
        <f t="shared" si="12"/>
        <v>mm</v>
      </c>
      <c r="N97" s="227" t="str">
        <f t="shared" si="13"/>
        <v/>
      </c>
    </row>
    <row r="98" spans="1:14">
      <c r="A98" s="224" t="str">
        <f t="shared" si="7"/>
        <v/>
      </c>
      <c r="B98" s="224"/>
      <c r="C98" s="224"/>
      <c r="D98" s="224" t="str">
        <f t="shared" si="8"/>
        <v/>
      </c>
      <c r="E98" s="224" t="str">
        <f t="shared" si="9"/>
        <v/>
      </c>
      <c r="F98" s="224" t="str">
        <f>IF(N98="","",Results!$H$9)</f>
        <v/>
      </c>
      <c r="G98" s="224"/>
      <c r="H98" s="224"/>
      <c r="I98" s="224" t="str">
        <f t="shared" si="10"/>
        <v/>
      </c>
      <c r="J98" s="225" t="str">
        <f t="shared" si="14"/>
        <v>jj</v>
      </c>
      <c r="K98" s="226" t="str">
        <f t="shared" si="15"/>
        <v>kk</v>
      </c>
      <c r="L98" s="226" t="str">
        <f t="shared" si="11"/>
        <v>ll</v>
      </c>
      <c r="M98" s="226" t="str">
        <f t="shared" si="12"/>
        <v>mm</v>
      </c>
      <c r="N98" s="227" t="str">
        <f t="shared" si="13"/>
        <v/>
      </c>
    </row>
    <row r="99" spans="1:14">
      <c r="A99" s="224" t="str">
        <f t="shared" si="7"/>
        <v/>
      </c>
      <c r="B99" s="224"/>
      <c r="C99" s="224"/>
      <c r="D99" s="224" t="str">
        <f t="shared" si="8"/>
        <v/>
      </c>
      <c r="E99" s="224" t="str">
        <f t="shared" si="9"/>
        <v/>
      </c>
      <c r="F99" s="224" t="str">
        <f>IF(N99="","",Results!$H$9)</f>
        <v/>
      </c>
      <c r="G99" s="224"/>
      <c r="H99" s="224"/>
      <c r="I99" s="224" t="str">
        <f t="shared" si="10"/>
        <v/>
      </c>
      <c r="J99" s="225" t="str">
        <f t="shared" si="14"/>
        <v>jj</v>
      </c>
      <c r="K99" s="226" t="str">
        <f t="shared" si="15"/>
        <v>kk</v>
      </c>
      <c r="L99" s="226" t="str">
        <f t="shared" si="11"/>
        <v>ll</v>
      </c>
      <c r="M99" s="226" t="str">
        <f t="shared" si="12"/>
        <v>mm</v>
      </c>
      <c r="N99" s="227" t="str">
        <f t="shared" si="13"/>
        <v/>
      </c>
    </row>
    <row r="100" spans="1:14">
      <c r="A100" s="224" t="str">
        <f t="shared" si="7"/>
        <v/>
      </c>
      <c r="B100" s="224"/>
      <c r="C100" s="224"/>
      <c r="D100" s="224" t="str">
        <f t="shared" si="8"/>
        <v/>
      </c>
      <c r="E100" s="224" t="str">
        <f t="shared" si="9"/>
        <v/>
      </c>
      <c r="F100" s="224" t="str">
        <f>IF(N100="","",Results!$H$9)</f>
        <v/>
      </c>
      <c r="G100" s="224"/>
      <c r="H100" s="224"/>
      <c r="I100" s="224" t="str">
        <f t="shared" si="10"/>
        <v/>
      </c>
      <c r="J100" s="225" t="str">
        <f t="shared" si="14"/>
        <v>jj</v>
      </c>
      <c r="K100" s="226" t="str">
        <f t="shared" si="15"/>
        <v>kk</v>
      </c>
      <c r="L100" s="226" t="str">
        <f t="shared" si="11"/>
        <v>ll</v>
      </c>
      <c r="M100" s="226" t="str">
        <f t="shared" si="12"/>
        <v>mm</v>
      </c>
      <c r="N100" s="227" t="str">
        <f t="shared" si="13"/>
        <v/>
      </c>
    </row>
    <row r="101" spans="1:14">
      <c r="A101" s="224" t="str">
        <f t="shared" si="7"/>
        <v/>
      </c>
      <c r="B101" s="224"/>
      <c r="C101" s="224"/>
      <c r="D101" s="224" t="str">
        <f t="shared" si="8"/>
        <v/>
      </c>
      <c r="E101" s="224" t="str">
        <f t="shared" si="9"/>
        <v/>
      </c>
      <c r="F101" s="224" t="str">
        <f>IF(N101="","",Results!$H$9)</f>
        <v/>
      </c>
      <c r="G101" s="224"/>
      <c r="H101" s="224"/>
      <c r="I101" s="224" t="str">
        <f t="shared" si="10"/>
        <v/>
      </c>
      <c r="J101" s="225" t="str">
        <f t="shared" si="14"/>
        <v>jj</v>
      </c>
      <c r="K101" s="226" t="str">
        <f t="shared" si="15"/>
        <v>kk</v>
      </c>
      <c r="L101" s="226" t="str">
        <f t="shared" si="11"/>
        <v>ll</v>
      </c>
      <c r="M101" s="226" t="str">
        <f t="shared" si="12"/>
        <v>mm</v>
      </c>
      <c r="N101" s="227" t="str">
        <f t="shared" si="13"/>
        <v/>
      </c>
    </row>
    <row r="102" spans="1:14">
      <c r="A102" s="224" t="str">
        <f t="shared" si="7"/>
        <v/>
      </c>
      <c r="B102" s="224"/>
      <c r="C102" s="224"/>
      <c r="D102" s="224" t="str">
        <f t="shared" si="8"/>
        <v/>
      </c>
      <c r="E102" s="224" t="str">
        <f t="shared" si="9"/>
        <v/>
      </c>
      <c r="F102" s="224" t="str">
        <f>IF(N102="","",Results!$H$9)</f>
        <v/>
      </c>
      <c r="G102" s="224"/>
      <c r="H102" s="224"/>
      <c r="I102" s="224" t="str">
        <f t="shared" si="10"/>
        <v/>
      </c>
      <c r="J102" s="225" t="str">
        <f t="shared" si="14"/>
        <v>jj</v>
      </c>
      <c r="K102" s="226" t="str">
        <f t="shared" si="15"/>
        <v>kk</v>
      </c>
      <c r="L102" s="226" t="str">
        <f t="shared" si="11"/>
        <v>ll</v>
      </c>
      <c r="M102" s="226" t="str">
        <f t="shared" si="12"/>
        <v>mm</v>
      </c>
      <c r="N102" s="227" t="str">
        <f t="shared" si="13"/>
        <v/>
      </c>
    </row>
    <row r="103" spans="1:14">
      <c r="A103" s="224" t="str">
        <f t="shared" si="7"/>
        <v/>
      </c>
      <c r="B103" s="224"/>
      <c r="C103" s="224"/>
      <c r="D103" s="224" t="str">
        <f t="shared" si="8"/>
        <v/>
      </c>
      <c r="E103" s="224" t="str">
        <f t="shared" si="9"/>
        <v/>
      </c>
      <c r="F103" s="224" t="str">
        <f>IF(N103="","",Results!$H$9)</f>
        <v/>
      </c>
      <c r="G103" s="224"/>
      <c r="H103" s="224"/>
      <c r="I103" s="224" t="str">
        <f t="shared" si="10"/>
        <v/>
      </c>
      <c r="J103" s="225" t="str">
        <f t="shared" si="14"/>
        <v>jj</v>
      </c>
      <c r="K103" s="226" t="str">
        <f t="shared" si="15"/>
        <v>kk</v>
      </c>
      <c r="L103" s="226" t="str">
        <f t="shared" si="11"/>
        <v>ll</v>
      </c>
      <c r="M103" s="226" t="str">
        <f t="shared" si="12"/>
        <v>mm</v>
      </c>
      <c r="N103" s="227" t="str">
        <f t="shared" si="13"/>
        <v/>
      </c>
    </row>
    <row r="104" spans="1:14">
      <c r="A104" s="224" t="str">
        <f t="shared" si="7"/>
        <v/>
      </c>
      <c r="B104" s="224"/>
      <c r="C104" s="224"/>
      <c r="D104" s="224" t="str">
        <f t="shared" si="8"/>
        <v/>
      </c>
      <c r="E104" s="224" t="str">
        <f t="shared" si="9"/>
        <v/>
      </c>
      <c r="F104" s="224" t="str">
        <f>IF(N104="","",Results!$H$9)</f>
        <v/>
      </c>
      <c r="G104" s="224"/>
      <c r="H104" s="224"/>
      <c r="I104" s="224" t="str">
        <f t="shared" si="10"/>
        <v/>
      </c>
      <c r="J104" s="225" t="str">
        <f t="shared" si="14"/>
        <v>jj</v>
      </c>
      <c r="K104" s="226" t="str">
        <f t="shared" si="15"/>
        <v>kk</v>
      </c>
      <c r="L104" s="226" t="str">
        <f t="shared" si="11"/>
        <v>ll</v>
      </c>
      <c r="M104" s="226" t="str">
        <f t="shared" si="12"/>
        <v>mm</v>
      </c>
      <c r="N104" s="227" t="str">
        <f t="shared" si="13"/>
        <v/>
      </c>
    </row>
    <row r="105" spans="1:14">
      <c r="A105" s="224" t="str">
        <f t="shared" si="7"/>
        <v/>
      </c>
      <c r="B105" s="224"/>
      <c r="C105" s="224"/>
      <c r="D105" s="224" t="str">
        <f t="shared" si="8"/>
        <v/>
      </c>
      <c r="E105" s="224" t="str">
        <f t="shared" si="9"/>
        <v/>
      </c>
      <c r="F105" s="224" t="str">
        <f>IF(N105="","",Results!$H$9)</f>
        <v/>
      </c>
      <c r="G105" s="224"/>
      <c r="H105" s="224"/>
      <c r="I105" s="224" t="str">
        <f t="shared" si="10"/>
        <v/>
      </c>
      <c r="J105" s="225" t="str">
        <f t="shared" si="14"/>
        <v>jj</v>
      </c>
      <c r="K105" s="226" t="str">
        <f t="shared" si="15"/>
        <v>kk</v>
      </c>
      <c r="L105" s="226" t="str">
        <f t="shared" si="11"/>
        <v>ll</v>
      </c>
      <c r="M105" s="226" t="str">
        <f t="shared" si="12"/>
        <v>mm</v>
      </c>
      <c r="N105" s="227" t="str">
        <f t="shared" si="13"/>
        <v/>
      </c>
    </row>
    <row r="106" spans="1:14">
      <c r="A106" s="224" t="str">
        <f t="shared" si="7"/>
        <v/>
      </c>
      <c r="B106" s="224"/>
      <c r="C106" s="224"/>
      <c r="D106" s="224" t="str">
        <f t="shared" si="8"/>
        <v/>
      </c>
      <c r="E106" s="224" t="str">
        <f t="shared" si="9"/>
        <v/>
      </c>
      <c r="F106" s="224" t="str">
        <f>IF(N106="","",Results!$H$9)</f>
        <v/>
      </c>
      <c r="G106" s="224"/>
      <c r="H106" s="224"/>
      <c r="I106" s="224" t="str">
        <f t="shared" si="10"/>
        <v/>
      </c>
      <c r="J106" s="225" t="str">
        <f t="shared" si="14"/>
        <v>jj</v>
      </c>
      <c r="K106" s="226" t="str">
        <f t="shared" si="15"/>
        <v>kk</v>
      </c>
      <c r="L106" s="226" t="str">
        <f t="shared" si="11"/>
        <v>ll</v>
      </c>
      <c r="M106" s="226" t="str">
        <f t="shared" si="12"/>
        <v>mm</v>
      </c>
      <c r="N106" s="227" t="str">
        <f t="shared" si="13"/>
        <v/>
      </c>
    </row>
    <row r="107" spans="1:14">
      <c r="A107" s="224" t="str">
        <f t="shared" si="7"/>
        <v/>
      </c>
      <c r="B107" s="224"/>
      <c r="C107" s="224"/>
      <c r="D107" s="224" t="str">
        <f t="shared" si="8"/>
        <v/>
      </c>
      <c r="E107" s="224" t="str">
        <f t="shared" si="9"/>
        <v/>
      </c>
      <c r="F107" s="224" t="str">
        <f>IF(N107="","",Results!$H$9)</f>
        <v/>
      </c>
      <c r="G107" s="224"/>
      <c r="H107" s="224"/>
      <c r="I107" s="224" t="str">
        <f t="shared" si="10"/>
        <v/>
      </c>
      <c r="J107" s="225" t="str">
        <f t="shared" si="14"/>
        <v>jj</v>
      </c>
      <c r="K107" s="226" t="str">
        <f t="shared" si="15"/>
        <v>kk</v>
      </c>
      <c r="L107" s="226" t="str">
        <f t="shared" si="11"/>
        <v>ll</v>
      </c>
      <c r="M107" s="226" t="str">
        <f t="shared" si="12"/>
        <v>mm</v>
      </c>
      <c r="N107" s="227" t="str">
        <f t="shared" si="13"/>
        <v/>
      </c>
    </row>
    <row r="108" spans="1:14">
      <c r="A108" s="224" t="str">
        <f t="shared" si="7"/>
        <v/>
      </c>
      <c r="D108" s="224" t="str">
        <f t="shared" si="8"/>
        <v/>
      </c>
      <c r="E108" s="224" t="str">
        <f t="shared" si="9"/>
        <v/>
      </c>
      <c r="F108" s="224" t="str">
        <f>IF(N108="","",Results!$H$9)</f>
        <v/>
      </c>
      <c r="I108" s="224" t="str">
        <f t="shared" si="10"/>
        <v/>
      </c>
      <c r="J108" s="225" t="str">
        <f t="shared" si="14"/>
        <v>jj</v>
      </c>
      <c r="K108" s="226" t="str">
        <f t="shared" si="15"/>
        <v>kk</v>
      </c>
      <c r="L108" s="226" t="str">
        <f t="shared" si="11"/>
        <v>ll</v>
      </c>
      <c r="M108" s="226" t="str">
        <f t="shared" si="12"/>
        <v>mm</v>
      </c>
      <c r="N108" s="227" t="str">
        <f t="shared" si="13"/>
        <v/>
      </c>
    </row>
    <row r="109" spans="1:14">
      <c r="A109" s="224" t="str">
        <f t="shared" si="7"/>
        <v/>
      </c>
      <c r="D109" s="224" t="str">
        <f t="shared" si="8"/>
        <v/>
      </c>
      <c r="E109" s="224" t="str">
        <f t="shared" si="9"/>
        <v/>
      </c>
      <c r="F109" s="224" t="str">
        <f>IF(N109="","",Results!$H$9)</f>
        <v/>
      </c>
      <c r="I109" s="224" t="str">
        <f t="shared" si="10"/>
        <v/>
      </c>
      <c r="J109" s="225" t="str">
        <f t="shared" si="14"/>
        <v>jj</v>
      </c>
      <c r="K109" s="226" t="str">
        <f t="shared" si="15"/>
        <v>kk</v>
      </c>
      <c r="L109" s="226" t="str">
        <f t="shared" si="11"/>
        <v>ll</v>
      </c>
      <c r="M109" s="226" t="str">
        <f t="shared" si="12"/>
        <v>mm</v>
      </c>
      <c r="N109" s="227" t="str">
        <f t="shared" si="13"/>
        <v/>
      </c>
    </row>
    <row r="110" spans="1:14">
      <c r="A110" s="224" t="str">
        <f t="shared" si="7"/>
        <v/>
      </c>
      <c r="D110" s="224" t="str">
        <f t="shared" si="8"/>
        <v/>
      </c>
      <c r="E110" s="224" t="str">
        <f t="shared" si="9"/>
        <v/>
      </c>
      <c r="F110" s="224" t="str">
        <f>IF(N110="","",Results!$H$9)</f>
        <v/>
      </c>
      <c r="I110" s="224" t="str">
        <f t="shared" si="10"/>
        <v/>
      </c>
      <c r="J110" s="225" t="str">
        <f t="shared" si="14"/>
        <v>jj</v>
      </c>
      <c r="K110" s="226" t="str">
        <f t="shared" si="15"/>
        <v>kk</v>
      </c>
      <c r="L110" s="226" t="str">
        <f t="shared" si="11"/>
        <v>ll</v>
      </c>
      <c r="M110" s="226" t="str">
        <f t="shared" si="12"/>
        <v>mm</v>
      </c>
      <c r="N110" s="227" t="str">
        <f t="shared" si="13"/>
        <v/>
      </c>
    </row>
    <row r="111" spans="1:14">
      <c r="A111" s="224" t="str">
        <f t="shared" si="7"/>
        <v/>
      </c>
      <c r="D111" s="224" t="str">
        <f t="shared" si="8"/>
        <v/>
      </c>
      <c r="E111" s="224" t="str">
        <f t="shared" si="9"/>
        <v/>
      </c>
      <c r="F111" s="224" t="str">
        <f>IF(N111="","",Results!$H$9)</f>
        <v/>
      </c>
      <c r="I111" s="224" t="str">
        <f t="shared" si="10"/>
        <v/>
      </c>
      <c r="J111" s="225" t="str">
        <f t="shared" si="14"/>
        <v>jj</v>
      </c>
      <c r="K111" s="226" t="str">
        <f t="shared" si="15"/>
        <v>kk</v>
      </c>
      <c r="L111" s="226" t="str">
        <f t="shared" si="11"/>
        <v>ll</v>
      </c>
      <c r="M111" s="226" t="str">
        <f t="shared" si="12"/>
        <v>mm</v>
      </c>
      <c r="N111" s="227" t="str">
        <f t="shared" si="13"/>
        <v/>
      </c>
    </row>
    <row r="112" spans="1:14">
      <c r="A112" s="224" t="str">
        <f t="shared" si="7"/>
        <v/>
      </c>
      <c r="D112" s="224" t="str">
        <f t="shared" si="8"/>
        <v/>
      </c>
      <c r="E112" s="224" t="str">
        <f t="shared" si="9"/>
        <v/>
      </c>
      <c r="F112" s="224" t="str">
        <f>IF(N112="","",Results!$H$9)</f>
        <v/>
      </c>
      <c r="I112" s="224" t="str">
        <f t="shared" si="10"/>
        <v/>
      </c>
      <c r="J112" s="225" t="str">
        <f t="shared" si="14"/>
        <v>jj</v>
      </c>
      <c r="K112" s="226" t="str">
        <f t="shared" si="15"/>
        <v>kk</v>
      </c>
      <c r="L112" s="226" t="str">
        <f t="shared" si="11"/>
        <v>ll</v>
      </c>
      <c r="M112" s="226" t="str">
        <f t="shared" si="12"/>
        <v>mm</v>
      </c>
      <c r="N112" s="227" t="str">
        <f t="shared" si="13"/>
        <v/>
      </c>
    </row>
    <row r="113" spans="1:14">
      <c r="A113" s="224" t="str">
        <f t="shared" si="7"/>
        <v/>
      </c>
      <c r="D113" s="224" t="str">
        <f t="shared" si="8"/>
        <v/>
      </c>
      <c r="E113" s="224" t="str">
        <f t="shared" si="9"/>
        <v/>
      </c>
      <c r="F113" s="224" t="str">
        <f>IF(N113="","",Results!$H$9)</f>
        <v/>
      </c>
      <c r="I113" s="224" t="str">
        <f t="shared" si="10"/>
        <v/>
      </c>
      <c r="J113" s="225" t="str">
        <f t="shared" si="14"/>
        <v>jj</v>
      </c>
      <c r="K113" s="226" t="str">
        <f t="shared" si="15"/>
        <v>kk</v>
      </c>
      <c r="L113" s="226" t="str">
        <f t="shared" si="11"/>
        <v>ll</v>
      </c>
      <c r="M113" s="226" t="str">
        <f t="shared" si="12"/>
        <v>mm</v>
      </c>
      <c r="N113" s="227" t="str">
        <f t="shared" si="13"/>
        <v/>
      </c>
    </row>
    <row r="114" spans="1:14">
      <c r="A114" s="224" t="str">
        <f t="shared" si="7"/>
        <v/>
      </c>
      <c r="D114" s="224" t="str">
        <f t="shared" si="8"/>
        <v/>
      </c>
      <c r="E114" s="224" t="str">
        <f t="shared" si="9"/>
        <v/>
      </c>
      <c r="F114" s="224" t="str">
        <f>IF(N114="","",Results!$H$9)</f>
        <v/>
      </c>
      <c r="I114" s="224" t="str">
        <f t="shared" si="10"/>
        <v/>
      </c>
      <c r="J114" s="225" t="str">
        <f t="shared" si="14"/>
        <v>jj</v>
      </c>
      <c r="K114" s="226" t="str">
        <f t="shared" si="15"/>
        <v>kk</v>
      </c>
      <c r="L114" s="226" t="str">
        <f t="shared" si="11"/>
        <v>ll</v>
      </c>
      <c r="M114" s="226" t="str">
        <f t="shared" si="12"/>
        <v>mm</v>
      </c>
      <c r="N114" s="227" t="str">
        <f t="shared" si="13"/>
        <v/>
      </c>
    </row>
  </sheetData>
  <dataConsolidate link="1"/>
  <mergeCells count="1">
    <mergeCell ref="J62:N6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L2000"/>
  <sheetViews>
    <sheetView workbookViewId="0">
      <selection activeCell="G24" sqref="G24"/>
    </sheetView>
  </sheetViews>
  <sheetFormatPr defaultRowHeight="12.6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  <col min="7" max="7" width="27.140625" bestFit="1" customWidth="1"/>
    <col min="8" max="8" width="5" bestFit="1" customWidth="1"/>
    <col min="9" max="9" width="12.5703125" bestFit="1" customWidth="1"/>
    <col min="10" max="10" width="12.42578125" bestFit="1" customWidth="1"/>
    <col min="11" max="11" width="14.5703125" bestFit="1" customWidth="1"/>
    <col min="12" max="12" width="16" bestFit="1" customWidth="1"/>
  </cols>
  <sheetData>
    <row r="1" spans="1:11" ht="13.5" thickBot="1">
      <c r="A1" s="531" t="s">
        <v>452</v>
      </c>
      <c r="B1" s="532"/>
      <c r="C1" s="532"/>
      <c r="D1" s="532"/>
      <c r="E1" s="533"/>
      <c r="G1" s="531" t="s">
        <v>453</v>
      </c>
      <c r="H1" s="532"/>
      <c r="I1" s="532"/>
      <c r="J1" s="532"/>
      <c r="K1" s="533"/>
    </row>
    <row r="2" spans="1:11">
      <c r="A2" s="207"/>
      <c r="B2" s="208" t="s">
        <v>454</v>
      </c>
      <c r="C2" s="208" t="s">
        <v>366</v>
      </c>
      <c r="D2" s="208" t="s">
        <v>369</v>
      </c>
      <c r="E2" s="209" t="s">
        <v>372</v>
      </c>
      <c r="G2" s="207"/>
      <c r="H2" s="208" t="s">
        <v>454</v>
      </c>
      <c r="I2" s="208" t="s">
        <v>366</v>
      </c>
      <c r="J2" s="208" t="s">
        <v>369</v>
      </c>
      <c r="K2" s="209" t="s">
        <v>372</v>
      </c>
    </row>
    <row r="3" spans="1:11">
      <c r="A3" s="200"/>
      <c r="B3" s="198"/>
      <c r="C3" s="198"/>
      <c r="D3" s="198"/>
      <c r="E3" s="201"/>
      <c r="G3" s="200" t="s">
        <v>455</v>
      </c>
      <c r="H3" s="198"/>
      <c r="I3" s="198">
        <v>-10.934001922607422</v>
      </c>
      <c r="J3" s="198">
        <v>5.9937615394592285</v>
      </c>
      <c r="K3" s="201">
        <v>-0.74248111248016357</v>
      </c>
    </row>
    <row r="4" spans="1:11">
      <c r="A4" s="200"/>
      <c r="B4" s="198"/>
      <c r="C4" s="198"/>
      <c r="D4" s="198"/>
      <c r="E4" s="201"/>
      <c r="G4" s="200" t="s">
        <v>456</v>
      </c>
      <c r="H4" s="198"/>
      <c r="I4" s="198">
        <v>0</v>
      </c>
      <c r="J4" s="198">
        <v>0</v>
      </c>
      <c r="K4" s="201">
        <v>0</v>
      </c>
    </row>
    <row r="5" spans="1:11">
      <c r="A5" s="200"/>
      <c r="B5" s="198"/>
      <c r="C5" s="198"/>
      <c r="D5" s="198"/>
      <c r="E5" s="201"/>
      <c r="G5" s="200" t="s">
        <v>457</v>
      </c>
      <c r="H5" s="198"/>
      <c r="I5" s="198">
        <v>10.934001922607422</v>
      </c>
      <c r="J5" s="198">
        <v>5.9937615394592285</v>
      </c>
      <c r="K5" s="201">
        <v>0.74248111248016357</v>
      </c>
    </row>
    <row r="6" spans="1:11">
      <c r="A6" s="200"/>
      <c r="B6" s="198"/>
      <c r="C6" s="198"/>
      <c r="D6" s="198"/>
      <c r="E6" s="201"/>
      <c r="G6" s="200" t="s">
        <v>458</v>
      </c>
      <c r="H6" s="198"/>
      <c r="I6" s="198" t="s">
        <v>459</v>
      </c>
      <c r="J6" s="198" t="s">
        <v>459</v>
      </c>
      <c r="K6" s="201" t="s">
        <v>459</v>
      </c>
    </row>
    <row r="7" spans="1:11">
      <c r="A7" s="200"/>
      <c r="B7" s="198"/>
      <c r="C7" s="198"/>
      <c r="D7" s="198"/>
      <c r="E7" s="201"/>
      <c r="G7" s="200" t="s">
        <v>460</v>
      </c>
      <c r="H7" s="198"/>
      <c r="I7" s="198" t="s">
        <v>459</v>
      </c>
      <c r="J7" s="198" t="s">
        <v>459</v>
      </c>
      <c r="K7" s="201" t="s">
        <v>459</v>
      </c>
    </row>
    <row r="8" spans="1:11">
      <c r="A8" s="200"/>
      <c r="B8" s="198"/>
      <c r="C8" s="198"/>
      <c r="D8" s="198"/>
      <c r="E8" s="201"/>
      <c r="G8" s="200" t="s">
        <v>461</v>
      </c>
      <c r="H8" s="198"/>
      <c r="I8" s="198">
        <v>0</v>
      </c>
      <c r="J8" s="198">
        <v>0</v>
      </c>
      <c r="K8" s="201">
        <v>0</v>
      </c>
    </row>
    <row r="9" spans="1:11">
      <c r="A9" s="200"/>
      <c r="B9" s="198"/>
      <c r="C9" s="198"/>
      <c r="D9" s="198"/>
      <c r="E9" s="201"/>
      <c r="G9" s="200" t="s">
        <v>462</v>
      </c>
      <c r="H9" s="198"/>
      <c r="I9" s="198" t="s">
        <v>459</v>
      </c>
      <c r="J9" s="198" t="s">
        <v>459</v>
      </c>
      <c r="K9" s="201" t="s">
        <v>459</v>
      </c>
    </row>
    <row r="10" spans="1:11">
      <c r="A10" s="200"/>
      <c r="B10" s="198"/>
      <c r="C10" s="198"/>
      <c r="D10" s="198"/>
      <c r="E10" s="201"/>
      <c r="G10" s="200" t="s">
        <v>463</v>
      </c>
      <c r="H10" s="198"/>
      <c r="I10" s="198" t="s">
        <v>459</v>
      </c>
      <c r="J10" s="198" t="s">
        <v>459</v>
      </c>
      <c r="K10" s="201" t="s">
        <v>459</v>
      </c>
    </row>
    <row r="11" spans="1:11" ht="12.95">
      <c r="A11" s="202"/>
      <c r="B11" s="198"/>
      <c r="C11" s="199"/>
      <c r="D11" s="198"/>
      <c r="E11" s="201"/>
      <c r="G11" s="200" t="s">
        <v>464</v>
      </c>
      <c r="H11" s="198"/>
      <c r="I11" s="198" t="s">
        <v>459</v>
      </c>
      <c r="J11" s="198" t="s">
        <v>459</v>
      </c>
      <c r="K11" s="201" t="s">
        <v>459</v>
      </c>
    </row>
    <row r="12" spans="1:11" ht="12.95">
      <c r="A12" s="202"/>
      <c r="B12" s="198"/>
      <c r="C12" s="199"/>
      <c r="D12" s="198"/>
      <c r="E12" s="201"/>
      <c r="G12" s="202" t="s">
        <v>465</v>
      </c>
      <c r="H12" s="198">
        <v>41.900000000000006</v>
      </c>
      <c r="I12" s="199">
        <v>-10.934001922607422</v>
      </c>
      <c r="J12" s="198">
        <v>5.9937615394592285</v>
      </c>
      <c r="K12" s="201">
        <v>-0.74248111248016357</v>
      </c>
    </row>
    <row r="13" spans="1:11" ht="12.95">
      <c r="A13" s="202"/>
      <c r="B13" s="198"/>
      <c r="C13" s="198"/>
      <c r="D13" s="199"/>
      <c r="E13" s="201"/>
      <c r="G13" s="202" t="s">
        <v>466</v>
      </c>
      <c r="H13" s="198">
        <v>41.900000000000006</v>
      </c>
      <c r="I13" s="199">
        <v>-10.934001922607422</v>
      </c>
      <c r="J13" s="198">
        <v>5.9937615394592285</v>
      </c>
      <c r="K13" s="201">
        <v>-0.74248111248016357</v>
      </c>
    </row>
    <row r="14" spans="1:11" ht="12.95">
      <c r="A14" s="202"/>
      <c r="B14" s="198"/>
      <c r="C14" s="198"/>
      <c r="D14" s="199"/>
      <c r="E14" s="201"/>
      <c r="G14" s="202" t="s">
        <v>465</v>
      </c>
      <c r="H14" s="198">
        <v>41.900000000000006</v>
      </c>
      <c r="I14" s="198">
        <v>-10.934001922607422</v>
      </c>
      <c r="J14" s="199">
        <v>5.9937615394592285</v>
      </c>
      <c r="K14" s="201">
        <v>-0.74248111248016357</v>
      </c>
    </row>
    <row r="15" spans="1:11" ht="12.95">
      <c r="A15" s="202"/>
      <c r="B15" s="198"/>
      <c r="C15" s="198"/>
      <c r="D15" s="198"/>
      <c r="E15" s="203"/>
      <c r="G15" s="202" t="s">
        <v>466</v>
      </c>
      <c r="H15" s="198">
        <v>41.900000000000006</v>
      </c>
      <c r="I15" s="198">
        <v>-10.934001922607422</v>
      </c>
      <c r="J15" s="199">
        <v>5.9937615394592285</v>
      </c>
      <c r="K15" s="201">
        <v>-0.74248111248016357</v>
      </c>
    </row>
    <row r="16" spans="1:11" ht="13.5" thickBot="1">
      <c r="A16" s="204"/>
      <c r="B16" s="205"/>
      <c r="C16" s="205"/>
      <c r="D16" s="205"/>
      <c r="E16" s="206"/>
      <c r="G16" s="204" t="s">
        <v>465</v>
      </c>
      <c r="H16" s="205">
        <v>41.900000000000006</v>
      </c>
      <c r="I16" s="205">
        <v>-10.934001922607422</v>
      </c>
      <c r="J16" s="205">
        <v>5.9937615394592285</v>
      </c>
      <c r="K16" s="206">
        <v>-0.74248111248016357</v>
      </c>
    </row>
    <row r="17" spans="1:12" ht="13.5" thickBot="1">
      <c r="A17" s="131"/>
      <c r="B17" s="2"/>
      <c r="C17" s="2"/>
      <c r="D17" s="131"/>
      <c r="E17" s="2"/>
      <c r="G17" s="131" t="s">
        <v>466</v>
      </c>
      <c r="H17" s="2">
        <v>41.900000000000006</v>
      </c>
      <c r="I17" s="2">
        <v>-10.934001922607422</v>
      </c>
      <c r="J17" s="2">
        <v>5.9937615394592285</v>
      </c>
      <c r="K17" s="131">
        <v>-0.74248111248016357</v>
      </c>
    </row>
    <row r="18" spans="1:12" ht="13.5" thickBot="1">
      <c r="A18" s="147" t="s">
        <v>467</v>
      </c>
      <c r="B18" s="249" t="s">
        <v>468</v>
      </c>
      <c r="C18" s="250" t="s">
        <v>469</v>
      </c>
      <c r="D18" s="2"/>
      <c r="E18" s="131"/>
      <c r="G18" s="235" t="s">
        <v>470</v>
      </c>
      <c r="I18" s="214" t="s">
        <v>471</v>
      </c>
      <c r="J18" s="253" t="s">
        <v>253</v>
      </c>
      <c r="K18" s="253" t="s">
        <v>471</v>
      </c>
      <c r="L18" s="254" t="s">
        <v>253</v>
      </c>
    </row>
    <row r="19" spans="1:12" ht="13.5" thickBot="1">
      <c r="A19" s="251" t="s">
        <v>459</v>
      </c>
      <c r="B19" s="2" t="s">
        <v>459</v>
      </c>
      <c r="C19" s="252">
        <v>-8</v>
      </c>
      <c r="D19" s="2"/>
      <c r="E19" s="131"/>
      <c r="G19" s="156">
        <f>MIN(K19:L19)</f>
        <v>41.900000000000006</v>
      </c>
      <c r="I19" s="204">
        <f t="array" ref="I19">MIN(IF(ISNUMBER(A19:A2000),C19:C2000))</f>
        <v>41.900000000000006</v>
      </c>
      <c r="J19" s="255">
        <f t="array" ref="J19">MIN(IF(ISNUMBER(B19:B2000),C19:C2000))</f>
        <v>47</v>
      </c>
      <c r="K19" s="255">
        <f>IF(I19=0,"",I19)</f>
        <v>41.900000000000006</v>
      </c>
      <c r="L19" s="206">
        <f>IF(J19=0,"",J19)</f>
        <v>47</v>
      </c>
    </row>
    <row r="20" spans="1:12">
      <c r="A20" s="130" t="s">
        <v>459</v>
      </c>
      <c r="B20" t="s">
        <v>459</v>
      </c>
      <c r="C20" s="222">
        <v>-7.9</v>
      </c>
      <c r="I20" s="2"/>
      <c r="J20" s="2"/>
    </row>
    <row r="21" spans="1:12">
      <c r="A21" s="130" t="s">
        <v>459</v>
      </c>
      <c r="B21" t="s">
        <v>459</v>
      </c>
      <c r="C21" s="222">
        <v>-7.8</v>
      </c>
      <c r="I21" s="534"/>
      <c r="J21" s="534"/>
      <c r="K21" s="534"/>
      <c r="L21" s="534"/>
    </row>
    <row r="22" spans="1:12">
      <c r="A22" s="130" t="s">
        <v>459</v>
      </c>
      <c r="B22" t="s">
        <v>459</v>
      </c>
      <c r="C22" s="222">
        <v>-7.7</v>
      </c>
      <c r="I22" s="439"/>
      <c r="J22" s="439"/>
      <c r="K22" s="439"/>
      <c r="L22" s="439"/>
    </row>
    <row r="23" spans="1:12">
      <c r="A23" s="130" t="s">
        <v>459</v>
      </c>
      <c r="B23" t="s">
        <v>459</v>
      </c>
      <c r="C23" s="222">
        <v>-7.6</v>
      </c>
      <c r="I23" s="439"/>
      <c r="J23" s="439"/>
      <c r="K23" s="439"/>
      <c r="L23" s="439"/>
    </row>
    <row r="24" spans="1:12">
      <c r="A24" s="130" t="s">
        <v>459</v>
      </c>
      <c r="B24" t="s">
        <v>459</v>
      </c>
      <c r="C24" s="222">
        <v>-7.5</v>
      </c>
      <c r="I24" s="439"/>
      <c r="J24" s="439"/>
      <c r="K24" s="439"/>
      <c r="L24" s="439"/>
    </row>
    <row r="25" spans="1:12">
      <c r="A25" s="130" t="s">
        <v>459</v>
      </c>
      <c r="B25" t="s">
        <v>459</v>
      </c>
      <c r="C25" s="222">
        <v>-7.4</v>
      </c>
      <c r="I25" s="439"/>
      <c r="J25" s="439"/>
      <c r="K25" s="439"/>
      <c r="L25" s="439"/>
    </row>
    <row r="26" spans="1:12">
      <c r="A26" s="130" t="s">
        <v>459</v>
      </c>
      <c r="B26" t="s">
        <v>459</v>
      </c>
      <c r="C26" s="222">
        <v>-7.3</v>
      </c>
      <c r="I26" s="439"/>
      <c r="J26" s="439"/>
      <c r="K26" s="439"/>
      <c r="L26" s="439"/>
    </row>
    <row r="27" spans="1:12">
      <c r="A27" s="130" t="s">
        <v>459</v>
      </c>
      <c r="B27" t="s">
        <v>459</v>
      </c>
      <c r="C27" s="222">
        <v>-7.2</v>
      </c>
      <c r="I27" s="2"/>
      <c r="J27" s="2"/>
    </row>
    <row r="28" spans="1:12">
      <c r="A28" s="130" t="s">
        <v>459</v>
      </c>
      <c r="B28" t="s">
        <v>459</v>
      </c>
      <c r="C28" s="222">
        <v>-7.1</v>
      </c>
      <c r="I28" s="2"/>
      <c r="J28" s="2"/>
    </row>
    <row r="29" spans="1:12">
      <c r="A29" s="130" t="s">
        <v>459</v>
      </c>
      <c r="B29" t="s">
        <v>459</v>
      </c>
      <c r="C29" s="222">
        <v>-7</v>
      </c>
      <c r="I29" s="2"/>
      <c r="J29" s="2"/>
    </row>
    <row r="30" spans="1:12">
      <c r="A30" s="130" t="s">
        <v>459</v>
      </c>
      <c r="B30" t="s">
        <v>459</v>
      </c>
      <c r="C30" s="222">
        <v>-6.9</v>
      </c>
      <c r="I30" s="2"/>
      <c r="J30" s="2"/>
    </row>
    <row r="31" spans="1:12">
      <c r="A31" s="130" t="s">
        <v>459</v>
      </c>
      <c r="B31" t="s">
        <v>459</v>
      </c>
      <c r="C31" s="222">
        <v>-6.8</v>
      </c>
      <c r="I31" s="2"/>
      <c r="J31" s="2"/>
    </row>
    <row r="32" spans="1:12">
      <c r="A32" s="130" t="s">
        <v>459</v>
      </c>
      <c r="B32" t="s">
        <v>459</v>
      </c>
      <c r="C32" s="222">
        <v>-6.7</v>
      </c>
      <c r="I32" s="2"/>
      <c r="J32" s="2"/>
    </row>
    <row r="33" spans="1:10">
      <c r="A33" s="130" t="s">
        <v>459</v>
      </c>
      <c r="B33" t="s">
        <v>459</v>
      </c>
      <c r="C33" s="222">
        <v>-6.6</v>
      </c>
      <c r="I33" s="2"/>
      <c r="J33" s="2"/>
    </row>
    <row r="34" spans="1:10">
      <c r="A34" s="130" t="s">
        <v>459</v>
      </c>
      <c r="B34" t="s">
        <v>459</v>
      </c>
      <c r="C34" s="222">
        <v>-6.5</v>
      </c>
      <c r="I34" s="2"/>
      <c r="J34" s="2"/>
    </row>
    <row r="35" spans="1:10">
      <c r="A35" s="130" t="s">
        <v>459</v>
      </c>
      <c r="B35" t="s">
        <v>459</v>
      </c>
      <c r="C35" s="222">
        <v>-6.4</v>
      </c>
      <c r="I35" s="2"/>
      <c r="J35" s="2"/>
    </row>
    <row r="36" spans="1:10">
      <c r="A36" s="130" t="s">
        <v>459</v>
      </c>
      <c r="B36" t="s">
        <v>459</v>
      </c>
      <c r="C36" s="222">
        <v>-6.3</v>
      </c>
      <c r="I36" s="2"/>
      <c r="J36" s="2"/>
    </row>
    <row r="37" spans="1:10">
      <c r="A37" s="130" t="s">
        <v>459</v>
      </c>
      <c r="B37" t="s">
        <v>459</v>
      </c>
      <c r="C37" s="222">
        <v>-6.2</v>
      </c>
      <c r="I37" s="2"/>
      <c r="J37" s="2"/>
    </row>
    <row r="38" spans="1:10">
      <c r="A38" s="130" t="s">
        <v>459</v>
      </c>
      <c r="B38" t="s">
        <v>459</v>
      </c>
      <c r="C38" s="222">
        <v>-6.1</v>
      </c>
      <c r="I38" s="2"/>
      <c r="J38" s="2"/>
    </row>
    <row r="39" spans="1:10">
      <c r="A39" s="130" t="s">
        <v>459</v>
      </c>
      <c r="B39" t="s">
        <v>459</v>
      </c>
      <c r="C39" s="222">
        <v>-6</v>
      </c>
      <c r="I39" s="2"/>
      <c r="J39" s="2"/>
    </row>
    <row r="40" spans="1:10">
      <c r="A40" s="130" t="s">
        <v>459</v>
      </c>
      <c r="B40" t="s">
        <v>459</v>
      </c>
      <c r="C40" s="222">
        <v>-5.9</v>
      </c>
      <c r="I40" s="2"/>
      <c r="J40" s="2"/>
    </row>
    <row r="41" spans="1:10">
      <c r="A41" s="130" t="s">
        <v>459</v>
      </c>
      <c r="B41" t="s">
        <v>459</v>
      </c>
      <c r="C41" s="222">
        <v>-5.8</v>
      </c>
      <c r="I41" s="2"/>
      <c r="J41" s="2"/>
    </row>
    <row r="42" spans="1:10">
      <c r="A42" s="130" t="s">
        <v>459</v>
      </c>
      <c r="B42" t="s">
        <v>459</v>
      </c>
      <c r="C42" s="222">
        <v>-5.6999999999999993</v>
      </c>
      <c r="I42" s="2"/>
      <c r="J42" s="2"/>
    </row>
    <row r="43" spans="1:10">
      <c r="A43" s="130" t="s">
        <v>459</v>
      </c>
      <c r="B43" t="s">
        <v>459</v>
      </c>
      <c r="C43" s="222">
        <v>-5.6</v>
      </c>
      <c r="I43" s="2"/>
      <c r="J43" s="2"/>
    </row>
    <row r="44" spans="1:10">
      <c r="A44" s="130" t="s">
        <v>459</v>
      </c>
      <c r="B44" t="s">
        <v>459</v>
      </c>
      <c r="C44" s="222">
        <v>-5.5</v>
      </c>
      <c r="I44" s="2"/>
      <c r="J44" s="2"/>
    </row>
    <row r="45" spans="1:10">
      <c r="A45" s="130" t="s">
        <v>459</v>
      </c>
      <c r="B45" t="s">
        <v>459</v>
      </c>
      <c r="C45" s="222">
        <v>-5.4</v>
      </c>
      <c r="I45" s="2"/>
      <c r="J45" s="2"/>
    </row>
    <row r="46" spans="1:10">
      <c r="A46" s="130" t="s">
        <v>459</v>
      </c>
      <c r="B46" t="s">
        <v>459</v>
      </c>
      <c r="C46" s="222">
        <v>-5.3</v>
      </c>
      <c r="I46" s="2"/>
      <c r="J46" s="2"/>
    </row>
    <row r="47" spans="1:10">
      <c r="A47" s="130" t="s">
        <v>459</v>
      </c>
      <c r="B47" t="s">
        <v>459</v>
      </c>
      <c r="C47" s="222">
        <v>-5.1999999999999993</v>
      </c>
      <c r="I47" s="2"/>
      <c r="J47" s="2"/>
    </row>
    <row r="48" spans="1:10">
      <c r="A48" s="130" t="s">
        <v>459</v>
      </c>
      <c r="B48" t="s">
        <v>459</v>
      </c>
      <c r="C48" s="222">
        <v>-5.0999999999999996</v>
      </c>
      <c r="I48" s="2"/>
      <c r="J48" s="2"/>
    </row>
    <row r="49" spans="1:10">
      <c r="A49" s="130" t="s">
        <v>459</v>
      </c>
      <c r="B49" t="s">
        <v>459</v>
      </c>
      <c r="C49" s="222">
        <v>-5</v>
      </c>
      <c r="I49" s="2"/>
      <c r="J49" s="2"/>
    </row>
    <row r="50" spans="1:10">
      <c r="A50" s="130" t="s">
        <v>459</v>
      </c>
      <c r="B50" t="s">
        <v>459</v>
      </c>
      <c r="C50" s="222">
        <v>-4.9000000000000004</v>
      </c>
      <c r="I50" s="2"/>
      <c r="J50" s="2"/>
    </row>
    <row r="51" spans="1:10">
      <c r="A51" s="130" t="s">
        <v>459</v>
      </c>
      <c r="B51" t="s">
        <v>459</v>
      </c>
      <c r="C51" s="222">
        <v>-4.8</v>
      </c>
      <c r="I51" s="2"/>
      <c r="J51" s="2"/>
    </row>
    <row r="52" spans="1:10">
      <c r="A52" s="130" t="s">
        <v>459</v>
      </c>
      <c r="B52" t="s">
        <v>459</v>
      </c>
      <c r="C52" s="222">
        <v>-4.6999999999999993</v>
      </c>
      <c r="I52" s="2"/>
      <c r="J52" s="2"/>
    </row>
    <row r="53" spans="1:10">
      <c r="A53" s="130" t="s">
        <v>459</v>
      </c>
      <c r="B53" t="s">
        <v>459</v>
      </c>
      <c r="C53" s="222">
        <v>-4.5999999999999996</v>
      </c>
      <c r="I53" s="2"/>
      <c r="J53" s="2"/>
    </row>
    <row r="54" spans="1:10">
      <c r="A54" s="130" t="s">
        <v>459</v>
      </c>
      <c r="B54" t="s">
        <v>459</v>
      </c>
      <c r="C54" s="222">
        <v>-4.5</v>
      </c>
      <c r="I54" s="2"/>
      <c r="J54" s="2"/>
    </row>
    <row r="55" spans="1:10">
      <c r="A55" s="130" t="s">
        <v>459</v>
      </c>
      <c r="B55" t="s">
        <v>459</v>
      </c>
      <c r="C55" s="222">
        <v>-4.4000000000000004</v>
      </c>
      <c r="I55" s="2"/>
      <c r="J55" s="2"/>
    </row>
    <row r="56" spans="1:10">
      <c r="A56" s="130" t="s">
        <v>459</v>
      </c>
      <c r="B56" t="s">
        <v>459</v>
      </c>
      <c r="C56" s="222">
        <v>-4.3</v>
      </c>
      <c r="I56" s="2"/>
      <c r="J56" s="2"/>
    </row>
    <row r="57" spans="1:10">
      <c r="A57" s="130" t="s">
        <v>459</v>
      </c>
      <c r="B57" t="s">
        <v>459</v>
      </c>
      <c r="C57" s="222">
        <v>-4.1999999999999993</v>
      </c>
      <c r="I57" s="2"/>
      <c r="J57" s="2"/>
    </row>
    <row r="58" spans="1:10">
      <c r="A58" s="130" t="s">
        <v>459</v>
      </c>
      <c r="B58" t="s">
        <v>459</v>
      </c>
      <c r="C58" s="222">
        <v>-4.0999999999999996</v>
      </c>
      <c r="I58" s="2"/>
      <c r="J58" s="2"/>
    </row>
    <row r="59" spans="1:10">
      <c r="A59" s="130" t="s">
        <v>459</v>
      </c>
      <c r="B59" t="s">
        <v>459</v>
      </c>
      <c r="C59" s="222">
        <v>-4</v>
      </c>
      <c r="I59" s="2"/>
      <c r="J59" s="2"/>
    </row>
    <row r="60" spans="1:10">
      <c r="A60" s="130" t="s">
        <v>459</v>
      </c>
      <c r="B60" t="s">
        <v>459</v>
      </c>
      <c r="C60" s="222">
        <v>-3.8999999999999995</v>
      </c>
      <c r="I60" s="2"/>
      <c r="J60" s="2"/>
    </row>
    <row r="61" spans="1:10">
      <c r="A61" s="130" t="s">
        <v>459</v>
      </c>
      <c r="B61" t="s">
        <v>459</v>
      </c>
      <c r="C61" s="222">
        <v>-3.8</v>
      </c>
      <c r="I61" s="2"/>
      <c r="J61" s="2"/>
    </row>
    <row r="62" spans="1:10">
      <c r="A62" s="130" t="s">
        <v>459</v>
      </c>
      <c r="B62" t="s">
        <v>459</v>
      </c>
      <c r="C62" s="222">
        <v>-3.7</v>
      </c>
      <c r="I62" s="2"/>
      <c r="J62" s="2"/>
    </row>
    <row r="63" spans="1:10">
      <c r="A63" s="130" t="s">
        <v>459</v>
      </c>
      <c r="B63" t="s">
        <v>459</v>
      </c>
      <c r="C63" s="222">
        <v>-3.5999999999999996</v>
      </c>
      <c r="I63" s="2"/>
      <c r="J63" s="2"/>
    </row>
    <row r="64" spans="1:10">
      <c r="A64" s="130" t="s">
        <v>459</v>
      </c>
      <c r="B64" t="s">
        <v>459</v>
      </c>
      <c r="C64" s="222">
        <v>-3.5</v>
      </c>
      <c r="I64" s="2"/>
      <c r="J64" s="2"/>
    </row>
    <row r="65" spans="1:10">
      <c r="A65" s="130" t="s">
        <v>459</v>
      </c>
      <c r="B65" t="s">
        <v>459</v>
      </c>
      <c r="C65" s="222">
        <v>-3.3999999999999995</v>
      </c>
      <c r="I65" s="2"/>
      <c r="J65" s="2"/>
    </row>
    <row r="66" spans="1:10">
      <c r="A66" s="130" t="s">
        <v>459</v>
      </c>
      <c r="B66" t="s">
        <v>459</v>
      </c>
      <c r="C66" s="222">
        <v>-3.3</v>
      </c>
      <c r="I66" s="2"/>
      <c r="J66" s="2"/>
    </row>
    <row r="67" spans="1:10">
      <c r="A67" s="130" t="s">
        <v>459</v>
      </c>
      <c r="B67" t="s">
        <v>459</v>
      </c>
      <c r="C67" s="222">
        <v>-3.1999999999999993</v>
      </c>
      <c r="I67" s="2"/>
      <c r="J67" s="2"/>
    </row>
    <row r="68" spans="1:10">
      <c r="A68" s="130" t="s">
        <v>459</v>
      </c>
      <c r="B68" t="s">
        <v>459</v>
      </c>
      <c r="C68" s="222">
        <v>-3.0999999999999996</v>
      </c>
      <c r="I68" s="2"/>
      <c r="J68" s="2"/>
    </row>
    <row r="69" spans="1:10">
      <c r="A69" s="130" t="s">
        <v>459</v>
      </c>
      <c r="B69" t="s">
        <v>459</v>
      </c>
      <c r="C69" s="222">
        <v>-3</v>
      </c>
      <c r="I69" s="2"/>
      <c r="J69" s="2"/>
    </row>
    <row r="70" spans="1:10">
      <c r="A70" s="130" t="s">
        <v>459</v>
      </c>
      <c r="B70" t="s">
        <v>459</v>
      </c>
      <c r="C70" s="222">
        <v>-2.8999999999999995</v>
      </c>
      <c r="I70" s="2"/>
      <c r="J70" s="2"/>
    </row>
    <row r="71" spans="1:10">
      <c r="A71" s="130" t="s">
        <v>459</v>
      </c>
      <c r="B71" t="s">
        <v>459</v>
      </c>
      <c r="C71" s="222">
        <v>-2.8</v>
      </c>
      <c r="I71" s="2"/>
      <c r="J71" s="2"/>
    </row>
    <row r="72" spans="1:10">
      <c r="A72" s="130" t="s">
        <v>459</v>
      </c>
      <c r="B72" t="s">
        <v>459</v>
      </c>
      <c r="C72" s="222">
        <v>-2.6999999999999993</v>
      </c>
      <c r="I72" s="2"/>
      <c r="J72" s="2"/>
    </row>
    <row r="73" spans="1:10">
      <c r="A73" s="130" t="s">
        <v>459</v>
      </c>
      <c r="B73" t="s">
        <v>459</v>
      </c>
      <c r="C73" s="222">
        <v>-2.5999999999999996</v>
      </c>
      <c r="I73" s="2"/>
      <c r="J73" s="2"/>
    </row>
    <row r="74" spans="1:10">
      <c r="A74" s="130" t="s">
        <v>459</v>
      </c>
      <c r="B74" t="s">
        <v>459</v>
      </c>
      <c r="C74" s="222">
        <v>-2.5</v>
      </c>
      <c r="I74" s="2"/>
      <c r="J74" s="2"/>
    </row>
    <row r="75" spans="1:10">
      <c r="A75" s="130" t="s">
        <v>459</v>
      </c>
      <c r="B75" t="s">
        <v>459</v>
      </c>
      <c r="C75" s="222">
        <v>-2.3999999999999995</v>
      </c>
      <c r="I75" s="2"/>
      <c r="J75" s="2"/>
    </row>
    <row r="76" spans="1:10">
      <c r="A76" s="130" t="s">
        <v>459</v>
      </c>
      <c r="B76" t="s">
        <v>459</v>
      </c>
      <c r="C76" s="222">
        <v>-2.2999999999999998</v>
      </c>
      <c r="I76" s="2"/>
      <c r="J76" s="2"/>
    </row>
    <row r="77" spans="1:10">
      <c r="A77" s="130" t="s">
        <v>459</v>
      </c>
      <c r="B77" t="s">
        <v>459</v>
      </c>
      <c r="C77" s="222">
        <v>-2.1999999999999993</v>
      </c>
      <c r="I77" s="2"/>
      <c r="J77" s="2"/>
    </row>
    <row r="78" spans="1:10">
      <c r="A78" s="130" t="s">
        <v>459</v>
      </c>
      <c r="B78" t="s">
        <v>459</v>
      </c>
      <c r="C78" s="222">
        <v>-2.0999999999999996</v>
      </c>
      <c r="I78" s="2"/>
      <c r="J78" s="2"/>
    </row>
    <row r="79" spans="1:10">
      <c r="A79" s="130" t="s">
        <v>459</v>
      </c>
      <c r="B79" t="s">
        <v>459</v>
      </c>
      <c r="C79" s="222">
        <v>-2</v>
      </c>
      <c r="I79" s="2"/>
      <c r="J79" s="2"/>
    </row>
    <row r="80" spans="1:10">
      <c r="A80" s="130" t="s">
        <v>459</v>
      </c>
      <c r="B80" t="s">
        <v>459</v>
      </c>
      <c r="C80" s="222">
        <v>-1.8999999999999995</v>
      </c>
      <c r="I80" s="2"/>
      <c r="J80" s="2"/>
    </row>
    <row r="81" spans="1:10">
      <c r="A81" s="130" t="s">
        <v>459</v>
      </c>
      <c r="B81" t="s">
        <v>459</v>
      </c>
      <c r="C81" s="222">
        <v>-1.7999999999999998</v>
      </c>
      <c r="I81" s="2"/>
      <c r="J81" s="2"/>
    </row>
    <row r="82" spans="1:10">
      <c r="A82" s="130" t="s">
        <v>459</v>
      </c>
      <c r="B82" t="s">
        <v>459</v>
      </c>
      <c r="C82" s="222">
        <v>-1.6999999999999993</v>
      </c>
      <c r="I82" s="2"/>
      <c r="J82" s="2"/>
    </row>
    <row r="83" spans="1:10">
      <c r="A83" s="130" t="s">
        <v>459</v>
      </c>
      <c r="B83" t="s">
        <v>459</v>
      </c>
      <c r="C83" s="222">
        <v>-1.5999999999999996</v>
      </c>
      <c r="I83" s="2"/>
      <c r="J83" s="2"/>
    </row>
    <row r="84" spans="1:10">
      <c r="A84" s="130" t="s">
        <v>459</v>
      </c>
      <c r="B84" t="s">
        <v>459</v>
      </c>
      <c r="C84" s="222">
        <v>-1.5</v>
      </c>
      <c r="I84" s="2"/>
      <c r="J84" s="2"/>
    </row>
    <row r="85" spans="1:10">
      <c r="A85" s="130" t="s">
        <v>459</v>
      </c>
      <c r="B85" t="s">
        <v>459</v>
      </c>
      <c r="C85" s="222">
        <v>-1.3999999999999995</v>
      </c>
      <c r="I85" s="2"/>
      <c r="J85" s="2"/>
    </row>
    <row r="86" spans="1:10">
      <c r="A86" s="130" t="s">
        <v>459</v>
      </c>
      <c r="B86" t="s">
        <v>459</v>
      </c>
      <c r="C86" s="222">
        <v>-1.2999999999999998</v>
      </c>
      <c r="I86" s="2"/>
      <c r="J86" s="2"/>
    </row>
    <row r="87" spans="1:10">
      <c r="A87" s="130" t="s">
        <v>459</v>
      </c>
      <c r="B87" t="s">
        <v>459</v>
      </c>
      <c r="C87" s="222">
        <v>-1.1999999999999993</v>
      </c>
      <c r="I87" s="2"/>
      <c r="J87" s="2"/>
    </row>
    <row r="88" spans="1:10">
      <c r="A88" s="130" t="s">
        <v>459</v>
      </c>
      <c r="B88" t="s">
        <v>459</v>
      </c>
      <c r="C88" s="222">
        <v>-1.0999999999999996</v>
      </c>
      <c r="I88" s="2"/>
      <c r="J88" s="2"/>
    </row>
    <row r="89" spans="1:10">
      <c r="A89" s="130" t="s">
        <v>459</v>
      </c>
      <c r="B89" t="s">
        <v>459</v>
      </c>
      <c r="C89" s="222">
        <v>-1</v>
      </c>
      <c r="I89" s="2"/>
      <c r="J89" s="2"/>
    </row>
    <row r="90" spans="1:10">
      <c r="A90" s="130" t="s">
        <v>459</v>
      </c>
      <c r="B90" t="s">
        <v>459</v>
      </c>
      <c r="C90" s="222">
        <v>-0.89999999999999947</v>
      </c>
      <c r="I90" s="2"/>
      <c r="J90" s="2"/>
    </row>
    <row r="91" spans="1:10">
      <c r="A91" s="130" t="s">
        <v>459</v>
      </c>
      <c r="B91" t="s">
        <v>459</v>
      </c>
      <c r="C91" s="222">
        <v>-0.79999999999999982</v>
      </c>
      <c r="I91" s="2"/>
      <c r="J91" s="2"/>
    </row>
    <row r="92" spans="1:10">
      <c r="A92" s="130" t="s">
        <v>459</v>
      </c>
      <c r="B92" t="s">
        <v>459</v>
      </c>
      <c r="C92" s="222">
        <v>-0.69999999999999929</v>
      </c>
      <c r="I92" s="2"/>
      <c r="J92" s="2"/>
    </row>
    <row r="93" spans="1:10">
      <c r="A93" s="130" t="s">
        <v>459</v>
      </c>
      <c r="B93" t="s">
        <v>459</v>
      </c>
      <c r="C93" s="222">
        <v>-0.59999999999999964</v>
      </c>
      <c r="I93" s="2"/>
      <c r="J93" s="2"/>
    </row>
    <row r="94" spans="1:10">
      <c r="A94" s="130" t="s">
        <v>459</v>
      </c>
      <c r="B94" t="s">
        <v>459</v>
      </c>
      <c r="C94" s="222">
        <v>-0.5</v>
      </c>
      <c r="I94" s="2"/>
      <c r="J94" s="2"/>
    </row>
    <row r="95" spans="1:10">
      <c r="A95" s="130" t="s">
        <v>459</v>
      </c>
      <c r="B95" t="s">
        <v>459</v>
      </c>
      <c r="C95" s="222">
        <v>-0.39999999999999947</v>
      </c>
      <c r="I95" s="2"/>
      <c r="J95" s="2"/>
    </row>
    <row r="96" spans="1:10">
      <c r="A96" s="130" t="s">
        <v>459</v>
      </c>
      <c r="B96" t="s">
        <v>459</v>
      </c>
      <c r="C96" s="222">
        <v>-0.29999999999999982</v>
      </c>
      <c r="I96" s="2"/>
      <c r="J96" s="2"/>
    </row>
    <row r="97" spans="1:10">
      <c r="A97" s="130" t="s">
        <v>459</v>
      </c>
      <c r="B97" t="s">
        <v>459</v>
      </c>
      <c r="C97" s="222">
        <v>-0.19999999999999929</v>
      </c>
      <c r="I97" s="2"/>
      <c r="J97" s="2"/>
    </row>
    <row r="98" spans="1:10">
      <c r="A98" s="130" t="s">
        <v>459</v>
      </c>
      <c r="B98" t="s">
        <v>459</v>
      </c>
      <c r="C98" s="222">
        <v>-9.9999999999999645E-2</v>
      </c>
      <c r="I98" s="2"/>
      <c r="J98" s="2"/>
    </row>
    <row r="99" spans="1:10">
      <c r="A99" s="130" t="s">
        <v>459</v>
      </c>
      <c r="B99" t="s">
        <v>459</v>
      </c>
      <c r="C99" s="222">
        <v>0</v>
      </c>
      <c r="I99" s="2"/>
      <c r="J99" s="2"/>
    </row>
    <row r="100" spans="1:10">
      <c r="A100" s="130" t="s">
        <v>459</v>
      </c>
      <c r="B100" t="s">
        <v>459</v>
      </c>
      <c r="C100" s="222">
        <v>9.9999999999999645E-2</v>
      </c>
      <c r="I100" s="2"/>
      <c r="J100" s="2"/>
    </row>
    <row r="101" spans="1:10">
      <c r="A101" s="130" t="s">
        <v>459</v>
      </c>
      <c r="B101" t="s">
        <v>459</v>
      </c>
      <c r="C101" s="222">
        <v>0.20000000000000107</v>
      </c>
      <c r="I101" s="2"/>
      <c r="J101" s="2"/>
    </row>
    <row r="102" spans="1:10">
      <c r="A102" s="130" t="s">
        <v>459</v>
      </c>
      <c r="B102" t="s">
        <v>459</v>
      </c>
      <c r="C102" s="222">
        <v>0.30000000000000071</v>
      </c>
      <c r="I102" s="2"/>
      <c r="J102" s="2"/>
    </row>
    <row r="103" spans="1:10">
      <c r="A103" s="130" t="s">
        <v>459</v>
      </c>
      <c r="B103" t="s">
        <v>459</v>
      </c>
      <c r="C103" s="222">
        <v>0.40000000000000036</v>
      </c>
      <c r="I103" s="2"/>
      <c r="J103" s="2"/>
    </row>
    <row r="104" spans="1:10">
      <c r="A104" s="130" t="s">
        <v>459</v>
      </c>
      <c r="B104" t="s">
        <v>459</v>
      </c>
      <c r="C104" s="222">
        <v>0.5</v>
      </c>
      <c r="I104" s="2"/>
      <c r="J104" s="2"/>
    </row>
    <row r="105" spans="1:10">
      <c r="A105" s="130" t="s">
        <v>459</v>
      </c>
      <c r="B105" t="s">
        <v>459</v>
      </c>
      <c r="C105" s="222">
        <v>0.59999999999999964</v>
      </c>
      <c r="I105" s="2"/>
      <c r="J105" s="2"/>
    </row>
    <row r="106" spans="1:10">
      <c r="A106" s="130" t="s">
        <v>459</v>
      </c>
      <c r="B106" t="s">
        <v>459</v>
      </c>
      <c r="C106" s="222">
        <v>0.70000000000000107</v>
      </c>
      <c r="I106" s="2"/>
      <c r="J106" s="2"/>
    </row>
    <row r="107" spans="1:10">
      <c r="A107" s="130" t="s">
        <v>459</v>
      </c>
      <c r="B107" t="s">
        <v>459</v>
      </c>
      <c r="C107" s="222">
        <v>0.80000000000000071</v>
      </c>
      <c r="I107" s="2"/>
      <c r="J107" s="2"/>
    </row>
    <row r="108" spans="1:10">
      <c r="A108" s="130" t="s">
        <v>459</v>
      </c>
      <c r="B108" t="s">
        <v>459</v>
      </c>
      <c r="C108" s="222">
        <v>0.90000000000000036</v>
      </c>
      <c r="I108" s="2"/>
      <c r="J108" s="2"/>
    </row>
    <row r="109" spans="1:10">
      <c r="A109" s="130" t="s">
        <v>459</v>
      </c>
      <c r="B109" t="s">
        <v>459</v>
      </c>
      <c r="C109" s="222">
        <v>1</v>
      </c>
      <c r="I109" s="2"/>
      <c r="J109" s="2"/>
    </row>
    <row r="110" spans="1:10">
      <c r="A110" s="130" t="s">
        <v>459</v>
      </c>
      <c r="B110" t="s">
        <v>459</v>
      </c>
      <c r="C110" s="222">
        <v>1.0999999999999996</v>
      </c>
      <c r="I110" s="2"/>
      <c r="J110" s="2"/>
    </row>
    <row r="111" spans="1:10">
      <c r="A111" s="130" t="s">
        <v>459</v>
      </c>
      <c r="B111" t="s">
        <v>459</v>
      </c>
      <c r="C111" s="222">
        <v>1.2000000000000011</v>
      </c>
      <c r="I111" s="2"/>
      <c r="J111" s="2"/>
    </row>
    <row r="112" spans="1:10">
      <c r="A112" s="130" t="s">
        <v>459</v>
      </c>
      <c r="B112" t="s">
        <v>459</v>
      </c>
      <c r="C112" s="222">
        <v>1.3000000000000007</v>
      </c>
      <c r="I112" s="2"/>
      <c r="J112" s="2"/>
    </row>
    <row r="113" spans="1:10">
      <c r="A113" s="130" t="s">
        <v>459</v>
      </c>
      <c r="B113" t="s">
        <v>459</v>
      </c>
      <c r="C113" s="222">
        <v>1.4000000000000004</v>
      </c>
      <c r="I113" s="2"/>
      <c r="J113" s="2"/>
    </row>
    <row r="114" spans="1:10">
      <c r="A114" s="130" t="s">
        <v>459</v>
      </c>
      <c r="B114" t="s">
        <v>459</v>
      </c>
      <c r="C114" s="222">
        <v>1.5</v>
      </c>
      <c r="I114" s="2"/>
      <c r="J114" s="2"/>
    </row>
    <row r="115" spans="1:10">
      <c r="A115" s="130" t="s">
        <v>459</v>
      </c>
      <c r="B115" t="s">
        <v>459</v>
      </c>
      <c r="C115" s="222">
        <v>1.6000000000000014</v>
      </c>
      <c r="I115" s="2"/>
      <c r="J115" s="2"/>
    </row>
    <row r="116" spans="1:10">
      <c r="A116" s="130" t="s">
        <v>459</v>
      </c>
      <c r="B116" t="s">
        <v>459</v>
      </c>
      <c r="C116" s="222">
        <v>1.7000000000000011</v>
      </c>
      <c r="I116" s="2"/>
      <c r="J116" s="2"/>
    </row>
    <row r="117" spans="1:10">
      <c r="A117" s="130" t="s">
        <v>459</v>
      </c>
      <c r="B117" t="s">
        <v>459</v>
      </c>
      <c r="C117" s="222">
        <v>1.8000000000000007</v>
      </c>
      <c r="I117" s="2"/>
      <c r="J117" s="2"/>
    </row>
    <row r="118" spans="1:10">
      <c r="A118" s="130" t="s">
        <v>459</v>
      </c>
      <c r="B118" t="s">
        <v>459</v>
      </c>
      <c r="C118" s="222">
        <v>1.9000000000000004</v>
      </c>
      <c r="I118" s="2"/>
      <c r="J118" s="2"/>
    </row>
    <row r="119" spans="1:10">
      <c r="A119" s="130" t="s">
        <v>459</v>
      </c>
      <c r="B119" t="s">
        <v>459</v>
      </c>
      <c r="C119" s="222">
        <v>2</v>
      </c>
      <c r="I119" s="2"/>
      <c r="J119" s="2"/>
    </row>
    <row r="120" spans="1:10">
      <c r="A120" s="130" t="s">
        <v>459</v>
      </c>
      <c r="B120" t="s">
        <v>459</v>
      </c>
      <c r="C120" s="222">
        <v>2.1000000000000014</v>
      </c>
      <c r="I120" s="2"/>
      <c r="J120" s="2"/>
    </row>
    <row r="121" spans="1:10">
      <c r="A121" s="130" t="s">
        <v>459</v>
      </c>
      <c r="B121" t="s">
        <v>459</v>
      </c>
      <c r="C121" s="222">
        <v>2.2000000000000011</v>
      </c>
      <c r="I121" s="2"/>
      <c r="J121" s="2"/>
    </row>
    <row r="122" spans="1:10">
      <c r="A122" s="130" t="s">
        <v>459</v>
      </c>
      <c r="B122" t="s">
        <v>459</v>
      </c>
      <c r="C122" s="222">
        <v>2.3000000000000007</v>
      </c>
      <c r="I122" s="2"/>
      <c r="J122" s="2"/>
    </row>
    <row r="123" spans="1:10">
      <c r="A123" s="130" t="s">
        <v>459</v>
      </c>
      <c r="B123" t="s">
        <v>459</v>
      </c>
      <c r="C123" s="222">
        <v>2.4000000000000004</v>
      </c>
      <c r="I123" s="2"/>
      <c r="J123" s="2"/>
    </row>
    <row r="124" spans="1:10">
      <c r="A124" s="130" t="s">
        <v>459</v>
      </c>
      <c r="B124" t="s">
        <v>459</v>
      </c>
      <c r="C124" s="222">
        <v>2.5</v>
      </c>
      <c r="I124" s="2"/>
      <c r="J124" s="2"/>
    </row>
    <row r="125" spans="1:10">
      <c r="A125" s="130" t="s">
        <v>459</v>
      </c>
      <c r="B125" t="s">
        <v>459</v>
      </c>
      <c r="C125" s="222">
        <v>2.6000000000000014</v>
      </c>
      <c r="I125" s="2"/>
      <c r="J125" s="2"/>
    </row>
    <row r="126" spans="1:10">
      <c r="A126" s="130" t="s">
        <v>459</v>
      </c>
      <c r="B126" t="s">
        <v>459</v>
      </c>
      <c r="C126" s="222">
        <v>2.7000000000000011</v>
      </c>
      <c r="I126" s="2"/>
      <c r="J126" s="2"/>
    </row>
    <row r="127" spans="1:10">
      <c r="A127" s="130" t="s">
        <v>459</v>
      </c>
      <c r="B127" t="s">
        <v>459</v>
      </c>
      <c r="C127" s="222">
        <v>2.8000000000000007</v>
      </c>
      <c r="I127" s="2"/>
      <c r="J127" s="2"/>
    </row>
    <row r="128" spans="1:10">
      <c r="A128" s="130" t="s">
        <v>459</v>
      </c>
      <c r="B128" t="s">
        <v>459</v>
      </c>
      <c r="C128" s="222">
        <v>2.9000000000000004</v>
      </c>
      <c r="I128" s="2"/>
      <c r="J128" s="2"/>
    </row>
    <row r="129" spans="1:10">
      <c r="A129" s="130" t="s">
        <v>459</v>
      </c>
      <c r="B129" t="s">
        <v>459</v>
      </c>
      <c r="C129" s="222">
        <v>3</v>
      </c>
      <c r="I129" s="2"/>
      <c r="J129" s="2"/>
    </row>
    <row r="130" spans="1:10">
      <c r="A130" s="130" t="s">
        <v>459</v>
      </c>
      <c r="B130" t="s">
        <v>459</v>
      </c>
      <c r="C130" s="222">
        <v>3.1000000000000014</v>
      </c>
      <c r="I130" s="2"/>
      <c r="J130" s="2"/>
    </row>
    <row r="131" spans="1:10">
      <c r="A131" s="130" t="s">
        <v>459</v>
      </c>
      <c r="B131" t="s">
        <v>459</v>
      </c>
      <c r="C131" s="222">
        <v>3.2000000000000011</v>
      </c>
      <c r="I131" s="2"/>
      <c r="J131" s="2"/>
    </row>
    <row r="132" spans="1:10">
      <c r="A132" s="130" t="s">
        <v>459</v>
      </c>
      <c r="B132" t="s">
        <v>459</v>
      </c>
      <c r="C132" s="222">
        <v>3.3000000000000007</v>
      </c>
      <c r="I132" s="2"/>
      <c r="J132" s="2"/>
    </row>
    <row r="133" spans="1:10">
      <c r="A133" s="130" t="s">
        <v>459</v>
      </c>
      <c r="B133" t="s">
        <v>459</v>
      </c>
      <c r="C133" s="222">
        <v>3.4000000000000004</v>
      </c>
      <c r="I133" s="2"/>
      <c r="J133" s="2"/>
    </row>
    <row r="134" spans="1:10">
      <c r="A134" s="130" t="s">
        <v>459</v>
      </c>
      <c r="B134" t="s">
        <v>459</v>
      </c>
      <c r="C134" s="222">
        <v>3.5</v>
      </c>
      <c r="I134" s="2"/>
      <c r="J134" s="2"/>
    </row>
    <row r="135" spans="1:10">
      <c r="A135" s="130" t="s">
        <v>459</v>
      </c>
      <c r="B135" t="s">
        <v>459</v>
      </c>
      <c r="C135" s="222">
        <v>3.6000000000000014</v>
      </c>
      <c r="I135" s="2"/>
      <c r="J135" s="2"/>
    </row>
    <row r="136" spans="1:10">
      <c r="A136" s="130" t="s">
        <v>459</v>
      </c>
      <c r="B136" t="s">
        <v>459</v>
      </c>
      <c r="C136" s="222">
        <v>3.7000000000000011</v>
      </c>
      <c r="I136" s="2"/>
      <c r="J136" s="2"/>
    </row>
    <row r="137" spans="1:10">
      <c r="A137" s="130" t="s">
        <v>459</v>
      </c>
      <c r="B137" t="s">
        <v>459</v>
      </c>
      <c r="C137" s="222">
        <v>3.8000000000000007</v>
      </c>
      <c r="I137" s="2"/>
      <c r="J137" s="2"/>
    </row>
    <row r="138" spans="1:10">
      <c r="A138" s="130" t="s">
        <v>459</v>
      </c>
      <c r="B138" t="s">
        <v>459</v>
      </c>
      <c r="C138" s="222">
        <v>3.9000000000000004</v>
      </c>
      <c r="I138" s="2"/>
      <c r="J138" s="2"/>
    </row>
    <row r="139" spans="1:10">
      <c r="A139" s="130" t="s">
        <v>459</v>
      </c>
      <c r="B139" t="s">
        <v>459</v>
      </c>
      <c r="C139" s="222">
        <v>4</v>
      </c>
      <c r="I139" s="2"/>
      <c r="J139" s="2"/>
    </row>
    <row r="140" spans="1:10">
      <c r="A140" s="130" t="s">
        <v>459</v>
      </c>
      <c r="B140" t="s">
        <v>459</v>
      </c>
      <c r="C140" s="222">
        <v>4.1000000000000014</v>
      </c>
      <c r="I140" s="2"/>
      <c r="J140" s="2"/>
    </row>
    <row r="141" spans="1:10">
      <c r="A141" s="130" t="s">
        <v>459</v>
      </c>
      <c r="B141" t="s">
        <v>459</v>
      </c>
      <c r="C141" s="222">
        <v>4.2000000000000011</v>
      </c>
      <c r="I141" s="2"/>
      <c r="J141" s="2"/>
    </row>
    <row r="142" spans="1:10">
      <c r="A142" s="130" t="s">
        <v>459</v>
      </c>
      <c r="B142" t="s">
        <v>459</v>
      </c>
      <c r="C142" s="222">
        <v>4.3000000000000007</v>
      </c>
      <c r="I142" s="2"/>
      <c r="J142" s="2"/>
    </row>
    <row r="143" spans="1:10">
      <c r="A143" s="130" t="s">
        <v>459</v>
      </c>
      <c r="B143" t="s">
        <v>459</v>
      </c>
      <c r="C143" s="222">
        <v>4.4000000000000004</v>
      </c>
      <c r="I143" s="2"/>
      <c r="J143" s="2"/>
    </row>
    <row r="144" spans="1:10">
      <c r="A144" s="130" t="s">
        <v>459</v>
      </c>
      <c r="B144" t="s">
        <v>459</v>
      </c>
      <c r="C144" s="222">
        <v>4.5</v>
      </c>
      <c r="I144" s="2"/>
      <c r="J144" s="2"/>
    </row>
    <row r="145" spans="1:10">
      <c r="A145" s="130" t="s">
        <v>459</v>
      </c>
      <c r="B145" t="s">
        <v>459</v>
      </c>
      <c r="C145" s="222">
        <v>4.6000000000000014</v>
      </c>
      <c r="I145" s="2"/>
      <c r="J145" s="2"/>
    </row>
    <row r="146" spans="1:10">
      <c r="A146" s="130" t="s">
        <v>459</v>
      </c>
      <c r="B146" t="s">
        <v>459</v>
      </c>
      <c r="C146" s="222">
        <v>4.7000000000000011</v>
      </c>
      <c r="I146" s="2"/>
      <c r="J146" s="2"/>
    </row>
    <row r="147" spans="1:10">
      <c r="A147" s="130" t="s">
        <v>459</v>
      </c>
      <c r="B147" t="s">
        <v>459</v>
      </c>
      <c r="C147" s="222">
        <v>4.8000000000000007</v>
      </c>
      <c r="I147" s="2"/>
      <c r="J147" s="2"/>
    </row>
    <row r="148" spans="1:10">
      <c r="A148" s="130" t="s">
        <v>459</v>
      </c>
      <c r="B148" t="s">
        <v>459</v>
      </c>
      <c r="C148" s="222">
        <v>4.9000000000000004</v>
      </c>
      <c r="I148" s="2"/>
      <c r="J148" s="2"/>
    </row>
    <row r="149" spans="1:10">
      <c r="A149" s="130" t="s">
        <v>459</v>
      </c>
      <c r="B149" t="s">
        <v>459</v>
      </c>
      <c r="C149" s="222">
        <v>5</v>
      </c>
      <c r="I149" s="2"/>
      <c r="J149" s="2"/>
    </row>
    <row r="150" spans="1:10">
      <c r="A150" s="130" t="s">
        <v>459</v>
      </c>
      <c r="B150" t="s">
        <v>459</v>
      </c>
      <c r="C150" s="222">
        <v>5.1000000000000014</v>
      </c>
      <c r="I150" s="2"/>
      <c r="J150" s="2"/>
    </row>
    <row r="151" spans="1:10">
      <c r="A151" s="130" t="s">
        <v>459</v>
      </c>
      <c r="B151" t="s">
        <v>459</v>
      </c>
      <c r="C151" s="222">
        <v>5.2000000000000011</v>
      </c>
      <c r="I151" s="2"/>
      <c r="J151" s="2"/>
    </row>
    <row r="152" spans="1:10">
      <c r="A152" s="130" t="s">
        <v>459</v>
      </c>
      <c r="B152" t="s">
        <v>459</v>
      </c>
      <c r="C152" s="222">
        <v>5.3000000000000007</v>
      </c>
      <c r="I152" s="2"/>
      <c r="J152" s="2"/>
    </row>
    <row r="153" spans="1:10">
      <c r="A153" s="130" t="s">
        <v>459</v>
      </c>
      <c r="B153" t="s">
        <v>459</v>
      </c>
      <c r="C153" s="222">
        <v>5.4</v>
      </c>
      <c r="I153" s="2"/>
      <c r="J153" s="2"/>
    </row>
    <row r="154" spans="1:10">
      <c r="A154" s="130" t="s">
        <v>459</v>
      </c>
      <c r="B154" t="s">
        <v>459</v>
      </c>
      <c r="C154" s="222">
        <v>5.5</v>
      </c>
      <c r="I154" s="2"/>
      <c r="J154" s="2"/>
    </row>
    <row r="155" spans="1:10">
      <c r="A155" s="130" t="s">
        <v>459</v>
      </c>
      <c r="B155" t="s">
        <v>459</v>
      </c>
      <c r="C155" s="222">
        <v>5.6000000000000014</v>
      </c>
      <c r="I155" s="2"/>
      <c r="J155" s="2"/>
    </row>
    <row r="156" spans="1:10">
      <c r="A156" s="130" t="s">
        <v>459</v>
      </c>
      <c r="B156" t="s">
        <v>459</v>
      </c>
      <c r="C156" s="222">
        <v>5.7000000000000011</v>
      </c>
      <c r="I156" s="2"/>
      <c r="J156" s="2"/>
    </row>
    <row r="157" spans="1:10">
      <c r="A157" s="130" t="s">
        <v>459</v>
      </c>
      <c r="B157" t="s">
        <v>459</v>
      </c>
      <c r="C157" s="222">
        <v>5.8000000000000007</v>
      </c>
      <c r="I157" s="2"/>
      <c r="J157" s="2"/>
    </row>
    <row r="158" spans="1:10">
      <c r="A158" s="130" t="s">
        <v>459</v>
      </c>
      <c r="B158" t="s">
        <v>459</v>
      </c>
      <c r="C158" s="222">
        <v>5.9</v>
      </c>
      <c r="I158" s="2"/>
      <c r="J158" s="2"/>
    </row>
    <row r="159" spans="1:10">
      <c r="A159" s="130" t="s">
        <v>459</v>
      </c>
      <c r="B159" t="s">
        <v>459</v>
      </c>
      <c r="C159" s="222">
        <v>6</v>
      </c>
      <c r="I159" s="2"/>
      <c r="J159" s="2"/>
    </row>
    <row r="160" spans="1:10">
      <c r="A160" s="130" t="s">
        <v>459</v>
      </c>
      <c r="B160" t="s">
        <v>459</v>
      </c>
      <c r="C160" s="222">
        <v>6.1000000000000014</v>
      </c>
      <c r="I160" s="2"/>
      <c r="J160" s="2"/>
    </row>
    <row r="161" spans="1:10">
      <c r="A161" s="130" t="s">
        <v>459</v>
      </c>
      <c r="B161" t="s">
        <v>459</v>
      </c>
      <c r="C161" s="222">
        <v>6.2000000000000011</v>
      </c>
      <c r="I161" s="2"/>
      <c r="J161" s="2"/>
    </row>
    <row r="162" spans="1:10">
      <c r="A162" s="130" t="s">
        <v>459</v>
      </c>
      <c r="B162" t="s">
        <v>459</v>
      </c>
      <c r="C162" s="222">
        <v>6.3000000000000007</v>
      </c>
      <c r="I162" s="2"/>
      <c r="J162" s="2"/>
    </row>
    <row r="163" spans="1:10">
      <c r="A163" s="130" t="s">
        <v>459</v>
      </c>
      <c r="B163" t="s">
        <v>459</v>
      </c>
      <c r="C163" s="222">
        <v>6.4</v>
      </c>
      <c r="I163" s="2"/>
      <c r="J163" s="2"/>
    </row>
    <row r="164" spans="1:10">
      <c r="A164" s="130" t="s">
        <v>459</v>
      </c>
      <c r="B164" t="s">
        <v>459</v>
      </c>
      <c r="C164" s="222">
        <v>6.5</v>
      </c>
      <c r="I164" s="2"/>
      <c r="J164" s="2"/>
    </row>
    <row r="165" spans="1:10">
      <c r="A165" s="130" t="s">
        <v>459</v>
      </c>
      <c r="B165" t="s">
        <v>459</v>
      </c>
      <c r="C165" s="222">
        <v>6.6000000000000014</v>
      </c>
      <c r="I165" s="2"/>
      <c r="J165" s="2"/>
    </row>
    <row r="166" spans="1:10">
      <c r="A166" s="130" t="s">
        <v>459</v>
      </c>
      <c r="B166" t="s">
        <v>459</v>
      </c>
      <c r="C166" s="222">
        <v>6.7000000000000011</v>
      </c>
      <c r="I166" s="2"/>
      <c r="J166" s="2"/>
    </row>
    <row r="167" spans="1:10">
      <c r="A167" s="130" t="s">
        <v>459</v>
      </c>
      <c r="B167" t="s">
        <v>459</v>
      </c>
      <c r="C167" s="222">
        <v>6.8000000000000007</v>
      </c>
      <c r="I167" s="2"/>
      <c r="J167" s="2"/>
    </row>
    <row r="168" spans="1:10">
      <c r="A168" s="130" t="s">
        <v>459</v>
      </c>
      <c r="B168" t="s">
        <v>459</v>
      </c>
      <c r="C168" s="222">
        <v>6.9</v>
      </c>
      <c r="I168" s="2"/>
      <c r="J168" s="2"/>
    </row>
    <row r="169" spans="1:10">
      <c r="A169" s="130" t="s">
        <v>459</v>
      </c>
      <c r="B169" t="s">
        <v>459</v>
      </c>
      <c r="C169" s="222">
        <v>7</v>
      </c>
      <c r="I169" s="2"/>
      <c r="J169" s="2"/>
    </row>
    <row r="170" spans="1:10">
      <c r="A170" s="130" t="s">
        <v>459</v>
      </c>
      <c r="B170" t="s">
        <v>459</v>
      </c>
      <c r="C170" s="222">
        <v>7.1000000000000014</v>
      </c>
      <c r="I170" s="2"/>
      <c r="J170" s="2"/>
    </row>
    <row r="171" spans="1:10">
      <c r="A171" s="130" t="s">
        <v>459</v>
      </c>
      <c r="B171" t="s">
        <v>459</v>
      </c>
      <c r="C171" s="222">
        <v>7.2000000000000011</v>
      </c>
      <c r="I171" s="2"/>
      <c r="J171" s="2"/>
    </row>
    <row r="172" spans="1:10">
      <c r="A172" s="130" t="s">
        <v>459</v>
      </c>
      <c r="B172" t="s">
        <v>459</v>
      </c>
      <c r="C172" s="222">
        <v>7.3000000000000007</v>
      </c>
      <c r="I172" s="2"/>
      <c r="J172" s="2"/>
    </row>
    <row r="173" spans="1:10">
      <c r="A173" s="130" t="s">
        <v>459</v>
      </c>
      <c r="B173" t="s">
        <v>459</v>
      </c>
      <c r="C173" s="222">
        <v>7.4</v>
      </c>
      <c r="I173" s="2"/>
      <c r="J173" s="2"/>
    </row>
    <row r="174" spans="1:10">
      <c r="A174" s="130" t="s">
        <v>459</v>
      </c>
      <c r="B174" t="s">
        <v>459</v>
      </c>
      <c r="C174" s="222">
        <v>7.5</v>
      </c>
      <c r="I174" s="2"/>
      <c r="J174" s="2"/>
    </row>
    <row r="175" spans="1:10">
      <c r="A175" s="130" t="s">
        <v>459</v>
      </c>
      <c r="B175" t="s">
        <v>459</v>
      </c>
      <c r="C175" s="222">
        <v>7.6000000000000014</v>
      </c>
      <c r="I175" s="2"/>
      <c r="J175" s="2"/>
    </row>
    <row r="176" spans="1:10">
      <c r="A176" s="130" t="s">
        <v>459</v>
      </c>
      <c r="B176" t="s">
        <v>459</v>
      </c>
      <c r="C176" s="222">
        <v>7.7000000000000011</v>
      </c>
      <c r="I176" s="2"/>
      <c r="J176" s="2"/>
    </row>
    <row r="177" spans="1:10">
      <c r="A177" s="130" t="s">
        <v>459</v>
      </c>
      <c r="B177" t="s">
        <v>459</v>
      </c>
      <c r="C177" s="222">
        <v>7.8000000000000007</v>
      </c>
      <c r="I177" s="2"/>
      <c r="J177" s="2"/>
    </row>
    <row r="178" spans="1:10">
      <c r="A178" s="130" t="s">
        <v>459</v>
      </c>
      <c r="B178" t="s">
        <v>459</v>
      </c>
      <c r="C178" s="222">
        <v>7.9</v>
      </c>
      <c r="I178" s="2"/>
      <c r="J178" s="2"/>
    </row>
    <row r="179" spans="1:10">
      <c r="A179" s="130" t="s">
        <v>459</v>
      </c>
      <c r="B179" t="s">
        <v>459</v>
      </c>
      <c r="C179" s="222">
        <v>8</v>
      </c>
      <c r="I179" s="2"/>
      <c r="J179" s="2"/>
    </row>
    <row r="180" spans="1:10">
      <c r="A180" s="130" t="s">
        <v>459</v>
      </c>
      <c r="B180" t="s">
        <v>459</v>
      </c>
      <c r="C180" s="222">
        <v>8.1000000000000014</v>
      </c>
      <c r="I180" s="2"/>
      <c r="J180" s="2"/>
    </row>
    <row r="181" spans="1:10">
      <c r="A181" s="130" t="s">
        <v>459</v>
      </c>
      <c r="B181" t="s">
        <v>459</v>
      </c>
      <c r="C181" s="222">
        <v>8.1999999999999993</v>
      </c>
      <c r="I181" s="2"/>
      <c r="J181" s="2"/>
    </row>
    <row r="182" spans="1:10">
      <c r="A182" s="130" t="s">
        <v>459</v>
      </c>
      <c r="B182" t="s">
        <v>459</v>
      </c>
      <c r="C182" s="222">
        <v>8.3000000000000007</v>
      </c>
      <c r="I182" s="2"/>
      <c r="J182" s="2"/>
    </row>
    <row r="183" spans="1:10">
      <c r="A183" s="130" t="s">
        <v>459</v>
      </c>
      <c r="B183" t="s">
        <v>459</v>
      </c>
      <c r="C183" s="222">
        <v>8.4000000000000021</v>
      </c>
      <c r="I183" s="2"/>
      <c r="J183" s="2"/>
    </row>
    <row r="184" spans="1:10">
      <c r="A184" s="130" t="s">
        <v>459</v>
      </c>
      <c r="B184" t="s">
        <v>459</v>
      </c>
      <c r="C184" s="222">
        <v>8.5</v>
      </c>
      <c r="I184" s="2"/>
      <c r="J184" s="2"/>
    </row>
    <row r="185" spans="1:10">
      <c r="A185" s="130" t="s">
        <v>459</v>
      </c>
      <c r="B185" t="s">
        <v>459</v>
      </c>
      <c r="C185" s="222">
        <v>8.6000000000000014</v>
      </c>
      <c r="I185" s="2"/>
      <c r="J185" s="2"/>
    </row>
    <row r="186" spans="1:10">
      <c r="A186" s="130" t="s">
        <v>459</v>
      </c>
      <c r="B186" t="s">
        <v>459</v>
      </c>
      <c r="C186" s="222">
        <v>8.6999999999999993</v>
      </c>
      <c r="I186" s="2"/>
      <c r="J186" s="2"/>
    </row>
    <row r="187" spans="1:10">
      <c r="A187" s="130" t="s">
        <v>459</v>
      </c>
      <c r="B187" t="s">
        <v>459</v>
      </c>
      <c r="C187" s="222">
        <v>8.8000000000000007</v>
      </c>
      <c r="I187" s="2"/>
      <c r="J187" s="2"/>
    </row>
    <row r="188" spans="1:10">
      <c r="A188" s="130" t="s">
        <v>459</v>
      </c>
      <c r="B188" t="s">
        <v>459</v>
      </c>
      <c r="C188" s="222">
        <v>8.9000000000000021</v>
      </c>
      <c r="I188" s="2"/>
      <c r="J188" s="2"/>
    </row>
    <row r="189" spans="1:10">
      <c r="A189" s="130" t="s">
        <v>459</v>
      </c>
      <c r="B189" t="s">
        <v>459</v>
      </c>
      <c r="C189" s="222">
        <v>9</v>
      </c>
      <c r="I189" s="2"/>
      <c r="J189" s="2"/>
    </row>
    <row r="190" spans="1:10">
      <c r="A190" s="130" t="s">
        <v>459</v>
      </c>
      <c r="B190" t="s">
        <v>459</v>
      </c>
      <c r="C190" s="222">
        <v>9.1000000000000014</v>
      </c>
      <c r="I190" s="2"/>
      <c r="J190" s="2"/>
    </row>
    <row r="191" spans="1:10">
      <c r="A191" s="130" t="s">
        <v>459</v>
      </c>
      <c r="B191" t="s">
        <v>459</v>
      </c>
      <c r="C191" s="222">
        <v>9.1999999999999993</v>
      </c>
      <c r="I191" s="2"/>
      <c r="J191" s="2"/>
    </row>
    <row r="192" spans="1:10">
      <c r="A192" s="130" t="s">
        <v>459</v>
      </c>
      <c r="B192" t="s">
        <v>459</v>
      </c>
      <c r="C192" s="222">
        <v>9.3000000000000007</v>
      </c>
      <c r="I192" s="2"/>
      <c r="J192" s="2"/>
    </row>
    <row r="193" spans="1:10">
      <c r="A193" s="130" t="s">
        <v>459</v>
      </c>
      <c r="B193" t="s">
        <v>459</v>
      </c>
      <c r="C193" s="222">
        <v>9.4000000000000021</v>
      </c>
      <c r="I193" s="2"/>
      <c r="J193" s="2"/>
    </row>
    <row r="194" spans="1:10">
      <c r="A194" s="130" t="s">
        <v>459</v>
      </c>
      <c r="B194" t="s">
        <v>459</v>
      </c>
      <c r="C194" s="222">
        <v>9.5</v>
      </c>
      <c r="I194" s="2"/>
      <c r="J194" s="2"/>
    </row>
    <row r="195" spans="1:10">
      <c r="A195" s="130" t="s">
        <v>459</v>
      </c>
      <c r="B195" t="s">
        <v>459</v>
      </c>
      <c r="C195" s="222">
        <v>9.6000000000000014</v>
      </c>
      <c r="I195" s="2"/>
      <c r="J195" s="2"/>
    </row>
    <row r="196" spans="1:10">
      <c r="A196" s="130" t="s">
        <v>459</v>
      </c>
      <c r="B196" t="s">
        <v>459</v>
      </c>
      <c r="C196" s="222">
        <v>9.6999999999999993</v>
      </c>
      <c r="I196" s="2"/>
      <c r="J196" s="2"/>
    </row>
    <row r="197" spans="1:10">
      <c r="A197" s="130" t="s">
        <v>459</v>
      </c>
      <c r="B197" t="s">
        <v>459</v>
      </c>
      <c r="C197" s="222">
        <v>9.8000000000000007</v>
      </c>
      <c r="I197" s="2"/>
      <c r="J197" s="2"/>
    </row>
    <row r="198" spans="1:10">
      <c r="A198" s="130" t="s">
        <v>459</v>
      </c>
      <c r="B198" t="s">
        <v>459</v>
      </c>
      <c r="C198" s="222">
        <v>9.9000000000000021</v>
      </c>
      <c r="I198" s="2"/>
      <c r="J198" s="2"/>
    </row>
    <row r="199" spans="1:10">
      <c r="A199" s="130" t="s">
        <v>459</v>
      </c>
      <c r="B199" t="s">
        <v>459</v>
      </c>
      <c r="C199" s="222">
        <v>10</v>
      </c>
      <c r="I199" s="2"/>
      <c r="J199" s="2"/>
    </row>
    <row r="200" spans="1:10">
      <c r="A200" s="130" t="s">
        <v>459</v>
      </c>
      <c r="B200" t="s">
        <v>459</v>
      </c>
      <c r="C200" s="222">
        <v>10.100000000000001</v>
      </c>
      <c r="I200" s="2"/>
      <c r="J200" s="2"/>
    </row>
    <row r="201" spans="1:10">
      <c r="A201" s="130" t="s">
        <v>459</v>
      </c>
      <c r="B201" t="s">
        <v>459</v>
      </c>
      <c r="C201" s="222">
        <v>10.199999999999999</v>
      </c>
      <c r="I201" s="2"/>
      <c r="J201" s="2"/>
    </row>
    <row r="202" spans="1:10">
      <c r="A202" s="130" t="s">
        <v>459</v>
      </c>
      <c r="B202" t="s">
        <v>459</v>
      </c>
      <c r="C202" s="222">
        <v>10.3</v>
      </c>
      <c r="I202" s="2"/>
      <c r="J202" s="2"/>
    </row>
    <row r="203" spans="1:10">
      <c r="A203" s="130" t="s">
        <v>459</v>
      </c>
      <c r="B203" t="s">
        <v>459</v>
      </c>
      <c r="C203" s="222">
        <v>10.400000000000002</v>
      </c>
      <c r="I203" s="2"/>
      <c r="J203" s="2"/>
    </row>
    <row r="204" spans="1:10">
      <c r="A204" s="130" t="s">
        <v>459</v>
      </c>
      <c r="B204" t="s">
        <v>459</v>
      </c>
      <c r="C204" s="222">
        <v>10.5</v>
      </c>
      <c r="I204" s="2"/>
      <c r="J204" s="2"/>
    </row>
    <row r="205" spans="1:10">
      <c r="A205" s="130" t="s">
        <v>459</v>
      </c>
      <c r="B205" t="s">
        <v>459</v>
      </c>
      <c r="C205" s="222">
        <v>10.600000000000001</v>
      </c>
      <c r="I205" s="2"/>
      <c r="J205" s="2"/>
    </row>
    <row r="206" spans="1:10">
      <c r="A206" s="130" t="s">
        <v>459</v>
      </c>
      <c r="B206" t="s">
        <v>459</v>
      </c>
      <c r="C206" s="222">
        <v>10.7</v>
      </c>
      <c r="I206" s="2"/>
      <c r="J206" s="2"/>
    </row>
    <row r="207" spans="1:10">
      <c r="A207" s="130" t="s">
        <v>459</v>
      </c>
      <c r="B207" t="s">
        <v>459</v>
      </c>
      <c r="C207" s="222">
        <v>10.8</v>
      </c>
      <c r="I207" s="2"/>
      <c r="J207" s="2"/>
    </row>
    <row r="208" spans="1:10">
      <c r="A208" s="130" t="s">
        <v>459</v>
      </c>
      <c r="B208" t="s">
        <v>459</v>
      </c>
      <c r="C208" s="222">
        <v>10.900000000000002</v>
      </c>
      <c r="I208" s="2"/>
      <c r="J208" s="2"/>
    </row>
    <row r="209" spans="1:10">
      <c r="A209" s="130" t="s">
        <v>459</v>
      </c>
      <c r="B209" t="s">
        <v>459</v>
      </c>
      <c r="C209" s="222">
        <v>11</v>
      </c>
      <c r="I209" s="2"/>
      <c r="J209" s="2"/>
    </row>
    <row r="210" spans="1:10">
      <c r="A210" s="130" t="s">
        <v>459</v>
      </c>
      <c r="B210" t="s">
        <v>459</v>
      </c>
      <c r="C210" s="222">
        <v>11.100000000000001</v>
      </c>
      <c r="I210" s="2"/>
      <c r="J210" s="2"/>
    </row>
    <row r="211" spans="1:10">
      <c r="A211" s="130" t="s">
        <v>459</v>
      </c>
      <c r="B211" t="s">
        <v>459</v>
      </c>
      <c r="C211" s="222">
        <v>11.200000000000003</v>
      </c>
      <c r="I211" s="2"/>
      <c r="J211" s="2"/>
    </row>
    <row r="212" spans="1:10">
      <c r="A212" s="130" t="s">
        <v>459</v>
      </c>
      <c r="B212" t="s">
        <v>459</v>
      </c>
      <c r="C212" s="222">
        <v>11.3</v>
      </c>
      <c r="I212" s="2"/>
      <c r="J212" s="2"/>
    </row>
    <row r="213" spans="1:10">
      <c r="A213" s="130" t="s">
        <v>459</v>
      </c>
      <c r="B213" t="s">
        <v>459</v>
      </c>
      <c r="C213" s="222">
        <v>11.400000000000002</v>
      </c>
      <c r="I213" s="2"/>
      <c r="J213" s="2"/>
    </row>
    <row r="214" spans="1:10">
      <c r="A214" s="130" t="s">
        <v>459</v>
      </c>
      <c r="B214" t="s">
        <v>459</v>
      </c>
      <c r="C214" s="222">
        <v>11.5</v>
      </c>
      <c r="I214" s="2"/>
      <c r="J214" s="2"/>
    </row>
    <row r="215" spans="1:10">
      <c r="A215" s="130" t="s">
        <v>459</v>
      </c>
      <c r="B215" t="s">
        <v>459</v>
      </c>
      <c r="C215" s="222">
        <v>11.600000000000001</v>
      </c>
      <c r="I215" s="2"/>
      <c r="J215" s="2"/>
    </row>
    <row r="216" spans="1:10">
      <c r="A216" s="130" t="s">
        <v>459</v>
      </c>
      <c r="B216" t="s">
        <v>459</v>
      </c>
      <c r="C216" s="222">
        <v>11.700000000000003</v>
      </c>
      <c r="I216" s="2"/>
      <c r="J216" s="2"/>
    </row>
    <row r="217" spans="1:10">
      <c r="A217" s="130" t="s">
        <v>459</v>
      </c>
      <c r="B217" t="s">
        <v>459</v>
      </c>
      <c r="C217" s="222">
        <v>11.8</v>
      </c>
      <c r="I217" s="2"/>
      <c r="J217" s="2"/>
    </row>
    <row r="218" spans="1:10">
      <c r="A218" s="130" t="s">
        <v>459</v>
      </c>
      <c r="B218" t="s">
        <v>459</v>
      </c>
      <c r="C218" s="222">
        <v>11.900000000000002</v>
      </c>
      <c r="I218" s="2"/>
      <c r="J218" s="2"/>
    </row>
    <row r="219" spans="1:10">
      <c r="A219" s="130" t="s">
        <v>459</v>
      </c>
      <c r="B219" t="s">
        <v>459</v>
      </c>
      <c r="C219" s="222">
        <v>12</v>
      </c>
      <c r="I219" s="2"/>
      <c r="J219" s="2"/>
    </row>
    <row r="220" spans="1:10">
      <c r="A220" s="130" t="s">
        <v>459</v>
      </c>
      <c r="B220" t="s">
        <v>459</v>
      </c>
      <c r="C220" s="222">
        <v>12.100000000000001</v>
      </c>
      <c r="I220" s="2"/>
      <c r="J220" s="2"/>
    </row>
    <row r="221" spans="1:10">
      <c r="A221" s="130" t="s">
        <v>459</v>
      </c>
      <c r="B221" t="s">
        <v>459</v>
      </c>
      <c r="C221" s="222">
        <v>12.200000000000003</v>
      </c>
      <c r="I221" s="2"/>
      <c r="J221" s="2"/>
    </row>
    <row r="222" spans="1:10">
      <c r="A222" s="130" t="s">
        <v>459</v>
      </c>
      <c r="B222" t="s">
        <v>459</v>
      </c>
      <c r="C222" s="222">
        <v>12.3</v>
      </c>
      <c r="I222" s="2"/>
      <c r="J222" s="2"/>
    </row>
    <row r="223" spans="1:10">
      <c r="A223" s="130" t="s">
        <v>459</v>
      </c>
      <c r="B223" t="s">
        <v>459</v>
      </c>
      <c r="C223" s="222">
        <v>12.400000000000002</v>
      </c>
      <c r="I223" s="2"/>
      <c r="J223" s="2"/>
    </row>
    <row r="224" spans="1:10">
      <c r="A224" s="130" t="s">
        <v>459</v>
      </c>
      <c r="B224" t="s">
        <v>459</v>
      </c>
      <c r="C224" s="222">
        <v>12.5</v>
      </c>
      <c r="I224" s="2"/>
      <c r="J224" s="2"/>
    </row>
    <row r="225" spans="1:10">
      <c r="A225" s="130" t="s">
        <v>459</v>
      </c>
      <c r="B225" t="s">
        <v>459</v>
      </c>
      <c r="C225" s="222">
        <v>12.600000000000001</v>
      </c>
      <c r="I225" s="2"/>
      <c r="J225" s="2"/>
    </row>
    <row r="226" spans="1:10">
      <c r="A226" s="130" t="s">
        <v>459</v>
      </c>
      <c r="B226" t="s">
        <v>459</v>
      </c>
      <c r="C226" s="222">
        <v>12.700000000000003</v>
      </c>
      <c r="I226" s="2"/>
      <c r="J226" s="2"/>
    </row>
    <row r="227" spans="1:10">
      <c r="A227" s="130" t="s">
        <v>459</v>
      </c>
      <c r="B227" t="s">
        <v>459</v>
      </c>
      <c r="C227" s="222">
        <v>12.8</v>
      </c>
      <c r="I227" s="2"/>
      <c r="J227" s="2"/>
    </row>
    <row r="228" spans="1:10">
      <c r="A228" s="130" t="s">
        <v>459</v>
      </c>
      <c r="B228" t="s">
        <v>459</v>
      </c>
      <c r="C228" s="222">
        <v>12.900000000000002</v>
      </c>
      <c r="I228" s="2"/>
      <c r="J228" s="2"/>
    </row>
    <row r="229" spans="1:10">
      <c r="A229" s="130" t="s">
        <v>459</v>
      </c>
      <c r="B229" t="s">
        <v>459</v>
      </c>
      <c r="C229" s="222">
        <v>13</v>
      </c>
      <c r="I229" s="2"/>
      <c r="J229" s="2"/>
    </row>
    <row r="230" spans="1:10">
      <c r="A230" s="130" t="s">
        <v>459</v>
      </c>
      <c r="B230" t="s">
        <v>459</v>
      </c>
      <c r="C230" s="222">
        <v>13.100000000000001</v>
      </c>
      <c r="I230" s="2"/>
      <c r="J230" s="2"/>
    </row>
    <row r="231" spans="1:10">
      <c r="A231" s="130" t="s">
        <v>459</v>
      </c>
      <c r="B231" t="s">
        <v>459</v>
      </c>
      <c r="C231" s="222">
        <v>13.200000000000003</v>
      </c>
      <c r="I231" s="2"/>
      <c r="J231" s="2"/>
    </row>
    <row r="232" spans="1:10">
      <c r="A232" s="130" t="s">
        <v>459</v>
      </c>
      <c r="B232" t="s">
        <v>459</v>
      </c>
      <c r="C232" s="222">
        <v>13.3</v>
      </c>
      <c r="I232" s="2"/>
      <c r="J232" s="2"/>
    </row>
    <row r="233" spans="1:10">
      <c r="A233" s="130" t="s">
        <v>459</v>
      </c>
      <c r="B233" t="s">
        <v>459</v>
      </c>
      <c r="C233" s="222">
        <v>13.400000000000002</v>
      </c>
      <c r="I233" s="2"/>
      <c r="J233" s="2"/>
    </row>
    <row r="234" spans="1:10">
      <c r="A234" s="130" t="s">
        <v>459</v>
      </c>
      <c r="B234" t="s">
        <v>459</v>
      </c>
      <c r="C234" s="222">
        <v>13.5</v>
      </c>
      <c r="I234" s="2"/>
      <c r="J234" s="2"/>
    </row>
    <row r="235" spans="1:10">
      <c r="A235" s="130" t="s">
        <v>459</v>
      </c>
      <c r="B235" t="s">
        <v>459</v>
      </c>
      <c r="C235" s="222">
        <v>13.600000000000001</v>
      </c>
      <c r="I235" s="2"/>
      <c r="J235" s="2"/>
    </row>
    <row r="236" spans="1:10">
      <c r="A236" s="130" t="s">
        <v>459</v>
      </c>
      <c r="B236" t="s">
        <v>459</v>
      </c>
      <c r="C236" s="222">
        <v>13.700000000000003</v>
      </c>
      <c r="I236" s="2"/>
      <c r="J236" s="2"/>
    </row>
    <row r="237" spans="1:10">
      <c r="A237" s="130" t="s">
        <v>459</v>
      </c>
      <c r="B237" t="s">
        <v>459</v>
      </c>
      <c r="C237" s="222">
        <v>13.8</v>
      </c>
      <c r="I237" s="2"/>
      <c r="J237" s="2"/>
    </row>
    <row r="238" spans="1:10">
      <c r="A238" s="130" t="s">
        <v>459</v>
      </c>
      <c r="B238" t="s">
        <v>459</v>
      </c>
      <c r="C238" s="222">
        <v>13.900000000000002</v>
      </c>
      <c r="I238" s="2"/>
      <c r="J238" s="2"/>
    </row>
    <row r="239" spans="1:10">
      <c r="A239" s="130" t="s">
        <v>459</v>
      </c>
      <c r="B239" t="s">
        <v>459</v>
      </c>
      <c r="C239" s="222">
        <v>14</v>
      </c>
      <c r="I239" s="2"/>
      <c r="J239" s="2"/>
    </row>
    <row r="240" spans="1:10">
      <c r="A240" s="130" t="s">
        <v>459</v>
      </c>
      <c r="B240" t="s">
        <v>459</v>
      </c>
      <c r="C240" s="222">
        <v>14.100000000000001</v>
      </c>
      <c r="I240" s="2"/>
      <c r="J240" s="2"/>
    </row>
    <row r="241" spans="1:10">
      <c r="A241" s="130" t="s">
        <v>459</v>
      </c>
      <c r="B241" t="s">
        <v>459</v>
      </c>
      <c r="C241" s="222">
        <v>14.200000000000003</v>
      </c>
      <c r="I241" s="2"/>
      <c r="J241" s="2"/>
    </row>
    <row r="242" spans="1:10">
      <c r="A242" s="130" t="s">
        <v>459</v>
      </c>
      <c r="B242" t="s">
        <v>459</v>
      </c>
      <c r="C242" s="222">
        <v>14.3</v>
      </c>
      <c r="I242" s="2"/>
      <c r="J242" s="2"/>
    </row>
    <row r="243" spans="1:10">
      <c r="A243" s="130" t="s">
        <v>459</v>
      </c>
      <c r="B243" t="s">
        <v>459</v>
      </c>
      <c r="C243" s="222">
        <v>14.400000000000002</v>
      </c>
      <c r="I243" s="2"/>
      <c r="J243" s="2"/>
    </row>
    <row r="244" spans="1:10">
      <c r="A244" s="130" t="s">
        <v>459</v>
      </c>
      <c r="B244" t="s">
        <v>459</v>
      </c>
      <c r="C244" s="222">
        <v>14.5</v>
      </c>
      <c r="I244" s="2"/>
      <c r="J244" s="2"/>
    </row>
    <row r="245" spans="1:10">
      <c r="A245" s="130" t="s">
        <v>459</v>
      </c>
      <c r="B245" t="s">
        <v>459</v>
      </c>
      <c r="C245" s="222">
        <v>14.600000000000001</v>
      </c>
      <c r="I245" s="2"/>
      <c r="J245" s="2"/>
    </row>
    <row r="246" spans="1:10">
      <c r="A246" s="130" t="s">
        <v>459</v>
      </c>
      <c r="B246" t="s">
        <v>459</v>
      </c>
      <c r="C246" s="222">
        <v>14.700000000000003</v>
      </c>
      <c r="I246" s="2"/>
      <c r="J246" s="2"/>
    </row>
    <row r="247" spans="1:10">
      <c r="A247" s="130" t="s">
        <v>459</v>
      </c>
      <c r="B247" t="s">
        <v>459</v>
      </c>
      <c r="C247" s="222">
        <v>14.8</v>
      </c>
      <c r="I247" s="2"/>
      <c r="J247" s="2"/>
    </row>
    <row r="248" spans="1:10">
      <c r="A248" s="130" t="s">
        <v>459</v>
      </c>
      <c r="B248" t="s">
        <v>459</v>
      </c>
      <c r="C248" s="222">
        <v>14.900000000000002</v>
      </c>
      <c r="I248" s="2"/>
      <c r="J248" s="2"/>
    </row>
    <row r="249" spans="1:10">
      <c r="A249" s="130" t="s">
        <v>459</v>
      </c>
      <c r="B249" t="s">
        <v>459</v>
      </c>
      <c r="C249" s="222">
        <v>15</v>
      </c>
      <c r="I249" s="2"/>
      <c r="J249" s="2"/>
    </row>
    <row r="250" spans="1:10">
      <c r="A250" s="130" t="s">
        <v>459</v>
      </c>
      <c r="B250" t="s">
        <v>459</v>
      </c>
      <c r="C250" s="222">
        <v>15.100000000000001</v>
      </c>
      <c r="I250" s="2"/>
      <c r="J250" s="2"/>
    </row>
    <row r="251" spans="1:10">
      <c r="A251" s="130" t="s">
        <v>459</v>
      </c>
      <c r="B251" t="s">
        <v>459</v>
      </c>
      <c r="C251" s="222">
        <v>15.200000000000003</v>
      </c>
      <c r="I251" s="2"/>
      <c r="J251" s="2"/>
    </row>
    <row r="252" spans="1:10">
      <c r="A252" s="130" t="s">
        <v>459</v>
      </c>
      <c r="B252" t="s">
        <v>459</v>
      </c>
      <c r="C252" s="222">
        <v>15.3</v>
      </c>
      <c r="I252" s="2"/>
      <c r="J252" s="2"/>
    </row>
    <row r="253" spans="1:10">
      <c r="A253" s="130" t="s">
        <v>459</v>
      </c>
      <c r="B253" t="s">
        <v>459</v>
      </c>
      <c r="C253" s="222">
        <v>15.400000000000002</v>
      </c>
      <c r="I253" s="2"/>
      <c r="J253" s="2"/>
    </row>
    <row r="254" spans="1:10">
      <c r="A254" s="130" t="s">
        <v>459</v>
      </c>
      <c r="B254" t="s">
        <v>459</v>
      </c>
      <c r="C254" s="222">
        <v>15.5</v>
      </c>
      <c r="I254" s="2"/>
      <c r="J254" s="2"/>
    </row>
    <row r="255" spans="1:10">
      <c r="A255" s="130" t="s">
        <v>459</v>
      </c>
      <c r="B255" t="s">
        <v>459</v>
      </c>
      <c r="C255" s="222">
        <v>15.600000000000001</v>
      </c>
      <c r="I255" s="2"/>
      <c r="J255" s="2"/>
    </row>
    <row r="256" spans="1:10">
      <c r="A256" s="130" t="s">
        <v>459</v>
      </c>
      <c r="B256" t="s">
        <v>459</v>
      </c>
      <c r="C256" s="222">
        <v>15.700000000000003</v>
      </c>
      <c r="I256" s="2"/>
      <c r="J256" s="2"/>
    </row>
    <row r="257" spans="1:10">
      <c r="A257" s="130" t="s">
        <v>459</v>
      </c>
      <c r="B257" t="s">
        <v>459</v>
      </c>
      <c r="C257" s="222">
        <v>15.8</v>
      </c>
      <c r="I257" s="2"/>
      <c r="J257" s="2"/>
    </row>
    <row r="258" spans="1:10">
      <c r="A258" s="130" t="s">
        <v>459</v>
      </c>
      <c r="B258" t="s">
        <v>459</v>
      </c>
      <c r="C258" s="222">
        <v>15.900000000000002</v>
      </c>
      <c r="I258" s="2"/>
      <c r="J258" s="2"/>
    </row>
    <row r="259" spans="1:10">
      <c r="A259" s="130" t="s">
        <v>459</v>
      </c>
      <c r="B259" t="s">
        <v>459</v>
      </c>
      <c r="C259" s="222">
        <v>16</v>
      </c>
      <c r="I259" s="2"/>
      <c r="J259" s="2"/>
    </row>
    <row r="260" spans="1:10">
      <c r="A260" s="130" t="s">
        <v>459</v>
      </c>
      <c r="B260" t="s">
        <v>459</v>
      </c>
      <c r="C260" s="222">
        <v>16.100000000000001</v>
      </c>
      <c r="I260" s="2"/>
      <c r="J260" s="2"/>
    </row>
    <row r="261" spans="1:10">
      <c r="A261" s="130" t="s">
        <v>459</v>
      </c>
      <c r="B261" t="s">
        <v>459</v>
      </c>
      <c r="C261" s="222">
        <v>16.200000000000003</v>
      </c>
      <c r="I261" s="2"/>
      <c r="J261" s="2"/>
    </row>
    <row r="262" spans="1:10">
      <c r="A262" s="130" t="s">
        <v>459</v>
      </c>
      <c r="B262" t="s">
        <v>459</v>
      </c>
      <c r="C262" s="222">
        <v>16.3</v>
      </c>
      <c r="I262" s="2"/>
      <c r="J262" s="2"/>
    </row>
    <row r="263" spans="1:10">
      <c r="A263" s="130" t="s">
        <v>459</v>
      </c>
      <c r="B263" t="s">
        <v>459</v>
      </c>
      <c r="C263" s="222">
        <v>16.400000000000002</v>
      </c>
      <c r="I263" s="2"/>
      <c r="J263" s="2"/>
    </row>
    <row r="264" spans="1:10">
      <c r="A264" s="130" t="s">
        <v>459</v>
      </c>
      <c r="B264" t="s">
        <v>459</v>
      </c>
      <c r="C264" s="222">
        <v>16.5</v>
      </c>
      <c r="I264" s="2"/>
      <c r="J264" s="2"/>
    </row>
    <row r="265" spans="1:10">
      <c r="A265" s="130" t="s">
        <v>459</v>
      </c>
      <c r="B265" t="s">
        <v>459</v>
      </c>
      <c r="C265" s="222">
        <v>16.600000000000001</v>
      </c>
      <c r="I265" s="2"/>
      <c r="J265" s="2"/>
    </row>
    <row r="266" spans="1:10">
      <c r="A266" s="130" t="s">
        <v>459</v>
      </c>
      <c r="B266" t="s">
        <v>459</v>
      </c>
      <c r="C266" s="222">
        <v>16.700000000000003</v>
      </c>
      <c r="I266" s="2"/>
      <c r="J266" s="2"/>
    </row>
    <row r="267" spans="1:10">
      <c r="A267" s="130" t="s">
        <v>459</v>
      </c>
      <c r="B267" t="s">
        <v>459</v>
      </c>
      <c r="C267" s="222">
        <v>16.8</v>
      </c>
      <c r="I267" s="2"/>
      <c r="J267" s="2"/>
    </row>
    <row r="268" spans="1:10">
      <c r="A268" s="130" t="s">
        <v>459</v>
      </c>
      <c r="B268" t="s">
        <v>459</v>
      </c>
      <c r="C268" s="222">
        <v>16.900000000000002</v>
      </c>
      <c r="I268" s="2"/>
      <c r="J268" s="2"/>
    </row>
    <row r="269" spans="1:10">
      <c r="A269" s="130" t="s">
        <v>459</v>
      </c>
      <c r="B269" t="s">
        <v>459</v>
      </c>
      <c r="C269" s="222">
        <v>17</v>
      </c>
      <c r="I269" s="2"/>
      <c r="J269" s="2"/>
    </row>
    <row r="270" spans="1:10">
      <c r="A270" s="130" t="s">
        <v>459</v>
      </c>
      <c r="B270" t="s">
        <v>459</v>
      </c>
      <c r="C270" s="222">
        <v>17.100000000000001</v>
      </c>
      <c r="I270" s="2"/>
      <c r="J270" s="2"/>
    </row>
    <row r="271" spans="1:10">
      <c r="A271" s="130" t="s">
        <v>459</v>
      </c>
      <c r="B271" t="s">
        <v>459</v>
      </c>
      <c r="C271" s="222">
        <v>17.200000000000003</v>
      </c>
      <c r="I271" s="2"/>
      <c r="J271" s="2"/>
    </row>
    <row r="272" spans="1:10">
      <c r="A272" s="130" t="s">
        <v>459</v>
      </c>
      <c r="B272" t="s">
        <v>459</v>
      </c>
      <c r="C272" s="222">
        <v>17.3</v>
      </c>
      <c r="I272" s="2"/>
      <c r="J272" s="2"/>
    </row>
    <row r="273" spans="1:10">
      <c r="A273" s="130" t="s">
        <v>459</v>
      </c>
      <c r="B273" t="s">
        <v>459</v>
      </c>
      <c r="C273" s="222">
        <v>17.400000000000002</v>
      </c>
      <c r="I273" s="2"/>
      <c r="J273" s="2"/>
    </row>
    <row r="274" spans="1:10">
      <c r="A274" s="130" t="s">
        <v>459</v>
      </c>
      <c r="B274" t="s">
        <v>459</v>
      </c>
      <c r="C274" s="222">
        <v>17.5</v>
      </c>
      <c r="I274" s="2"/>
      <c r="J274" s="2"/>
    </row>
    <row r="275" spans="1:10">
      <c r="A275" s="130" t="s">
        <v>459</v>
      </c>
      <c r="B275" t="s">
        <v>459</v>
      </c>
      <c r="C275" s="222">
        <v>17.600000000000001</v>
      </c>
      <c r="I275" s="2"/>
      <c r="J275" s="2"/>
    </row>
    <row r="276" spans="1:10">
      <c r="A276" s="130" t="s">
        <v>459</v>
      </c>
      <c r="B276" t="s">
        <v>459</v>
      </c>
      <c r="C276" s="222">
        <v>17.700000000000003</v>
      </c>
      <c r="I276" s="2"/>
      <c r="J276" s="2"/>
    </row>
    <row r="277" spans="1:10">
      <c r="A277" s="130" t="s">
        <v>459</v>
      </c>
      <c r="B277" t="s">
        <v>459</v>
      </c>
      <c r="C277" s="222">
        <v>17.8</v>
      </c>
      <c r="I277" s="2"/>
      <c r="J277" s="2"/>
    </row>
    <row r="278" spans="1:10">
      <c r="A278" s="130" t="s">
        <v>459</v>
      </c>
      <c r="B278" t="s">
        <v>459</v>
      </c>
      <c r="C278" s="222">
        <v>17.900000000000002</v>
      </c>
      <c r="I278" s="2"/>
      <c r="J278" s="2"/>
    </row>
    <row r="279" spans="1:10">
      <c r="A279" s="130" t="s">
        <v>459</v>
      </c>
      <c r="B279" t="s">
        <v>459</v>
      </c>
      <c r="C279" s="222">
        <v>18</v>
      </c>
      <c r="I279" s="2"/>
      <c r="J279" s="2"/>
    </row>
    <row r="280" spans="1:10">
      <c r="A280" s="130" t="s">
        <v>459</v>
      </c>
      <c r="B280" t="s">
        <v>459</v>
      </c>
      <c r="C280" s="222">
        <v>18.100000000000001</v>
      </c>
      <c r="I280" s="2"/>
      <c r="J280" s="2"/>
    </row>
    <row r="281" spans="1:10">
      <c r="A281" s="130" t="s">
        <v>459</v>
      </c>
      <c r="B281" t="s">
        <v>459</v>
      </c>
      <c r="C281" s="222">
        <v>18.200000000000003</v>
      </c>
      <c r="I281" s="2"/>
      <c r="J281" s="2"/>
    </row>
    <row r="282" spans="1:10">
      <c r="A282" s="130" t="s">
        <v>459</v>
      </c>
      <c r="B282" t="s">
        <v>459</v>
      </c>
      <c r="C282" s="222">
        <v>18.3</v>
      </c>
      <c r="I282" s="2"/>
      <c r="J282" s="2"/>
    </row>
    <row r="283" spans="1:10">
      <c r="A283" s="130" t="s">
        <v>459</v>
      </c>
      <c r="B283" t="s">
        <v>459</v>
      </c>
      <c r="C283" s="222">
        <v>18.400000000000002</v>
      </c>
      <c r="I283" s="2"/>
      <c r="J283" s="2"/>
    </row>
    <row r="284" spans="1:10">
      <c r="A284" s="130" t="s">
        <v>459</v>
      </c>
      <c r="B284" t="s">
        <v>459</v>
      </c>
      <c r="C284" s="222">
        <v>18.5</v>
      </c>
      <c r="I284" s="2"/>
      <c r="J284" s="2"/>
    </row>
    <row r="285" spans="1:10">
      <c r="A285" s="130" t="s">
        <v>459</v>
      </c>
      <c r="B285" t="s">
        <v>459</v>
      </c>
      <c r="C285" s="222">
        <v>18.600000000000001</v>
      </c>
      <c r="I285" s="2"/>
      <c r="J285" s="2"/>
    </row>
    <row r="286" spans="1:10">
      <c r="A286" s="130" t="s">
        <v>459</v>
      </c>
      <c r="B286" t="s">
        <v>459</v>
      </c>
      <c r="C286" s="222">
        <v>18.700000000000003</v>
      </c>
      <c r="I286" s="2"/>
      <c r="J286" s="2"/>
    </row>
    <row r="287" spans="1:10">
      <c r="A287" s="130" t="s">
        <v>459</v>
      </c>
      <c r="B287" t="s">
        <v>459</v>
      </c>
      <c r="C287" s="222">
        <v>18.8</v>
      </c>
      <c r="I287" s="2"/>
      <c r="J287" s="2"/>
    </row>
    <row r="288" spans="1:10">
      <c r="A288" s="130" t="s">
        <v>459</v>
      </c>
      <c r="B288" t="s">
        <v>459</v>
      </c>
      <c r="C288" s="222">
        <v>18.900000000000002</v>
      </c>
      <c r="I288" s="2"/>
      <c r="J288" s="2"/>
    </row>
    <row r="289" spans="1:10">
      <c r="A289" s="130" t="s">
        <v>459</v>
      </c>
      <c r="B289" t="s">
        <v>459</v>
      </c>
      <c r="C289" s="222">
        <v>19</v>
      </c>
      <c r="I289" s="2"/>
      <c r="J289" s="2"/>
    </row>
    <row r="290" spans="1:10">
      <c r="A290" s="130" t="s">
        <v>459</v>
      </c>
      <c r="B290" t="s">
        <v>459</v>
      </c>
      <c r="C290" s="222">
        <v>19.100000000000001</v>
      </c>
      <c r="I290" s="2"/>
      <c r="J290" s="2"/>
    </row>
    <row r="291" spans="1:10">
      <c r="A291" s="130" t="s">
        <v>459</v>
      </c>
      <c r="B291" t="s">
        <v>459</v>
      </c>
      <c r="C291" s="222">
        <v>19.200000000000003</v>
      </c>
      <c r="I291" s="2"/>
      <c r="J291" s="2"/>
    </row>
    <row r="292" spans="1:10">
      <c r="A292" s="130" t="s">
        <v>459</v>
      </c>
      <c r="B292" t="s">
        <v>459</v>
      </c>
      <c r="C292" s="222">
        <v>19.3</v>
      </c>
      <c r="I292" s="2"/>
      <c r="J292" s="2"/>
    </row>
    <row r="293" spans="1:10">
      <c r="A293" s="130" t="s">
        <v>459</v>
      </c>
      <c r="B293" t="s">
        <v>459</v>
      </c>
      <c r="C293" s="222">
        <v>19.400000000000002</v>
      </c>
      <c r="I293" s="2"/>
      <c r="J293" s="2"/>
    </row>
    <row r="294" spans="1:10">
      <c r="A294" s="130" t="s">
        <v>459</v>
      </c>
      <c r="B294" t="s">
        <v>459</v>
      </c>
      <c r="C294" s="222">
        <v>19.5</v>
      </c>
      <c r="I294" s="2"/>
      <c r="J294" s="2"/>
    </row>
    <row r="295" spans="1:10">
      <c r="A295" s="130" t="s">
        <v>459</v>
      </c>
      <c r="B295" t="s">
        <v>459</v>
      </c>
      <c r="C295" s="222">
        <v>19.600000000000001</v>
      </c>
      <c r="I295" s="2"/>
      <c r="J295" s="2"/>
    </row>
    <row r="296" spans="1:10">
      <c r="A296" s="130" t="s">
        <v>459</v>
      </c>
      <c r="B296" t="s">
        <v>459</v>
      </c>
      <c r="C296" s="222">
        <v>19.700000000000003</v>
      </c>
      <c r="I296" s="2"/>
      <c r="J296" s="2"/>
    </row>
    <row r="297" spans="1:10">
      <c r="A297" s="130" t="s">
        <v>459</v>
      </c>
      <c r="B297" t="s">
        <v>459</v>
      </c>
      <c r="C297" s="222">
        <v>19.8</v>
      </c>
      <c r="I297" s="2"/>
      <c r="J297" s="2"/>
    </row>
    <row r="298" spans="1:10">
      <c r="A298" s="130" t="s">
        <v>459</v>
      </c>
      <c r="B298" t="s">
        <v>459</v>
      </c>
      <c r="C298" s="222">
        <v>19.900000000000002</v>
      </c>
      <c r="I298" s="2"/>
      <c r="J298" s="2"/>
    </row>
    <row r="299" spans="1:10">
      <c r="A299" s="130" t="s">
        <v>459</v>
      </c>
      <c r="B299" t="s">
        <v>459</v>
      </c>
      <c r="C299" s="222">
        <v>20</v>
      </c>
      <c r="I299" s="2"/>
      <c r="J299" s="2"/>
    </row>
    <row r="300" spans="1:10">
      <c r="A300" s="130" t="s">
        <v>459</v>
      </c>
      <c r="B300" t="s">
        <v>459</v>
      </c>
      <c r="C300" s="222">
        <v>20.100000000000001</v>
      </c>
      <c r="I300" s="2"/>
      <c r="J300" s="2"/>
    </row>
    <row r="301" spans="1:10">
      <c r="A301" s="130" t="s">
        <v>459</v>
      </c>
      <c r="B301" t="s">
        <v>459</v>
      </c>
      <c r="C301" s="222">
        <v>20.200000000000003</v>
      </c>
      <c r="I301" s="2"/>
      <c r="J301" s="2"/>
    </row>
    <row r="302" spans="1:10">
      <c r="A302" s="130" t="s">
        <v>459</v>
      </c>
      <c r="B302" t="s">
        <v>459</v>
      </c>
      <c r="C302" s="222">
        <v>20.3</v>
      </c>
      <c r="I302" s="2"/>
      <c r="J302" s="2"/>
    </row>
    <row r="303" spans="1:10">
      <c r="A303" s="130" t="s">
        <v>459</v>
      </c>
      <c r="B303" t="s">
        <v>459</v>
      </c>
      <c r="C303" s="222">
        <v>20.400000000000002</v>
      </c>
      <c r="I303" s="2"/>
      <c r="J303" s="2"/>
    </row>
    <row r="304" spans="1:10">
      <c r="A304" s="130" t="s">
        <v>459</v>
      </c>
      <c r="B304" t="s">
        <v>459</v>
      </c>
      <c r="C304" s="222">
        <v>20.5</v>
      </c>
      <c r="I304" s="2"/>
      <c r="J304" s="2"/>
    </row>
    <row r="305" spans="1:10">
      <c r="A305" s="130" t="s">
        <v>459</v>
      </c>
      <c r="B305" t="s">
        <v>459</v>
      </c>
      <c r="C305" s="222">
        <v>20.6</v>
      </c>
      <c r="I305" s="2"/>
      <c r="J305" s="2"/>
    </row>
    <row r="306" spans="1:10">
      <c r="A306" s="130" t="s">
        <v>459</v>
      </c>
      <c r="B306" t="s">
        <v>459</v>
      </c>
      <c r="C306" s="222">
        <v>20.700000000000003</v>
      </c>
      <c r="I306" s="2"/>
      <c r="J306" s="2"/>
    </row>
    <row r="307" spans="1:10">
      <c r="A307" s="130" t="s">
        <v>459</v>
      </c>
      <c r="B307" t="s">
        <v>459</v>
      </c>
      <c r="C307" s="222">
        <v>20.8</v>
      </c>
      <c r="I307" s="2"/>
      <c r="J307" s="2"/>
    </row>
    <row r="308" spans="1:10">
      <c r="A308" s="130" t="s">
        <v>459</v>
      </c>
      <c r="B308" t="s">
        <v>459</v>
      </c>
      <c r="C308" s="222">
        <v>20.900000000000002</v>
      </c>
      <c r="I308" s="2"/>
      <c r="J308" s="2"/>
    </row>
    <row r="309" spans="1:10">
      <c r="A309" s="130" t="s">
        <v>459</v>
      </c>
      <c r="B309" t="s">
        <v>459</v>
      </c>
      <c r="C309" s="222">
        <v>21</v>
      </c>
      <c r="I309" s="2"/>
      <c r="J309" s="2"/>
    </row>
    <row r="310" spans="1:10">
      <c r="A310" s="130" t="s">
        <v>459</v>
      </c>
      <c r="B310" t="s">
        <v>459</v>
      </c>
      <c r="C310" s="222">
        <v>21.1</v>
      </c>
      <c r="I310" s="2"/>
      <c r="J310" s="2"/>
    </row>
    <row r="311" spans="1:10">
      <c r="A311" s="130" t="s">
        <v>459</v>
      </c>
      <c r="B311" t="s">
        <v>459</v>
      </c>
      <c r="C311" s="222">
        <v>21.200000000000003</v>
      </c>
      <c r="I311" s="2"/>
      <c r="J311" s="2"/>
    </row>
    <row r="312" spans="1:10">
      <c r="A312" s="130" t="s">
        <v>459</v>
      </c>
      <c r="B312" t="s">
        <v>459</v>
      </c>
      <c r="C312" s="222">
        <v>21.3</v>
      </c>
      <c r="I312" s="2"/>
      <c r="J312" s="2"/>
    </row>
    <row r="313" spans="1:10">
      <c r="A313" s="130" t="s">
        <v>459</v>
      </c>
      <c r="B313" t="s">
        <v>459</v>
      </c>
      <c r="C313" s="222">
        <v>21.400000000000002</v>
      </c>
      <c r="I313" s="2"/>
      <c r="J313" s="2"/>
    </row>
    <row r="314" spans="1:10">
      <c r="A314" s="130" t="s">
        <v>459</v>
      </c>
      <c r="B314" t="s">
        <v>459</v>
      </c>
      <c r="C314" s="222">
        <v>21.5</v>
      </c>
      <c r="I314" s="2"/>
      <c r="J314" s="2"/>
    </row>
    <row r="315" spans="1:10">
      <c r="A315" s="130" t="s">
        <v>459</v>
      </c>
      <c r="B315" t="s">
        <v>459</v>
      </c>
      <c r="C315" s="222">
        <v>21.6</v>
      </c>
      <c r="I315" s="2"/>
      <c r="J315" s="2"/>
    </row>
    <row r="316" spans="1:10">
      <c r="A316" s="130" t="s">
        <v>459</v>
      </c>
      <c r="B316" t="s">
        <v>459</v>
      </c>
      <c r="C316" s="222">
        <v>21.700000000000003</v>
      </c>
      <c r="I316" s="2"/>
      <c r="J316" s="2"/>
    </row>
    <row r="317" spans="1:10">
      <c r="A317" s="130" t="s">
        <v>459</v>
      </c>
      <c r="B317" t="s">
        <v>459</v>
      </c>
      <c r="C317" s="222">
        <v>21.8</v>
      </c>
      <c r="I317" s="2"/>
      <c r="J317" s="2"/>
    </row>
    <row r="318" spans="1:10">
      <c r="A318" s="130" t="s">
        <v>459</v>
      </c>
      <c r="B318" t="s">
        <v>459</v>
      </c>
      <c r="C318" s="222">
        <v>21.900000000000002</v>
      </c>
      <c r="I318" s="2"/>
      <c r="J318" s="2"/>
    </row>
    <row r="319" spans="1:10">
      <c r="A319" s="130" t="s">
        <v>459</v>
      </c>
      <c r="B319" t="s">
        <v>459</v>
      </c>
      <c r="C319" s="222">
        <v>22</v>
      </c>
      <c r="I319" s="2"/>
      <c r="J319" s="2"/>
    </row>
    <row r="320" spans="1:10">
      <c r="A320" s="130" t="s">
        <v>459</v>
      </c>
      <c r="B320" t="s">
        <v>459</v>
      </c>
      <c r="C320" s="222">
        <v>22.1</v>
      </c>
      <c r="I320" s="2"/>
      <c r="J320" s="2"/>
    </row>
    <row r="321" spans="1:10">
      <c r="A321" s="130" t="s">
        <v>459</v>
      </c>
      <c r="B321" t="s">
        <v>459</v>
      </c>
      <c r="C321" s="222">
        <v>22.200000000000003</v>
      </c>
      <c r="I321" s="2"/>
      <c r="J321" s="2"/>
    </row>
    <row r="322" spans="1:10">
      <c r="A322" s="130" t="s">
        <v>459</v>
      </c>
      <c r="B322" t="s">
        <v>459</v>
      </c>
      <c r="C322" s="222">
        <v>22.3</v>
      </c>
      <c r="I322" s="2"/>
      <c r="J322" s="2"/>
    </row>
    <row r="323" spans="1:10">
      <c r="A323" s="130" t="s">
        <v>459</v>
      </c>
      <c r="B323" t="s">
        <v>459</v>
      </c>
      <c r="C323" s="222">
        <v>22.400000000000002</v>
      </c>
      <c r="I323" s="2"/>
      <c r="J323" s="2"/>
    </row>
    <row r="324" spans="1:10">
      <c r="A324" s="130" t="s">
        <v>459</v>
      </c>
      <c r="B324" t="s">
        <v>459</v>
      </c>
      <c r="C324" s="222">
        <v>22.5</v>
      </c>
      <c r="I324" s="2"/>
      <c r="J324" s="2"/>
    </row>
    <row r="325" spans="1:10">
      <c r="A325" s="130" t="s">
        <v>459</v>
      </c>
      <c r="B325" t="s">
        <v>459</v>
      </c>
      <c r="C325" s="222">
        <v>22.6</v>
      </c>
      <c r="I325" s="2"/>
      <c r="J325" s="2"/>
    </row>
    <row r="326" spans="1:10">
      <c r="A326" s="130" t="s">
        <v>459</v>
      </c>
      <c r="B326" t="s">
        <v>459</v>
      </c>
      <c r="C326" s="222">
        <v>22.700000000000003</v>
      </c>
      <c r="I326" s="2"/>
      <c r="J326" s="2"/>
    </row>
    <row r="327" spans="1:10">
      <c r="A327" s="130" t="s">
        <v>459</v>
      </c>
      <c r="B327" t="s">
        <v>459</v>
      </c>
      <c r="C327" s="222">
        <v>22.8</v>
      </c>
      <c r="I327" s="2"/>
      <c r="J327" s="2"/>
    </row>
    <row r="328" spans="1:10">
      <c r="A328" s="130" t="s">
        <v>459</v>
      </c>
      <c r="B328" t="s">
        <v>459</v>
      </c>
      <c r="C328" s="222">
        <v>22.900000000000002</v>
      </c>
      <c r="I328" s="2"/>
      <c r="J328" s="2"/>
    </row>
    <row r="329" spans="1:10">
      <c r="A329" s="130" t="s">
        <v>459</v>
      </c>
      <c r="B329" t="s">
        <v>459</v>
      </c>
      <c r="C329" s="222">
        <v>23</v>
      </c>
      <c r="I329" s="2"/>
      <c r="J329" s="2"/>
    </row>
    <row r="330" spans="1:10">
      <c r="A330" s="130" t="s">
        <v>459</v>
      </c>
      <c r="B330" t="s">
        <v>459</v>
      </c>
      <c r="C330" s="222">
        <v>23.1</v>
      </c>
      <c r="I330" s="2"/>
      <c r="J330" s="2"/>
    </row>
    <row r="331" spans="1:10">
      <c r="A331" s="130" t="s">
        <v>459</v>
      </c>
      <c r="B331" t="s">
        <v>459</v>
      </c>
      <c r="C331" s="222">
        <v>23.200000000000003</v>
      </c>
      <c r="I331" s="2"/>
      <c r="J331" s="2"/>
    </row>
    <row r="332" spans="1:10">
      <c r="A332" s="130" t="s">
        <v>459</v>
      </c>
      <c r="B332" t="s">
        <v>459</v>
      </c>
      <c r="C332" s="222">
        <v>23.3</v>
      </c>
      <c r="I332" s="2"/>
      <c r="J332" s="2"/>
    </row>
    <row r="333" spans="1:10">
      <c r="A333" s="130" t="s">
        <v>459</v>
      </c>
      <c r="B333" t="s">
        <v>459</v>
      </c>
      <c r="C333" s="222">
        <v>23.400000000000002</v>
      </c>
      <c r="I333" s="2"/>
      <c r="J333" s="2"/>
    </row>
    <row r="334" spans="1:10">
      <c r="A334" s="130" t="s">
        <v>459</v>
      </c>
      <c r="B334" t="s">
        <v>459</v>
      </c>
      <c r="C334" s="222">
        <v>23.5</v>
      </c>
      <c r="I334" s="2"/>
      <c r="J334" s="2"/>
    </row>
    <row r="335" spans="1:10">
      <c r="A335" s="130" t="s">
        <v>459</v>
      </c>
      <c r="B335" t="s">
        <v>459</v>
      </c>
      <c r="C335" s="222">
        <v>23.6</v>
      </c>
      <c r="I335" s="2"/>
      <c r="J335" s="2"/>
    </row>
    <row r="336" spans="1:10">
      <c r="A336" s="130" t="s">
        <v>459</v>
      </c>
      <c r="B336" t="s">
        <v>459</v>
      </c>
      <c r="C336" s="222">
        <v>23.700000000000003</v>
      </c>
      <c r="I336" s="2"/>
      <c r="J336" s="2"/>
    </row>
    <row r="337" spans="1:10">
      <c r="A337" s="130" t="s">
        <v>459</v>
      </c>
      <c r="B337" t="s">
        <v>459</v>
      </c>
      <c r="C337" s="222">
        <v>23.8</v>
      </c>
      <c r="I337" s="2"/>
      <c r="J337" s="2"/>
    </row>
    <row r="338" spans="1:10">
      <c r="A338" s="130" t="s">
        <v>459</v>
      </c>
      <c r="B338" t="s">
        <v>459</v>
      </c>
      <c r="C338" s="222">
        <v>23.900000000000002</v>
      </c>
      <c r="I338" s="2"/>
      <c r="J338" s="2"/>
    </row>
    <row r="339" spans="1:10">
      <c r="A339" s="130" t="s">
        <v>459</v>
      </c>
      <c r="B339" t="s">
        <v>459</v>
      </c>
      <c r="C339" s="222">
        <v>24</v>
      </c>
      <c r="I339" s="2"/>
      <c r="J339" s="2"/>
    </row>
    <row r="340" spans="1:10">
      <c r="A340" s="130" t="s">
        <v>459</v>
      </c>
      <c r="B340" t="s">
        <v>459</v>
      </c>
      <c r="C340" s="222">
        <v>24.1</v>
      </c>
      <c r="I340" s="2"/>
      <c r="J340" s="2"/>
    </row>
    <row r="341" spans="1:10">
      <c r="A341" s="130" t="s">
        <v>459</v>
      </c>
      <c r="B341" t="s">
        <v>459</v>
      </c>
      <c r="C341" s="222">
        <v>24.200000000000003</v>
      </c>
      <c r="I341" s="2"/>
      <c r="J341" s="2"/>
    </row>
    <row r="342" spans="1:10">
      <c r="A342" s="130" t="s">
        <v>459</v>
      </c>
      <c r="B342" t="s">
        <v>459</v>
      </c>
      <c r="C342" s="222">
        <v>24.300000000000004</v>
      </c>
      <c r="I342" s="2"/>
      <c r="J342" s="2"/>
    </row>
    <row r="343" spans="1:10">
      <c r="A343" s="130" t="s">
        <v>459</v>
      </c>
      <c r="B343" t="s">
        <v>459</v>
      </c>
      <c r="C343" s="222">
        <v>24.4</v>
      </c>
      <c r="I343" s="2"/>
      <c r="J343" s="2"/>
    </row>
    <row r="344" spans="1:10">
      <c r="A344" s="130" t="s">
        <v>459</v>
      </c>
      <c r="B344" t="s">
        <v>459</v>
      </c>
      <c r="C344" s="222">
        <v>24.5</v>
      </c>
      <c r="I344" s="2"/>
      <c r="J344" s="2"/>
    </row>
    <row r="345" spans="1:10">
      <c r="A345" s="130" t="s">
        <v>459</v>
      </c>
      <c r="B345" t="s">
        <v>459</v>
      </c>
      <c r="C345" s="222">
        <v>24.6</v>
      </c>
      <c r="I345" s="2"/>
      <c r="J345" s="2"/>
    </row>
    <row r="346" spans="1:10">
      <c r="A346" s="130" t="s">
        <v>459</v>
      </c>
      <c r="B346" t="s">
        <v>459</v>
      </c>
      <c r="C346" s="222">
        <v>24.700000000000003</v>
      </c>
      <c r="I346" s="2"/>
      <c r="J346" s="2"/>
    </row>
    <row r="347" spans="1:10">
      <c r="A347" s="130" t="s">
        <v>459</v>
      </c>
      <c r="B347" t="s">
        <v>459</v>
      </c>
      <c r="C347" s="222">
        <v>24.800000000000004</v>
      </c>
      <c r="I347" s="2"/>
      <c r="J347" s="2"/>
    </row>
    <row r="348" spans="1:10">
      <c r="A348" s="130" t="s">
        <v>459</v>
      </c>
      <c r="B348" t="s">
        <v>459</v>
      </c>
      <c r="C348" s="222">
        <v>24.9</v>
      </c>
      <c r="I348" s="2"/>
      <c r="J348" s="2"/>
    </row>
    <row r="349" spans="1:10">
      <c r="A349" s="130" t="s">
        <v>459</v>
      </c>
      <c r="B349" t="s">
        <v>459</v>
      </c>
      <c r="C349" s="222">
        <v>25</v>
      </c>
      <c r="I349" s="2"/>
      <c r="J349" s="2"/>
    </row>
    <row r="350" spans="1:10">
      <c r="A350" s="130" t="s">
        <v>459</v>
      </c>
      <c r="B350" t="s">
        <v>459</v>
      </c>
      <c r="C350" s="222">
        <v>25.1</v>
      </c>
      <c r="I350" s="2"/>
      <c r="J350" s="2"/>
    </row>
    <row r="351" spans="1:10">
      <c r="A351" s="130" t="s">
        <v>459</v>
      </c>
      <c r="B351" t="s">
        <v>459</v>
      </c>
      <c r="C351" s="222">
        <v>25.200000000000003</v>
      </c>
      <c r="I351" s="2"/>
      <c r="J351" s="2"/>
    </row>
    <row r="352" spans="1:10">
      <c r="A352" s="130" t="s">
        <v>459</v>
      </c>
      <c r="B352" t="s">
        <v>459</v>
      </c>
      <c r="C352" s="222">
        <v>25.300000000000004</v>
      </c>
      <c r="I352" s="2"/>
      <c r="J352" s="2"/>
    </row>
    <row r="353" spans="1:10">
      <c r="A353" s="130" t="s">
        <v>459</v>
      </c>
      <c r="B353" t="s">
        <v>459</v>
      </c>
      <c r="C353" s="222">
        <v>25.4</v>
      </c>
      <c r="I353" s="2"/>
      <c r="J353" s="2"/>
    </row>
    <row r="354" spans="1:10">
      <c r="A354" s="130" t="s">
        <v>459</v>
      </c>
      <c r="B354" t="s">
        <v>459</v>
      </c>
      <c r="C354" s="222">
        <v>25.5</v>
      </c>
      <c r="I354" s="2"/>
      <c r="J354" s="2"/>
    </row>
    <row r="355" spans="1:10">
      <c r="A355" s="130" t="s">
        <v>459</v>
      </c>
      <c r="B355" t="s">
        <v>459</v>
      </c>
      <c r="C355" s="222">
        <v>25.6</v>
      </c>
      <c r="I355" s="2"/>
      <c r="J355" s="2"/>
    </row>
    <row r="356" spans="1:10">
      <c r="A356" s="130" t="s">
        <v>459</v>
      </c>
      <c r="B356" t="s">
        <v>459</v>
      </c>
      <c r="C356" s="222">
        <v>25.700000000000003</v>
      </c>
      <c r="I356" s="2"/>
      <c r="J356" s="2"/>
    </row>
    <row r="357" spans="1:10">
      <c r="A357" s="130" t="s">
        <v>459</v>
      </c>
      <c r="B357" t="s">
        <v>459</v>
      </c>
      <c r="C357" s="222">
        <v>25.800000000000004</v>
      </c>
      <c r="I357" s="2"/>
      <c r="J357" s="2"/>
    </row>
    <row r="358" spans="1:10">
      <c r="A358" s="130" t="s">
        <v>459</v>
      </c>
      <c r="B358" t="s">
        <v>459</v>
      </c>
      <c r="C358" s="222">
        <v>25.9</v>
      </c>
      <c r="I358" s="2"/>
      <c r="J358" s="2"/>
    </row>
    <row r="359" spans="1:10">
      <c r="A359" s="130" t="s">
        <v>459</v>
      </c>
      <c r="B359" t="s">
        <v>459</v>
      </c>
      <c r="C359" s="222">
        <v>26</v>
      </c>
      <c r="I359" s="2"/>
      <c r="J359" s="2"/>
    </row>
    <row r="360" spans="1:10">
      <c r="A360" s="130" t="s">
        <v>459</v>
      </c>
      <c r="B360" t="s">
        <v>459</v>
      </c>
      <c r="C360" s="222">
        <v>26.1</v>
      </c>
      <c r="I360" s="2"/>
      <c r="J360" s="2"/>
    </row>
    <row r="361" spans="1:10">
      <c r="A361" s="130" t="s">
        <v>459</v>
      </c>
      <c r="B361" t="s">
        <v>459</v>
      </c>
      <c r="C361" s="222">
        <v>26.200000000000003</v>
      </c>
      <c r="I361" s="2"/>
      <c r="J361" s="2"/>
    </row>
    <row r="362" spans="1:10">
      <c r="A362" s="130" t="s">
        <v>459</v>
      </c>
      <c r="B362" t="s">
        <v>459</v>
      </c>
      <c r="C362" s="222">
        <v>26.300000000000004</v>
      </c>
      <c r="I362" s="2"/>
      <c r="J362" s="2"/>
    </row>
    <row r="363" spans="1:10">
      <c r="A363" s="130" t="s">
        <v>459</v>
      </c>
      <c r="B363" t="s">
        <v>459</v>
      </c>
      <c r="C363" s="222">
        <v>26.4</v>
      </c>
      <c r="I363" s="2"/>
      <c r="J363" s="2"/>
    </row>
    <row r="364" spans="1:10">
      <c r="A364" s="130" t="s">
        <v>459</v>
      </c>
      <c r="B364" t="s">
        <v>459</v>
      </c>
      <c r="C364" s="222">
        <v>26.5</v>
      </c>
      <c r="I364" s="2"/>
      <c r="J364" s="2"/>
    </row>
    <row r="365" spans="1:10">
      <c r="A365" s="130" t="s">
        <v>459</v>
      </c>
      <c r="B365" t="s">
        <v>459</v>
      </c>
      <c r="C365" s="222">
        <v>26.6</v>
      </c>
      <c r="I365" s="2"/>
      <c r="J365" s="2"/>
    </row>
    <row r="366" spans="1:10">
      <c r="A366" s="130" t="s">
        <v>459</v>
      </c>
      <c r="B366" t="s">
        <v>459</v>
      </c>
      <c r="C366" s="222">
        <v>26.700000000000003</v>
      </c>
      <c r="I366" s="2"/>
      <c r="J366" s="2"/>
    </row>
    <row r="367" spans="1:10">
      <c r="A367" s="130" t="s">
        <v>459</v>
      </c>
      <c r="B367" t="s">
        <v>459</v>
      </c>
      <c r="C367" s="222">
        <v>26.800000000000004</v>
      </c>
      <c r="I367" s="2"/>
      <c r="J367" s="2"/>
    </row>
    <row r="368" spans="1:10">
      <c r="A368" s="130" t="s">
        <v>459</v>
      </c>
      <c r="B368" t="s">
        <v>459</v>
      </c>
      <c r="C368" s="222">
        <v>26.9</v>
      </c>
      <c r="I368" s="2"/>
      <c r="J368" s="2"/>
    </row>
    <row r="369" spans="1:10">
      <c r="A369" s="130" t="s">
        <v>459</v>
      </c>
      <c r="B369" t="s">
        <v>459</v>
      </c>
      <c r="C369" s="222">
        <v>27</v>
      </c>
      <c r="I369" s="2"/>
      <c r="J369" s="2"/>
    </row>
    <row r="370" spans="1:10">
      <c r="A370" s="130" t="s">
        <v>459</v>
      </c>
      <c r="B370" t="s">
        <v>459</v>
      </c>
      <c r="C370" s="222">
        <v>27.1</v>
      </c>
      <c r="I370" s="2"/>
      <c r="J370" s="2"/>
    </row>
    <row r="371" spans="1:10">
      <c r="A371" s="130" t="s">
        <v>459</v>
      </c>
      <c r="B371" t="s">
        <v>459</v>
      </c>
      <c r="C371" s="222">
        <v>27.200000000000003</v>
      </c>
      <c r="I371" s="2"/>
      <c r="J371" s="2"/>
    </row>
    <row r="372" spans="1:10">
      <c r="A372" s="130" t="s">
        <v>459</v>
      </c>
      <c r="B372" t="s">
        <v>459</v>
      </c>
      <c r="C372" s="222">
        <v>27.300000000000004</v>
      </c>
      <c r="I372" s="2"/>
      <c r="J372" s="2"/>
    </row>
    <row r="373" spans="1:10">
      <c r="A373" s="130" t="s">
        <v>459</v>
      </c>
      <c r="B373" t="s">
        <v>459</v>
      </c>
      <c r="C373" s="222">
        <v>27.4</v>
      </c>
      <c r="I373" s="2"/>
      <c r="J373" s="2"/>
    </row>
    <row r="374" spans="1:10">
      <c r="A374" s="130" t="s">
        <v>459</v>
      </c>
      <c r="B374" t="s">
        <v>459</v>
      </c>
      <c r="C374" s="222">
        <v>27.5</v>
      </c>
      <c r="I374" s="2"/>
      <c r="J374" s="2"/>
    </row>
    <row r="375" spans="1:10">
      <c r="A375" s="130" t="s">
        <v>459</v>
      </c>
      <c r="B375" t="s">
        <v>459</v>
      </c>
      <c r="C375" s="222">
        <v>27.6</v>
      </c>
      <c r="I375" s="2"/>
      <c r="J375" s="2"/>
    </row>
    <row r="376" spans="1:10">
      <c r="A376" s="130" t="s">
        <v>459</v>
      </c>
      <c r="B376" t="s">
        <v>459</v>
      </c>
      <c r="C376" s="222">
        <v>27.700000000000003</v>
      </c>
      <c r="I376" s="2"/>
      <c r="J376" s="2"/>
    </row>
    <row r="377" spans="1:10">
      <c r="A377" s="130" t="s">
        <v>459</v>
      </c>
      <c r="B377" t="s">
        <v>459</v>
      </c>
      <c r="C377" s="222">
        <v>27.800000000000004</v>
      </c>
      <c r="I377" s="2"/>
      <c r="J377" s="2"/>
    </row>
    <row r="378" spans="1:10">
      <c r="A378" s="130" t="s">
        <v>459</v>
      </c>
      <c r="B378" t="s">
        <v>459</v>
      </c>
      <c r="C378" s="222">
        <v>27.9</v>
      </c>
      <c r="I378" s="2"/>
      <c r="J378" s="2"/>
    </row>
    <row r="379" spans="1:10">
      <c r="A379" s="130" t="s">
        <v>459</v>
      </c>
      <c r="B379" t="s">
        <v>459</v>
      </c>
      <c r="C379" s="222">
        <v>28</v>
      </c>
      <c r="I379" s="2"/>
      <c r="J379" s="2"/>
    </row>
    <row r="380" spans="1:10">
      <c r="A380" s="130" t="s">
        <v>459</v>
      </c>
      <c r="B380" t="s">
        <v>459</v>
      </c>
      <c r="C380" s="222">
        <v>28.1</v>
      </c>
      <c r="I380" s="2"/>
      <c r="J380" s="2"/>
    </row>
    <row r="381" spans="1:10">
      <c r="A381" s="130" t="s">
        <v>459</v>
      </c>
      <c r="B381" t="s">
        <v>459</v>
      </c>
      <c r="C381" s="222">
        <v>28.200000000000003</v>
      </c>
      <c r="I381" s="2"/>
      <c r="J381" s="2"/>
    </row>
    <row r="382" spans="1:10">
      <c r="A382" s="130" t="s">
        <v>459</v>
      </c>
      <c r="B382" t="s">
        <v>459</v>
      </c>
      <c r="C382" s="222">
        <v>28.300000000000004</v>
      </c>
      <c r="I382" s="2"/>
      <c r="J382" s="2"/>
    </row>
    <row r="383" spans="1:10">
      <c r="A383" s="130" t="s">
        <v>459</v>
      </c>
      <c r="B383" t="s">
        <v>459</v>
      </c>
      <c r="C383" s="222">
        <v>28.4</v>
      </c>
      <c r="I383" s="2"/>
      <c r="J383" s="2"/>
    </row>
    <row r="384" spans="1:10">
      <c r="A384" s="130" t="s">
        <v>459</v>
      </c>
      <c r="B384" t="s">
        <v>459</v>
      </c>
      <c r="C384" s="222">
        <v>28.5</v>
      </c>
      <c r="I384" s="2"/>
      <c r="J384" s="2"/>
    </row>
    <row r="385" spans="1:10">
      <c r="A385" s="130" t="s">
        <v>459</v>
      </c>
      <c r="B385" t="s">
        <v>459</v>
      </c>
      <c r="C385" s="222">
        <v>28.6</v>
      </c>
      <c r="I385" s="2"/>
      <c r="J385" s="2"/>
    </row>
    <row r="386" spans="1:10">
      <c r="A386" s="130" t="s">
        <v>459</v>
      </c>
      <c r="B386" t="s">
        <v>459</v>
      </c>
      <c r="C386" s="222">
        <v>28.700000000000003</v>
      </c>
      <c r="I386" s="2"/>
      <c r="J386" s="2"/>
    </row>
    <row r="387" spans="1:10">
      <c r="A387" s="130" t="s">
        <v>459</v>
      </c>
      <c r="B387" t="s">
        <v>459</v>
      </c>
      <c r="C387" s="222">
        <v>28.800000000000004</v>
      </c>
      <c r="I387" s="2"/>
      <c r="J387" s="2"/>
    </row>
    <row r="388" spans="1:10">
      <c r="A388" s="130" t="s">
        <v>459</v>
      </c>
      <c r="B388" t="s">
        <v>459</v>
      </c>
      <c r="C388" s="222">
        <v>28.9</v>
      </c>
      <c r="I388" s="2"/>
      <c r="J388" s="2"/>
    </row>
    <row r="389" spans="1:10">
      <c r="A389" s="130" t="s">
        <v>459</v>
      </c>
      <c r="B389" t="s">
        <v>459</v>
      </c>
      <c r="C389" s="222">
        <v>29</v>
      </c>
      <c r="I389" s="2"/>
      <c r="J389" s="2"/>
    </row>
    <row r="390" spans="1:10">
      <c r="A390" s="130" t="s">
        <v>459</v>
      </c>
      <c r="B390" t="s">
        <v>459</v>
      </c>
      <c r="C390" s="222">
        <v>29.1</v>
      </c>
      <c r="I390" s="2"/>
      <c r="J390" s="2"/>
    </row>
    <row r="391" spans="1:10">
      <c r="A391" s="130" t="s">
        <v>459</v>
      </c>
      <c r="B391" t="s">
        <v>459</v>
      </c>
      <c r="C391" s="222">
        <v>29.200000000000003</v>
      </c>
      <c r="I391" s="2"/>
      <c r="J391" s="2"/>
    </row>
    <row r="392" spans="1:10">
      <c r="A392" s="130" t="s">
        <v>459</v>
      </c>
      <c r="B392" t="s">
        <v>459</v>
      </c>
      <c r="C392" s="222">
        <v>29.300000000000004</v>
      </c>
      <c r="I392" s="2"/>
      <c r="J392" s="2"/>
    </row>
    <row r="393" spans="1:10">
      <c r="A393" s="130" t="s">
        <v>459</v>
      </c>
      <c r="B393" t="s">
        <v>459</v>
      </c>
      <c r="C393" s="222">
        <v>29.4</v>
      </c>
      <c r="I393" s="2"/>
      <c r="J393" s="2"/>
    </row>
    <row r="394" spans="1:10">
      <c r="A394" s="130" t="s">
        <v>459</v>
      </c>
      <c r="B394" t="s">
        <v>459</v>
      </c>
      <c r="C394" s="222">
        <v>29.5</v>
      </c>
      <c r="I394" s="2"/>
      <c r="J394" s="2"/>
    </row>
    <row r="395" spans="1:10">
      <c r="A395" s="130" t="s">
        <v>459</v>
      </c>
      <c r="B395" t="s">
        <v>459</v>
      </c>
      <c r="C395" s="222">
        <v>29.6</v>
      </c>
      <c r="I395" s="2"/>
      <c r="J395" s="2"/>
    </row>
    <row r="396" spans="1:10">
      <c r="A396" s="130" t="s">
        <v>459</v>
      </c>
      <c r="B396" t="s">
        <v>459</v>
      </c>
      <c r="C396" s="222">
        <v>29.700000000000003</v>
      </c>
      <c r="I396" s="2"/>
      <c r="J396" s="2"/>
    </row>
    <row r="397" spans="1:10">
      <c r="A397" s="130" t="s">
        <v>459</v>
      </c>
      <c r="B397" t="s">
        <v>459</v>
      </c>
      <c r="C397" s="222">
        <v>29.800000000000004</v>
      </c>
      <c r="I397" s="2"/>
      <c r="J397" s="2"/>
    </row>
    <row r="398" spans="1:10">
      <c r="A398" s="130" t="s">
        <v>459</v>
      </c>
      <c r="B398" t="s">
        <v>459</v>
      </c>
      <c r="C398" s="222">
        <v>29.9</v>
      </c>
      <c r="I398" s="2"/>
      <c r="J398" s="2"/>
    </row>
    <row r="399" spans="1:10">
      <c r="A399" s="130" t="s">
        <v>459</v>
      </c>
      <c r="B399" t="s">
        <v>459</v>
      </c>
      <c r="C399" s="222">
        <v>30</v>
      </c>
      <c r="I399" s="2"/>
      <c r="J399" s="2"/>
    </row>
    <row r="400" spans="1:10">
      <c r="A400" s="130" t="s">
        <v>459</v>
      </c>
      <c r="B400" t="s">
        <v>459</v>
      </c>
      <c r="C400" s="222">
        <v>30.1</v>
      </c>
      <c r="I400" s="2"/>
      <c r="J400" s="2"/>
    </row>
    <row r="401" spans="1:10">
      <c r="A401" s="130" t="s">
        <v>459</v>
      </c>
      <c r="B401" t="s">
        <v>459</v>
      </c>
      <c r="C401" s="222">
        <v>30.200000000000003</v>
      </c>
      <c r="I401" s="2"/>
      <c r="J401" s="2"/>
    </row>
    <row r="402" spans="1:10">
      <c r="A402" s="130" t="s">
        <v>459</v>
      </c>
      <c r="B402" t="s">
        <v>459</v>
      </c>
      <c r="C402" s="222">
        <v>30.300000000000004</v>
      </c>
      <c r="I402" s="2"/>
      <c r="J402" s="2"/>
    </row>
    <row r="403" spans="1:10">
      <c r="A403" s="130" t="s">
        <v>459</v>
      </c>
      <c r="B403" t="s">
        <v>459</v>
      </c>
      <c r="C403" s="222">
        <v>30.400000000000006</v>
      </c>
      <c r="I403" s="2"/>
      <c r="J403" s="2"/>
    </row>
    <row r="404" spans="1:10">
      <c r="A404" s="130" t="s">
        <v>459</v>
      </c>
      <c r="B404" t="s">
        <v>459</v>
      </c>
      <c r="C404" s="222">
        <v>30.5</v>
      </c>
      <c r="I404" s="2"/>
      <c r="J404" s="2"/>
    </row>
    <row r="405" spans="1:10">
      <c r="A405" s="130" t="s">
        <v>459</v>
      </c>
      <c r="B405" t="s">
        <v>459</v>
      </c>
      <c r="C405" s="222">
        <v>30.6</v>
      </c>
      <c r="I405" s="2"/>
      <c r="J405" s="2"/>
    </row>
    <row r="406" spans="1:10">
      <c r="A406" s="130" t="s">
        <v>459</v>
      </c>
      <c r="B406" t="s">
        <v>459</v>
      </c>
      <c r="C406" s="222">
        <v>30.700000000000003</v>
      </c>
      <c r="I406" s="2"/>
      <c r="J406" s="2"/>
    </row>
    <row r="407" spans="1:10">
      <c r="A407" s="130" t="s">
        <v>459</v>
      </c>
      <c r="B407" t="s">
        <v>459</v>
      </c>
      <c r="C407" s="222">
        <v>30.800000000000004</v>
      </c>
      <c r="I407" s="2"/>
      <c r="J407" s="2"/>
    </row>
    <row r="408" spans="1:10">
      <c r="A408" s="130" t="s">
        <v>459</v>
      </c>
      <c r="B408" t="s">
        <v>459</v>
      </c>
      <c r="C408" s="222">
        <v>30.900000000000006</v>
      </c>
      <c r="I408" s="2"/>
      <c r="J408" s="2"/>
    </row>
    <row r="409" spans="1:10">
      <c r="A409" s="130" t="s">
        <v>459</v>
      </c>
      <c r="B409" t="s">
        <v>459</v>
      </c>
      <c r="C409" s="222">
        <v>31</v>
      </c>
      <c r="I409" s="2"/>
      <c r="J409" s="2"/>
    </row>
    <row r="410" spans="1:10">
      <c r="A410" s="130" t="s">
        <v>459</v>
      </c>
      <c r="B410" t="s">
        <v>459</v>
      </c>
      <c r="C410" s="222">
        <v>31.1</v>
      </c>
      <c r="I410" s="2"/>
      <c r="J410" s="2"/>
    </row>
    <row r="411" spans="1:10">
      <c r="A411" s="130" t="s">
        <v>459</v>
      </c>
      <c r="B411" t="s">
        <v>459</v>
      </c>
      <c r="C411" s="222">
        <v>31.200000000000003</v>
      </c>
      <c r="I411" s="2"/>
      <c r="J411" s="2"/>
    </row>
    <row r="412" spans="1:10">
      <c r="A412" s="130" t="s">
        <v>459</v>
      </c>
      <c r="B412" t="s">
        <v>459</v>
      </c>
      <c r="C412" s="222">
        <v>31.300000000000004</v>
      </c>
      <c r="I412" s="2"/>
      <c r="J412" s="2"/>
    </row>
    <row r="413" spans="1:10">
      <c r="A413" s="130" t="s">
        <v>459</v>
      </c>
      <c r="B413" t="s">
        <v>459</v>
      </c>
      <c r="C413" s="222">
        <v>31.400000000000006</v>
      </c>
      <c r="I413" s="2"/>
      <c r="J413" s="2"/>
    </row>
    <row r="414" spans="1:10">
      <c r="A414" s="130" t="s">
        <v>459</v>
      </c>
      <c r="B414" t="s">
        <v>459</v>
      </c>
      <c r="C414" s="222">
        <v>31.5</v>
      </c>
      <c r="I414" s="2"/>
      <c r="J414" s="2"/>
    </row>
    <row r="415" spans="1:10">
      <c r="A415" s="130" t="s">
        <v>459</v>
      </c>
      <c r="B415" t="s">
        <v>459</v>
      </c>
      <c r="C415" s="222">
        <v>31.6</v>
      </c>
      <c r="I415" s="2"/>
      <c r="J415" s="2"/>
    </row>
    <row r="416" spans="1:10">
      <c r="A416" s="130" t="s">
        <v>459</v>
      </c>
      <c r="B416" t="s">
        <v>459</v>
      </c>
      <c r="C416" s="222">
        <v>31.700000000000003</v>
      </c>
      <c r="I416" s="2"/>
      <c r="J416" s="2"/>
    </row>
    <row r="417" spans="1:10">
      <c r="A417" s="130" t="s">
        <v>459</v>
      </c>
      <c r="B417" t="s">
        <v>459</v>
      </c>
      <c r="C417" s="222">
        <v>31.800000000000004</v>
      </c>
      <c r="I417" s="2"/>
      <c r="J417" s="2"/>
    </row>
    <row r="418" spans="1:10">
      <c r="A418" s="130" t="s">
        <v>459</v>
      </c>
      <c r="B418" t="s">
        <v>459</v>
      </c>
      <c r="C418" s="222">
        <v>31.900000000000006</v>
      </c>
      <c r="I418" s="2"/>
      <c r="J418" s="2"/>
    </row>
    <row r="419" spans="1:10">
      <c r="A419" s="130" t="s">
        <v>459</v>
      </c>
      <c r="B419" t="s">
        <v>459</v>
      </c>
      <c r="C419" s="222">
        <v>32</v>
      </c>
      <c r="I419" s="2"/>
      <c r="J419" s="2"/>
    </row>
    <row r="420" spans="1:10">
      <c r="A420" s="130" t="s">
        <v>459</v>
      </c>
      <c r="B420" t="s">
        <v>459</v>
      </c>
      <c r="C420" s="222">
        <v>32.1</v>
      </c>
      <c r="I420" s="2"/>
      <c r="J420" s="2"/>
    </row>
    <row r="421" spans="1:10">
      <c r="A421" s="130" t="s">
        <v>459</v>
      </c>
      <c r="B421" t="s">
        <v>459</v>
      </c>
      <c r="C421" s="222">
        <v>32.200000000000003</v>
      </c>
      <c r="I421" s="2"/>
      <c r="J421" s="2"/>
    </row>
    <row r="422" spans="1:10">
      <c r="A422" s="130" t="s">
        <v>459</v>
      </c>
      <c r="B422" t="s">
        <v>459</v>
      </c>
      <c r="C422" s="222">
        <v>32.300000000000004</v>
      </c>
      <c r="I422" s="2"/>
      <c r="J422" s="2"/>
    </row>
    <row r="423" spans="1:10">
      <c r="A423" s="130" t="s">
        <v>459</v>
      </c>
      <c r="B423" t="s">
        <v>459</v>
      </c>
      <c r="C423" s="222">
        <v>32.400000000000006</v>
      </c>
      <c r="I423" s="2"/>
      <c r="J423" s="2"/>
    </row>
    <row r="424" spans="1:10">
      <c r="A424" s="130" t="s">
        <v>459</v>
      </c>
      <c r="B424" t="s">
        <v>459</v>
      </c>
      <c r="C424" s="222">
        <v>32.5</v>
      </c>
      <c r="I424" s="2"/>
      <c r="J424" s="2"/>
    </row>
    <row r="425" spans="1:10">
      <c r="A425" s="130" t="s">
        <v>459</v>
      </c>
      <c r="B425" t="s">
        <v>459</v>
      </c>
      <c r="C425" s="222">
        <v>32.6</v>
      </c>
      <c r="I425" s="2"/>
      <c r="J425" s="2"/>
    </row>
    <row r="426" spans="1:10">
      <c r="A426" s="130" t="s">
        <v>459</v>
      </c>
      <c r="B426" t="s">
        <v>459</v>
      </c>
      <c r="C426" s="222">
        <v>32.700000000000003</v>
      </c>
      <c r="I426" s="2"/>
      <c r="J426" s="2"/>
    </row>
    <row r="427" spans="1:10">
      <c r="A427" s="130" t="s">
        <v>459</v>
      </c>
      <c r="B427" t="s">
        <v>459</v>
      </c>
      <c r="C427" s="222">
        <v>32.800000000000004</v>
      </c>
      <c r="I427" s="2"/>
      <c r="J427" s="2"/>
    </row>
    <row r="428" spans="1:10">
      <c r="A428" s="130" t="s">
        <v>459</v>
      </c>
      <c r="B428" t="s">
        <v>459</v>
      </c>
      <c r="C428" s="222">
        <v>32.900000000000006</v>
      </c>
      <c r="I428" s="2"/>
      <c r="J428" s="2"/>
    </row>
    <row r="429" spans="1:10">
      <c r="A429" s="130" t="s">
        <v>459</v>
      </c>
      <c r="B429" t="s">
        <v>459</v>
      </c>
      <c r="C429" s="222">
        <v>33</v>
      </c>
      <c r="I429" s="2"/>
      <c r="J429" s="2"/>
    </row>
    <row r="430" spans="1:10">
      <c r="A430" s="130" t="s">
        <v>459</v>
      </c>
      <c r="B430" t="s">
        <v>459</v>
      </c>
      <c r="C430" s="222">
        <v>33.1</v>
      </c>
      <c r="I430" s="2"/>
      <c r="J430" s="2"/>
    </row>
    <row r="431" spans="1:10">
      <c r="A431" s="130" t="s">
        <v>459</v>
      </c>
      <c r="B431" t="s">
        <v>459</v>
      </c>
      <c r="C431" s="222">
        <v>33.200000000000003</v>
      </c>
      <c r="I431" s="2"/>
      <c r="J431" s="2"/>
    </row>
    <row r="432" spans="1:10">
      <c r="A432" s="130" t="s">
        <v>459</v>
      </c>
      <c r="B432" t="s">
        <v>459</v>
      </c>
      <c r="C432" s="222">
        <v>33.300000000000004</v>
      </c>
      <c r="I432" s="2"/>
      <c r="J432" s="2"/>
    </row>
    <row r="433" spans="1:10">
      <c r="A433" s="130" t="s">
        <v>459</v>
      </c>
      <c r="B433" t="s">
        <v>459</v>
      </c>
      <c r="C433" s="222">
        <v>33.400000000000006</v>
      </c>
      <c r="I433" s="2"/>
      <c r="J433" s="2"/>
    </row>
    <row r="434" spans="1:10">
      <c r="A434" s="130" t="s">
        <v>459</v>
      </c>
      <c r="B434" t="s">
        <v>459</v>
      </c>
      <c r="C434" s="222">
        <v>33.5</v>
      </c>
      <c r="I434" s="2"/>
      <c r="J434" s="2"/>
    </row>
    <row r="435" spans="1:10">
      <c r="A435" s="130" t="s">
        <v>459</v>
      </c>
      <c r="B435" t="s">
        <v>459</v>
      </c>
      <c r="C435" s="222">
        <v>33.6</v>
      </c>
      <c r="I435" s="2"/>
      <c r="J435" s="2"/>
    </row>
    <row r="436" spans="1:10">
      <c r="A436" s="130" t="s">
        <v>459</v>
      </c>
      <c r="B436" t="s">
        <v>459</v>
      </c>
      <c r="C436" s="222">
        <v>33.700000000000003</v>
      </c>
      <c r="I436" s="2"/>
      <c r="J436" s="2"/>
    </row>
    <row r="437" spans="1:10">
      <c r="A437" s="130" t="s">
        <v>459</v>
      </c>
      <c r="B437" t="s">
        <v>459</v>
      </c>
      <c r="C437" s="222">
        <v>33.800000000000004</v>
      </c>
      <c r="I437" s="2"/>
      <c r="J437" s="2"/>
    </row>
    <row r="438" spans="1:10">
      <c r="A438" s="130" t="s">
        <v>459</v>
      </c>
      <c r="B438" t="s">
        <v>459</v>
      </c>
      <c r="C438" s="222">
        <v>33.900000000000006</v>
      </c>
      <c r="I438" s="2"/>
      <c r="J438" s="2"/>
    </row>
    <row r="439" spans="1:10">
      <c r="A439" s="130" t="s">
        <v>459</v>
      </c>
      <c r="B439" t="s">
        <v>459</v>
      </c>
      <c r="C439" s="222">
        <v>34</v>
      </c>
      <c r="I439" s="2"/>
      <c r="J439" s="2"/>
    </row>
    <row r="440" spans="1:10">
      <c r="A440" s="130" t="s">
        <v>459</v>
      </c>
      <c r="B440" t="s">
        <v>459</v>
      </c>
      <c r="C440" s="222">
        <v>34.1</v>
      </c>
      <c r="I440" s="2"/>
      <c r="J440" s="2"/>
    </row>
    <row r="441" spans="1:10">
      <c r="A441" s="130" t="s">
        <v>459</v>
      </c>
      <c r="B441" t="s">
        <v>459</v>
      </c>
      <c r="C441" s="222">
        <v>34.200000000000003</v>
      </c>
      <c r="I441" s="2"/>
      <c r="J441" s="2"/>
    </row>
    <row r="442" spans="1:10">
      <c r="A442" s="130" t="s">
        <v>459</v>
      </c>
      <c r="B442" t="s">
        <v>459</v>
      </c>
      <c r="C442" s="222">
        <v>34.300000000000004</v>
      </c>
      <c r="I442" s="2"/>
      <c r="J442" s="2"/>
    </row>
    <row r="443" spans="1:10">
      <c r="A443" s="130" t="s">
        <v>459</v>
      </c>
      <c r="B443" t="s">
        <v>459</v>
      </c>
      <c r="C443" s="222">
        <v>34.400000000000006</v>
      </c>
      <c r="I443" s="2"/>
      <c r="J443" s="2"/>
    </row>
    <row r="444" spans="1:10">
      <c r="A444" s="130" t="s">
        <v>459</v>
      </c>
      <c r="B444" t="s">
        <v>459</v>
      </c>
      <c r="C444" s="222">
        <v>34.5</v>
      </c>
      <c r="I444" s="2"/>
      <c r="J444" s="2"/>
    </row>
    <row r="445" spans="1:10">
      <c r="A445" s="130" t="s">
        <v>459</v>
      </c>
      <c r="B445" t="s">
        <v>459</v>
      </c>
      <c r="C445" s="222">
        <v>34.6</v>
      </c>
      <c r="I445" s="2"/>
      <c r="J445" s="2"/>
    </row>
    <row r="446" spans="1:10">
      <c r="A446" s="130" t="s">
        <v>459</v>
      </c>
      <c r="B446" t="s">
        <v>459</v>
      </c>
      <c r="C446" s="222">
        <v>34.700000000000003</v>
      </c>
      <c r="I446" s="2"/>
      <c r="J446" s="2"/>
    </row>
    <row r="447" spans="1:10">
      <c r="A447" s="130" t="s">
        <v>459</v>
      </c>
      <c r="B447" t="s">
        <v>459</v>
      </c>
      <c r="C447" s="222">
        <v>34.800000000000004</v>
      </c>
      <c r="I447" s="2"/>
      <c r="J447" s="2"/>
    </row>
    <row r="448" spans="1:10">
      <c r="A448" s="130" t="s">
        <v>459</v>
      </c>
      <c r="B448" t="s">
        <v>459</v>
      </c>
      <c r="C448" s="222">
        <v>34.900000000000006</v>
      </c>
      <c r="I448" s="2"/>
      <c r="J448" s="2"/>
    </row>
    <row r="449" spans="1:10">
      <c r="A449" s="130" t="s">
        <v>459</v>
      </c>
      <c r="B449" t="s">
        <v>459</v>
      </c>
      <c r="C449" s="222">
        <v>35</v>
      </c>
      <c r="I449" s="2"/>
      <c r="J449" s="2"/>
    </row>
    <row r="450" spans="1:10">
      <c r="A450" s="130" t="s">
        <v>459</v>
      </c>
      <c r="B450" t="s">
        <v>459</v>
      </c>
      <c r="C450" s="222">
        <v>35.1</v>
      </c>
      <c r="I450" s="2"/>
      <c r="J450" s="2"/>
    </row>
    <row r="451" spans="1:10">
      <c r="A451" s="130" t="s">
        <v>459</v>
      </c>
      <c r="B451" t="s">
        <v>459</v>
      </c>
      <c r="C451" s="222">
        <v>35.200000000000003</v>
      </c>
      <c r="I451" s="2"/>
      <c r="J451" s="2"/>
    </row>
    <row r="452" spans="1:10">
      <c r="A452" s="130" t="s">
        <v>459</v>
      </c>
      <c r="B452" t="s">
        <v>459</v>
      </c>
      <c r="C452" s="222">
        <v>35.300000000000004</v>
      </c>
      <c r="I452" s="2"/>
      <c r="J452" s="2"/>
    </row>
    <row r="453" spans="1:10">
      <c r="A453" s="130" t="s">
        <v>459</v>
      </c>
      <c r="B453" t="s">
        <v>459</v>
      </c>
      <c r="C453" s="222">
        <v>35.400000000000006</v>
      </c>
      <c r="I453" s="2"/>
      <c r="J453" s="2"/>
    </row>
    <row r="454" spans="1:10">
      <c r="A454" s="130" t="s">
        <v>459</v>
      </c>
      <c r="B454" t="s">
        <v>459</v>
      </c>
      <c r="C454" s="222">
        <v>35.5</v>
      </c>
      <c r="I454" s="2"/>
      <c r="J454" s="2"/>
    </row>
    <row r="455" spans="1:10">
      <c r="A455" s="130" t="s">
        <v>459</v>
      </c>
      <c r="B455" t="s">
        <v>459</v>
      </c>
      <c r="C455" s="222">
        <v>35.6</v>
      </c>
      <c r="I455" s="2"/>
      <c r="J455" s="2"/>
    </row>
    <row r="456" spans="1:10">
      <c r="A456" s="130" t="s">
        <v>459</v>
      </c>
      <c r="B456" t="s">
        <v>459</v>
      </c>
      <c r="C456" s="222">
        <v>35.700000000000003</v>
      </c>
      <c r="I456" s="2"/>
      <c r="J456" s="2"/>
    </row>
    <row r="457" spans="1:10">
      <c r="A457" s="130" t="s">
        <v>459</v>
      </c>
      <c r="B457" t="s">
        <v>459</v>
      </c>
      <c r="C457" s="222">
        <v>35.800000000000004</v>
      </c>
      <c r="I457" s="2"/>
      <c r="J457" s="2"/>
    </row>
    <row r="458" spans="1:10">
      <c r="A458" s="130" t="s">
        <v>459</v>
      </c>
      <c r="B458" t="s">
        <v>459</v>
      </c>
      <c r="C458" s="222">
        <v>35.900000000000006</v>
      </c>
      <c r="I458" s="2"/>
      <c r="J458" s="2"/>
    </row>
    <row r="459" spans="1:10">
      <c r="A459" s="130" t="s">
        <v>459</v>
      </c>
      <c r="B459" t="s">
        <v>459</v>
      </c>
      <c r="C459" s="222">
        <v>36</v>
      </c>
      <c r="I459" s="2"/>
      <c r="J459" s="2"/>
    </row>
    <row r="460" spans="1:10">
      <c r="A460" s="130" t="s">
        <v>459</v>
      </c>
      <c r="B460" t="s">
        <v>459</v>
      </c>
      <c r="C460" s="222">
        <v>36.1</v>
      </c>
      <c r="I460" s="2"/>
      <c r="J460" s="2"/>
    </row>
    <row r="461" spans="1:10">
      <c r="A461" s="130" t="s">
        <v>459</v>
      </c>
      <c r="B461" t="s">
        <v>459</v>
      </c>
      <c r="C461" s="222">
        <v>36.200000000000003</v>
      </c>
      <c r="I461" s="2"/>
      <c r="J461" s="2"/>
    </row>
    <row r="462" spans="1:10">
      <c r="A462" s="130" t="s">
        <v>459</v>
      </c>
      <c r="B462" t="s">
        <v>459</v>
      </c>
      <c r="C462" s="222">
        <v>36.300000000000004</v>
      </c>
      <c r="I462" s="2"/>
      <c r="J462" s="2"/>
    </row>
    <row r="463" spans="1:10">
      <c r="A463" s="130" t="s">
        <v>459</v>
      </c>
      <c r="B463" t="s">
        <v>459</v>
      </c>
      <c r="C463" s="222">
        <v>36.400000000000006</v>
      </c>
      <c r="I463" s="2"/>
      <c r="J463" s="2"/>
    </row>
    <row r="464" spans="1:10">
      <c r="A464" s="130" t="s">
        <v>459</v>
      </c>
      <c r="B464" t="s">
        <v>459</v>
      </c>
      <c r="C464" s="222">
        <v>36.5</v>
      </c>
      <c r="I464" s="2"/>
      <c r="J464" s="2"/>
    </row>
    <row r="465" spans="1:10">
      <c r="A465" s="130" t="s">
        <v>459</v>
      </c>
      <c r="B465" t="s">
        <v>459</v>
      </c>
      <c r="C465" s="222">
        <v>36.6</v>
      </c>
      <c r="I465" s="2"/>
      <c r="J465" s="2"/>
    </row>
    <row r="466" spans="1:10">
      <c r="A466" s="130" t="s">
        <v>459</v>
      </c>
      <c r="B466" t="s">
        <v>459</v>
      </c>
      <c r="C466" s="222">
        <v>36.700000000000003</v>
      </c>
      <c r="I466" s="2"/>
      <c r="J466" s="2"/>
    </row>
    <row r="467" spans="1:10">
      <c r="A467" s="130" t="s">
        <v>459</v>
      </c>
      <c r="B467" t="s">
        <v>459</v>
      </c>
      <c r="C467" s="222">
        <v>36.800000000000004</v>
      </c>
      <c r="I467" s="2"/>
      <c r="J467" s="2"/>
    </row>
    <row r="468" spans="1:10">
      <c r="A468" s="130" t="s">
        <v>459</v>
      </c>
      <c r="B468" t="s">
        <v>459</v>
      </c>
      <c r="C468" s="222">
        <v>36.900000000000006</v>
      </c>
      <c r="I468" s="2"/>
      <c r="J468" s="2"/>
    </row>
    <row r="469" spans="1:10">
      <c r="A469" s="130" t="s">
        <v>459</v>
      </c>
      <c r="B469" t="s">
        <v>459</v>
      </c>
      <c r="C469" s="222">
        <v>37</v>
      </c>
      <c r="I469" s="2"/>
      <c r="J469" s="2"/>
    </row>
    <row r="470" spans="1:10">
      <c r="A470" s="130" t="s">
        <v>459</v>
      </c>
      <c r="B470" t="s">
        <v>459</v>
      </c>
      <c r="C470" s="222">
        <v>37.1</v>
      </c>
      <c r="I470" s="2"/>
      <c r="J470" s="2"/>
    </row>
    <row r="471" spans="1:10">
      <c r="A471" s="130" t="s">
        <v>459</v>
      </c>
      <c r="B471" t="s">
        <v>459</v>
      </c>
      <c r="C471" s="222">
        <v>37.200000000000003</v>
      </c>
      <c r="I471" s="2"/>
      <c r="J471" s="2"/>
    </row>
    <row r="472" spans="1:10">
      <c r="A472" s="130" t="s">
        <v>459</v>
      </c>
      <c r="B472" t="s">
        <v>459</v>
      </c>
      <c r="C472" s="222">
        <v>37.300000000000004</v>
      </c>
      <c r="I472" s="2"/>
      <c r="J472" s="2"/>
    </row>
    <row r="473" spans="1:10">
      <c r="A473" s="130" t="s">
        <v>459</v>
      </c>
      <c r="B473" t="s">
        <v>459</v>
      </c>
      <c r="C473" s="222">
        <v>37.400000000000006</v>
      </c>
      <c r="I473" s="2"/>
      <c r="J473" s="2"/>
    </row>
    <row r="474" spans="1:10">
      <c r="A474" s="130" t="s">
        <v>459</v>
      </c>
      <c r="B474" t="s">
        <v>459</v>
      </c>
      <c r="C474" s="222">
        <v>37.5</v>
      </c>
      <c r="I474" s="2"/>
      <c r="J474" s="2"/>
    </row>
    <row r="475" spans="1:10">
      <c r="A475" s="130" t="s">
        <v>459</v>
      </c>
      <c r="B475" t="s">
        <v>459</v>
      </c>
      <c r="C475" s="222">
        <v>37.6</v>
      </c>
      <c r="I475" s="2"/>
      <c r="J475" s="2"/>
    </row>
    <row r="476" spans="1:10">
      <c r="A476" s="130" t="s">
        <v>459</v>
      </c>
      <c r="B476" t="s">
        <v>459</v>
      </c>
      <c r="C476" s="222">
        <v>37.700000000000003</v>
      </c>
      <c r="I476" s="2"/>
      <c r="J476" s="2"/>
    </row>
    <row r="477" spans="1:10">
      <c r="A477" s="130" t="s">
        <v>459</v>
      </c>
      <c r="B477" t="s">
        <v>459</v>
      </c>
      <c r="C477" s="222">
        <v>37.800000000000004</v>
      </c>
      <c r="I477" s="2"/>
      <c r="J477" s="2"/>
    </row>
    <row r="478" spans="1:10">
      <c r="A478" s="130" t="s">
        <v>459</v>
      </c>
      <c r="B478" t="s">
        <v>459</v>
      </c>
      <c r="C478" s="222">
        <v>37.900000000000006</v>
      </c>
      <c r="I478" s="2"/>
      <c r="J478" s="2"/>
    </row>
    <row r="479" spans="1:10">
      <c r="A479" s="130" t="s">
        <v>459</v>
      </c>
      <c r="B479" t="s">
        <v>459</v>
      </c>
      <c r="C479" s="222">
        <v>38</v>
      </c>
      <c r="I479" s="2"/>
      <c r="J479" s="2"/>
    </row>
    <row r="480" spans="1:10">
      <c r="A480" s="130" t="s">
        <v>459</v>
      </c>
      <c r="B480" t="s">
        <v>459</v>
      </c>
      <c r="C480" s="222">
        <v>38.1</v>
      </c>
      <c r="I480" s="2"/>
      <c r="J480" s="2"/>
    </row>
    <row r="481" spans="1:10">
      <c r="A481" s="130" t="s">
        <v>459</v>
      </c>
      <c r="B481" t="s">
        <v>459</v>
      </c>
      <c r="C481" s="222">
        <v>38.200000000000003</v>
      </c>
      <c r="I481" s="2"/>
      <c r="J481" s="2"/>
    </row>
    <row r="482" spans="1:10">
      <c r="A482" s="130" t="s">
        <v>459</v>
      </c>
      <c r="B482" t="s">
        <v>459</v>
      </c>
      <c r="C482" s="222">
        <v>38.300000000000004</v>
      </c>
      <c r="I482" s="2"/>
      <c r="J482" s="2"/>
    </row>
    <row r="483" spans="1:10">
      <c r="A483" s="130" t="s">
        <v>459</v>
      </c>
      <c r="B483" t="s">
        <v>459</v>
      </c>
      <c r="C483" s="222">
        <v>38.400000000000006</v>
      </c>
      <c r="I483" s="2"/>
      <c r="J483" s="2"/>
    </row>
    <row r="484" spans="1:10">
      <c r="A484" s="130" t="s">
        <v>459</v>
      </c>
      <c r="B484" t="s">
        <v>459</v>
      </c>
      <c r="C484" s="222">
        <v>38.5</v>
      </c>
      <c r="I484" s="2"/>
      <c r="J484" s="2"/>
    </row>
    <row r="485" spans="1:10">
      <c r="A485" s="130" t="s">
        <v>459</v>
      </c>
      <c r="B485" t="s">
        <v>459</v>
      </c>
      <c r="C485" s="222">
        <v>38.6</v>
      </c>
      <c r="I485" s="2"/>
      <c r="J485" s="2"/>
    </row>
    <row r="486" spans="1:10">
      <c r="A486" s="130" t="s">
        <v>459</v>
      </c>
      <c r="B486" t="s">
        <v>459</v>
      </c>
      <c r="C486" s="222">
        <v>38.700000000000003</v>
      </c>
      <c r="I486" s="2"/>
      <c r="J486" s="2"/>
    </row>
    <row r="487" spans="1:10">
      <c r="A487" s="130" t="s">
        <v>459</v>
      </c>
      <c r="B487" t="s">
        <v>459</v>
      </c>
      <c r="C487" s="222">
        <v>38.800000000000004</v>
      </c>
      <c r="I487" s="2"/>
      <c r="J487" s="2"/>
    </row>
    <row r="488" spans="1:10">
      <c r="A488" s="130" t="s">
        <v>459</v>
      </c>
      <c r="B488" t="s">
        <v>459</v>
      </c>
      <c r="C488" s="222">
        <v>38.900000000000006</v>
      </c>
      <c r="I488" s="2"/>
      <c r="J488" s="2"/>
    </row>
    <row r="489" spans="1:10">
      <c r="A489" s="130" t="s">
        <v>459</v>
      </c>
      <c r="B489" t="s">
        <v>459</v>
      </c>
      <c r="C489" s="222">
        <v>39</v>
      </c>
      <c r="I489" s="2"/>
      <c r="J489" s="2"/>
    </row>
    <row r="490" spans="1:10">
      <c r="A490" s="130" t="s">
        <v>459</v>
      </c>
      <c r="B490" t="s">
        <v>459</v>
      </c>
      <c r="C490" s="222">
        <v>39.1</v>
      </c>
      <c r="I490" s="2"/>
      <c r="J490" s="2"/>
    </row>
    <row r="491" spans="1:10">
      <c r="A491" s="130" t="s">
        <v>459</v>
      </c>
      <c r="B491" t="s">
        <v>459</v>
      </c>
      <c r="C491" s="222">
        <v>39.200000000000003</v>
      </c>
      <c r="I491" s="2"/>
      <c r="J491" s="2"/>
    </row>
    <row r="492" spans="1:10">
      <c r="A492" s="130" t="s">
        <v>459</v>
      </c>
      <c r="B492" t="s">
        <v>459</v>
      </c>
      <c r="C492" s="222">
        <v>39.300000000000004</v>
      </c>
      <c r="I492" s="2"/>
      <c r="J492" s="2"/>
    </row>
    <row r="493" spans="1:10">
      <c r="A493" s="130" t="s">
        <v>459</v>
      </c>
      <c r="B493" t="s">
        <v>459</v>
      </c>
      <c r="C493" s="222">
        <v>39.400000000000006</v>
      </c>
      <c r="I493" s="2"/>
      <c r="J493" s="2"/>
    </row>
    <row r="494" spans="1:10">
      <c r="A494" s="130" t="s">
        <v>459</v>
      </c>
      <c r="B494" t="s">
        <v>459</v>
      </c>
      <c r="C494" s="222">
        <v>39.5</v>
      </c>
      <c r="I494" s="2"/>
      <c r="J494" s="2"/>
    </row>
    <row r="495" spans="1:10">
      <c r="A495" s="130" t="s">
        <v>459</v>
      </c>
      <c r="B495" t="s">
        <v>459</v>
      </c>
      <c r="C495" s="222">
        <v>39.6</v>
      </c>
      <c r="I495" s="2"/>
      <c r="J495" s="2"/>
    </row>
    <row r="496" spans="1:10">
      <c r="A496" s="130" t="s">
        <v>459</v>
      </c>
      <c r="B496" t="s">
        <v>459</v>
      </c>
      <c r="C496" s="222">
        <v>39.700000000000003</v>
      </c>
      <c r="I496" s="2"/>
      <c r="J496" s="2"/>
    </row>
    <row r="497" spans="1:10">
      <c r="A497" s="130" t="s">
        <v>459</v>
      </c>
      <c r="B497" t="s">
        <v>459</v>
      </c>
      <c r="C497" s="222">
        <v>39.800000000000004</v>
      </c>
      <c r="I497" s="2"/>
      <c r="J497" s="2"/>
    </row>
    <row r="498" spans="1:10">
      <c r="A498" s="130" t="s">
        <v>459</v>
      </c>
      <c r="B498" t="s">
        <v>459</v>
      </c>
      <c r="C498" s="222">
        <v>39.900000000000006</v>
      </c>
      <c r="I498" s="2"/>
      <c r="J498" s="2"/>
    </row>
    <row r="499" spans="1:10">
      <c r="A499" s="130" t="s">
        <v>459</v>
      </c>
      <c r="B499" t="s">
        <v>459</v>
      </c>
      <c r="C499" s="222">
        <v>40</v>
      </c>
      <c r="I499" s="2"/>
      <c r="J499" s="2"/>
    </row>
    <row r="500" spans="1:10">
      <c r="A500" s="130" t="s">
        <v>459</v>
      </c>
      <c r="B500" t="s">
        <v>459</v>
      </c>
      <c r="C500" s="222">
        <v>40.1</v>
      </c>
      <c r="I500" s="2"/>
      <c r="J500" s="2"/>
    </row>
    <row r="501" spans="1:10">
      <c r="A501" s="130" t="s">
        <v>459</v>
      </c>
      <c r="B501" t="s">
        <v>459</v>
      </c>
      <c r="C501" s="222">
        <v>40.200000000000003</v>
      </c>
      <c r="I501" s="2"/>
      <c r="J501" s="2"/>
    </row>
    <row r="502" spans="1:10">
      <c r="A502" s="130" t="s">
        <v>459</v>
      </c>
      <c r="B502" t="s">
        <v>459</v>
      </c>
      <c r="C502" s="222">
        <v>40.300000000000004</v>
      </c>
      <c r="I502" s="2"/>
      <c r="J502" s="2"/>
    </row>
    <row r="503" spans="1:10">
      <c r="A503" s="130" t="s">
        <v>459</v>
      </c>
      <c r="B503" t="s">
        <v>459</v>
      </c>
      <c r="C503" s="222">
        <v>40.400000000000006</v>
      </c>
      <c r="I503" s="2"/>
      <c r="J503" s="2"/>
    </row>
    <row r="504" spans="1:10">
      <c r="A504" s="130" t="s">
        <v>459</v>
      </c>
      <c r="B504" t="s">
        <v>459</v>
      </c>
      <c r="C504" s="222">
        <v>40.5</v>
      </c>
      <c r="I504" s="2"/>
      <c r="J504" s="2"/>
    </row>
    <row r="505" spans="1:10">
      <c r="A505" s="130" t="s">
        <v>459</v>
      </c>
      <c r="B505" t="s">
        <v>459</v>
      </c>
      <c r="C505" s="222">
        <v>40.6</v>
      </c>
      <c r="I505" s="2"/>
      <c r="J505" s="2"/>
    </row>
    <row r="506" spans="1:10">
      <c r="A506" s="130" t="s">
        <v>459</v>
      </c>
      <c r="B506" t="s">
        <v>459</v>
      </c>
      <c r="C506" s="222">
        <v>40.700000000000003</v>
      </c>
      <c r="I506" s="2"/>
      <c r="J506" s="2"/>
    </row>
    <row r="507" spans="1:10">
      <c r="A507" s="130" t="s">
        <v>459</v>
      </c>
      <c r="B507" t="s">
        <v>459</v>
      </c>
      <c r="C507" s="222">
        <v>40.800000000000004</v>
      </c>
      <c r="I507" s="2"/>
      <c r="J507" s="2"/>
    </row>
    <row r="508" spans="1:10">
      <c r="A508" s="130" t="s">
        <v>459</v>
      </c>
      <c r="B508" t="s">
        <v>459</v>
      </c>
      <c r="C508" s="222">
        <v>40.900000000000006</v>
      </c>
      <c r="I508" s="2"/>
      <c r="J508" s="2"/>
    </row>
    <row r="509" spans="1:10">
      <c r="A509" s="130" t="s">
        <v>459</v>
      </c>
      <c r="B509" t="s">
        <v>459</v>
      </c>
      <c r="C509" s="222">
        <v>41</v>
      </c>
      <c r="I509" s="2"/>
      <c r="J509" s="2"/>
    </row>
    <row r="510" spans="1:10">
      <c r="A510" s="130" t="s">
        <v>459</v>
      </c>
      <c r="B510" t="s">
        <v>459</v>
      </c>
      <c r="C510" s="222">
        <v>41.1</v>
      </c>
      <c r="I510" s="2"/>
      <c r="J510" s="2"/>
    </row>
    <row r="511" spans="1:10">
      <c r="A511" s="130" t="s">
        <v>459</v>
      </c>
      <c r="B511" t="s">
        <v>459</v>
      </c>
      <c r="C511" s="222">
        <v>41.2</v>
      </c>
      <c r="I511" s="2"/>
      <c r="J511" s="2"/>
    </row>
    <row r="512" spans="1:10">
      <c r="A512" s="130" t="s">
        <v>459</v>
      </c>
      <c r="B512" t="s">
        <v>459</v>
      </c>
      <c r="C512" s="222">
        <v>41.300000000000004</v>
      </c>
      <c r="I512" s="2"/>
      <c r="J512" s="2"/>
    </row>
    <row r="513" spans="1:10">
      <c r="A513" s="130" t="s">
        <v>459</v>
      </c>
      <c r="B513" t="s">
        <v>459</v>
      </c>
      <c r="C513" s="222">
        <v>41.400000000000006</v>
      </c>
      <c r="I513" s="2"/>
      <c r="J513" s="2"/>
    </row>
    <row r="514" spans="1:10">
      <c r="A514" s="130" t="s">
        <v>459</v>
      </c>
      <c r="B514" t="s">
        <v>459</v>
      </c>
      <c r="C514" s="222">
        <v>41.5</v>
      </c>
      <c r="I514" s="2"/>
      <c r="J514" s="2"/>
    </row>
    <row r="515" spans="1:10">
      <c r="A515" s="130" t="s">
        <v>459</v>
      </c>
      <c r="B515" t="s">
        <v>459</v>
      </c>
      <c r="C515" s="222">
        <v>41.6</v>
      </c>
      <c r="I515" s="2"/>
      <c r="J515" s="2"/>
    </row>
    <row r="516" spans="1:10">
      <c r="A516" s="130" t="s">
        <v>459</v>
      </c>
      <c r="B516" t="s">
        <v>459</v>
      </c>
      <c r="C516" s="222">
        <v>41.7</v>
      </c>
      <c r="I516" s="2"/>
      <c r="J516" s="2"/>
    </row>
    <row r="517" spans="1:10">
      <c r="A517" s="130" t="s">
        <v>459</v>
      </c>
      <c r="B517" t="s">
        <v>459</v>
      </c>
      <c r="C517" s="222">
        <v>41.800000000000004</v>
      </c>
      <c r="I517" s="2"/>
      <c r="J517" s="2"/>
    </row>
    <row r="518" spans="1:10">
      <c r="A518" s="130">
        <v>843.01900000000774</v>
      </c>
      <c r="B518" t="s">
        <v>459</v>
      </c>
      <c r="C518" s="222">
        <v>41.900000000000006</v>
      </c>
      <c r="I518" s="2"/>
      <c r="J518" s="2"/>
    </row>
    <row r="519" spans="1:10">
      <c r="A519" s="130">
        <v>842.61900000000765</v>
      </c>
      <c r="B519" t="s">
        <v>459</v>
      </c>
      <c r="C519" s="222">
        <v>42</v>
      </c>
      <c r="I519" s="2"/>
      <c r="J519" s="2"/>
    </row>
    <row r="520" spans="1:10">
      <c r="A520" s="130">
        <v>842.4190000000076</v>
      </c>
      <c r="B520" t="s">
        <v>459</v>
      </c>
      <c r="C520" s="222">
        <v>42.1</v>
      </c>
      <c r="I520" s="2"/>
      <c r="J520" s="2"/>
    </row>
    <row r="521" spans="1:10">
      <c r="A521" s="130">
        <v>842.4190000000076</v>
      </c>
      <c r="B521" t="s">
        <v>459</v>
      </c>
      <c r="C521" s="222">
        <v>42.2</v>
      </c>
      <c r="I521" s="2"/>
      <c r="J521" s="2"/>
    </row>
    <row r="522" spans="1:10">
      <c r="A522" s="130">
        <v>842.4190000000076</v>
      </c>
      <c r="B522" t="s">
        <v>459</v>
      </c>
      <c r="C522" s="222">
        <v>42.300000000000004</v>
      </c>
      <c r="I522" s="2"/>
      <c r="J522" s="2"/>
    </row>
    <row r="523" spans="1:10">
      <c r="A523" s="130">
        <v>842.4190000000076</v>
      </c>
      <c r="B523" t="s">
        <v>459</v>
      </c>
      <c r="C523" s="222">
        <v>42.400000000000006</v>
      </c>
      <c r="I523" s="2"/>
      <c r="J523" s="2"/>
    </row>
    <row r="524" spans="1:10">
      <c r="A524" s="130">
        <v>842.61900000000765</v>
      </c>
      <c r="B524" t="s">
        <v>459</v>
      </c>
      <c r="C524" s="222">
        <v>42.5</v>
      </c>
      <c r="I524" s="2"/>
      <c r="J524" s="2"/>
    </row>
    <row r="525" spans="1:10">
      <c r="A525" s="130">
        <v>842.61900000000765</v>
      </c>
      <c r="B525" t="s">
        <v>459</v>
      </c>
      <c r="C525" s="222">
        <v>42.6</v>
      </c>
      <c r="I525" s="2"/>
      <c r="J525" s="2"/>
    </row>
    <row r="526" spans="1:10">
      <c r="A526" s="130">
        <v>843.01900000000774</v>
      </c>
      <c r="B526" t="s">
        <v>459</v>
      </c>
      <c r="C526" s="222">
        <v>42.7</v>
      </c>
      <c r="I526" s="2"/>
      <c r="J526" s="2"/>
    </row>
    <row r="527" spans="1:10">
      <c r="A527" s="130" t="s">
        <v>459</v>
      </c>
      <c r="B527" t="s">
        <v>459</v>
      </c>
      <c r="C527" s="222">
        <v>42.800000000000004</v>
      </c>
      <c r="I527" s="2"/>
      <c r="J527" s="2"/>
    </row>
    <row r="528" spans="1:10">
      <c r="A528" s="130" t="s">
        <v>459</v>
      </c>
      <c r="B528" t="s">
        <v>459</v>
      </c>
      <c r="C528" s="222">
        <v>42.900000000000006</v>
      </c>
      <c r="I528" s="2"/>
      <c r="J528" s="2"/>
    </row>
    <row r="529" spans="1:10">
      <c r="A529" s="130" t="s">
        <v>459</v>
      </c>
      <c r="B529" t="s">
        <v>459</v>
      </c>
      <c r="C529" s="222">
        <v>43</v>
      </c>
      <c r="I529" s="2"/>
      <c r="J529" s="2"/>
    </row>
    <row r="530" spans="1:10">
      <c r="A530" s="130" t="s">
        <v>459</v>
      </c>
      <c r="B530" t="s">
        <v>459</v>
      </c>
      <c r="C530" s="222">
        <v>43.1</v>
      </c>
      <c r="I530" s="2"/>
      <c r="J530" s="2"/>
    </row>
    <row r="531" spans="1:10">
      <c r="A531" s="130" t="s">
        <v>459</v>
      </c>
      <c r="B531" t="s">
        <v>459</v>
      </c>
      <c r="C531" s="222">
        <v>43.2</v>
      </c>
      <c r="I531" s="2"/>
      <c r="J531" s="2"/>
    </row>
    <row r="532" spans="1:10">
      <c r="A532" s="130" t="s">
        <v>459</v>
      </c>
      <c r="B532" t="s">
        <v>459</v>
      </c>
      <c r="C532" s="222">
        <v>43.300000000000004</v>
      </c>
      <c r="I532" s="2"/>
      <c r="J532" s="2"/>
    </row>
    <row r="533" spans="1:10">
      <c r="A533" s="130" t="s">
        <v>459</v>
      </c>
      <c r="B533" t="s">
        <v>459</v>
      </c>
      <c r="C533" s="222">
        <v>43.400000000000006</v>
      </c>
      <c r="I533" s="2"/>
      <c r="J533" s="2"/>
    </row>
    <row r="534" spans="1:10">
      <c r="A534" s="130" t="s">
        <v>459</v>
      </c>
      <c r="B534" t="s">
        <v>459</v>
      </c>
      <c r="C534" s="222">
        <v>43.5</v>
      </c>
      <c r="I534" s="2"/>
      <c r="J534" s="2"/>
    </row>
    <row r="535" spans="1:10">
      <c r="A535" s="130" t="s">
        <v>459</v>
      </c>
      <c r="B535" t="s">
        <v>459</v>
      </c>
      <c r="C535" s="222">
        <v>43.6</v>
      </c>
      <c r="I535" s="2"/>
      <c r="J535" s="2"/>
    </row>
    <row r="536" spans="1:10">
      <c r="A536" s="130" t="s">
        <v>459</v>
      </c>
      <c r="B536" t="s">
        <v>459</v>
      </c>
      <c r="C536" s="222">
        <v>43.7</v>
      </c>
      <c r="I536" s="2"/>
      <c r="J536" s="2"/>
    </row>
    <row r="537" spans="1:10">
      <c r="A537" s="130" t="s">
        <v>459</v>
      </c>
      <c r="B537" t="s">
        <v>459</v>
      </c>
      <c r="C537" s="222">
        <v>43.800000000000004</v>
      </c>
      <c r="I537" s="2"/>
      <c r="J537" s="2"/>
    </row>
    <row r="538" spans="1:10">
      <c r="A538" s="130" t="s">
        <v>459</v>
      </c>
      <c r="B538" t="s">
        <v>459</v>
      </c>
      <c r="C538" s="222">
        <v>43.900000000000006</v>
      </c>
      <c r="I538" s="2"/>
      <c r="J538" s="2"/>
    </row>
    <row r="539" spans="1:10">
      <c r="A539" s="130" t="s">
        <v>459</v>
      </c>
      <c r="B539" t="s">
        <v>459</v>
      </c>
      <c r="C539" s="222">
        <v>44</v>
      </c>
      <c r="I539" s="2"/>
      <c r="J539" s="2"/>
    </row>
    <row r="540" spans="1:10">
      <c r="A540" s="130" t="s">
        <v>459</v>
      </c>
      <c r="B540" t="s">
        <v>459</v>
      </c>
      <c r="C540" s="222">
        <v>44.1</v>
      </c>
      <c r="I540" s="2"/>
      <c r="J540" s="2"/>
    </row>
    <row r="541" spans="1:10">
      <c r="A541" s="130" t="s">
        <v>459</v>
      </c>
      <c r="B541" t="s">
        <v>459</v>
      </c>
      <c r="C541" s="222">
        <v>44.2</v>
      </c>
      <c r="I541" s="2"/>
      <c r="J541" s="2"/>
    </row>
    <row r="542" spans="1:10">
      <c r="A542" s="130" t="s">
        <v>459</v>
      </c>
      <c r="B542" t="s">
        <v>459</v>
      </c>
      <c r="C542" s="222">
        <v>44.300000000000004</v>
      </c>
      <c r="I542" s="2"/>
      <c r="J542" s="2"/>
    </row>
    <row r="543" spans="1:10">
      <c r="A543" s="130" t="s">
        <v>459</v>
      </c>
      <c r="B543" t="s">
        <v>459</v>
      </c>
      <c r="C543" s="222">
        <v>44.400000000000006</v>
      </c>
      <c r="I543" s="2"/>
      <c r="J543" s="2"/>
    </row>
    <row r="544" spans="1:10">
      <c r="A544" s="130" t="s">
        <v>459</v>
      </c>
      <c r="B544" t="s">
        <v>459</v>
      </c>
      <c r="C544" s="222">
        <v>44.5</v>
      </c>
      <c r="I544" s="2"/>
      <c r="J544" s="2"/>
    </row>
    <row r="545" spans="1:10">
      <c r="A545" s="130" t="s">
        <v>459</v>
      </c>
      <c r="B545" t="s">
        <v>459</v>
      </c>
      <c r="C545" s="222">
        <v>44.6</v>
      </c>
      <c r="I545" s="2"/>
      <c r="J545" s="2"/>
    </row>
    <row r="546" spans="1:10">
      <c r="A546" s="130" t="s">
        <v>459</v>
      </c>
      <c r="B546" t="s">
        <v>459</v>
      </c>
      <c r="C546" s="222">
        <v>44.7</v>
      </c>
      <c r="I546" s="2"/>
      <c r="J546" s="2"/>
    </row>
    <row r="547" spans="1:10">
      <c r="A547" s="130" t="s">
        <v>459</v>
      </c>
      <c r="B547" t="s">
        <v>459</v>
      </c>
      <c r="C547" s="222">
        <v>44.800000000000004</v>
      </c>
      <c r="I547" s="2"/>
      <c r="J547" s="2"/>
    </row>
    <row r="548" spans="1:10">
      <c r="A548" s="130" t="s">
        <v>459</v>
      </c>
      <c r="B548" t="s">
        <v>459</v>
      </c>
      <c r="C548" s="222">
        <v>44.900000000000006</v>
      </c>
      <c r="I548" s="2"/>
      <c r="J548" s="2"/>
    </row>
    <row r="549" spans="1:10">
      <c r="A549" s="130" t="s">
        <v>459</v>
      </c>
      <c r="B549" t="s">
        <v>459</v>
      </c>
      <c r="C549" s="222">
        <v>45</v>
      </c>
      <c r="I549" s="2"/>
      <c r="J549" s="2"/>
    </row>
    <row r="550" spans="1:10">
      <c r="A550" s="130" t="s">
        <v>459</v>
      </c>
      <c r="B550" t="s">
        <v>459</v>
      </c>
      <c r="C550" s="222">
        <v>45.1</v>
      </c>
      <c r="I550" s="2"/>
      <c r="J550" s="2"/>
    </row>
    <row r="551" spans="1:10">
      <c r="A551" s="130" t="s">
        <v>459</v>
      </c>
      <c r="B551" t="s">
        <v>459</v>
      </c>
      <c r="C551" s="222">
        <v>45.2</v>
      </c>
      <c r="I551" s="2"/>
      <c r="J551" s="2"/>
    </row>
    <row r="552" spans="1:10">
      <c r="A552" s="130" t="s">
        <v>459</v>
      </c>
      <c r="B552" t="s">
        <v>459</v>
      </c>
      <c r="C552" s="222">
        <v>45.300000000000004</v>
      </c>
      <c r="I552" s="2"/>
      <c r="J552" s="2"/>
    </row>
    <row r="553" spans="1:10">
      <c r="A553" s="130" t="s">
        <v>459</v>
      </c>
      <c r="B553" t="s">
        <v>459</v>
      </c>
      <c r="C553" s="222">
        <v>45.400000000000006</v>
      </c>
      <c r="I553" s="2"/>
      <c r="J553" s="2"/>
    </row>
    <row r="554" spans="1:10">
      <c r="A554" s="130" t="s">
        <v>459</v>
      </c>
      <c r="B554" t="s">
        <v>459</v>
      </c>
      <c r="C554" s="222">
        <v>45.5</v>
      </c>
      <c r="I554" s="2"/>
      <c r="J554" s="2"/>
    </row>
    <row r="555" spans="1:10">
      <c r="A555" s="130" t="s">
        <v>459</v>
      </c>
      <c r="B555" t="s">
        <v>459</v>
      </c>
      <c r="C555" s="222">
        <v>45.6</v>
      </c>
      <c r="I555" s="2"/>
      <c r="J555" s="2"/>
    </row>
    <row r="556" spans="1:10">
      <c r="A556" s="130" t="s">
        <v>459</v>
      </c>
      <c r="B556" t="s">
        <v>459</v>
      </c>
      <c r="C556" s="222">
        <v>45.7</v>
      </c>
      <c r="I556" s="2"/>
      <c r="J556" s="2"/>
    </row>
    <row r="557" spans="1:10">
      <c r="A557" s="130" t="s">
        <v>459</v>
      </c>
      <c r="B557" t="s">
        <v>459</v>
      </c>
      <c r="C557" s="222">
        <v>45.800000000000004</v>
      </c>
      <c r="I557" s="2"/>
      <c r="J557" s="2"/>
    </row>
    <row r="558" spans="1:10">
      <c r="A558" s="130" t="s">
        <v>459</v>
      </c>
      <c r="B558" t="s">
        <v>459</v>
      </c>
      <c r="C558" s="222">
        <v>45.900000000000006</v>
      </c>
      <c r="I558" s="2"/>
      <c r="J558" s="2"/>
    </row>
    <row r="559" spans="1:10">
      <c r="A559" s="130" t="s">
        <v>459</v>
      </c>
      <c r="B559" t="s">
        <v>459</v>
      </c>
      <c r="C559" s="222">
        <v>46</v>
      </c>
      <c r="I559" s="2"/>
      <c r="J559" s="2"/>
    </row>
    <row r="560" spans="1:10">
      <c r="A560" s="130" t="s">
        <v>459</v>
      </c>
      <c r="B560" t="s">
        <v>459</v>
      </c>
      <c r="C560" s="222">
        <v>46.1</v>
      </c>
      <c r="I560" s="2"/>
      <c r="J560" s="2"/>
    </row>
    <row r="561" spans="1:10">
      <c r="A561" s="130" t="s">
        <v>459</v>
      </c>
      <c r="B561" t="s">
        <v>459</v>
      </c>
      <c r="C561" s="222">
        <v>46.2</v>
      </c>
      <c r="I561" s="2"/>
      <c r="J561" s="2"/>
    </row>
    <row r="562" spans="1:10">
      <c r="A562" s="130" t="s">
        <v>459</v>
      </c>
      <c r="B562" t="s">
        <v>459</v>
      </c>
      <c r="C562" s="222">
        <v>46.300000000000004</v>
      </c>
      <c r="I562" s="2"/>
      <c r="J562" s="2"/>
    </row>
    <row r="563" spans="1:10">
      <c r="A563" s="130" t="s">
        <v>459</v>
      </c>
      <c r="B563" t="s">
        <v>459</v>
      </c>
      <c r="C563" s="222">
        <v>46.400000000000006</v>
      </c>
      <c r="I563" s="2"/>
      <c r="J563" s="2"/>
    </row>
    <row r="564" spans="1:10">
      <c r="A564" s="130" t="s">
        <v>459</v>
      </c>
      <c r="B564" t="s">
        <v>459</v>
      </c>
      <c r="C564" s="222">
        <v>46.5</v>
      </c>
      <c r="I564" s="2"/>
      <c r="J564" s="2"/>
    </row>
    <row r="565" spans="1:10">
      <c r="A565" s="130" t="s">
        <v>459</v>
      </c>
      <c r="B565" t="s">
        <v>459</v>
      </c>
      <c r="C565" s="222">
        <v>46.6</v>
      </c>
      <c r="I565" s="2"/>
      <c r="J565" s="2"/>
    </row>
    <row r="566" spans="1:10">
      <c r="A566" s="130">
        <v>843.01900000000774</v>
      </c>
      <c r="B566" t="s">
        <v>459</v>
      </c>
      <c r="C566" s="222">
        <v>46.7</v>
      </c>
      <c r="I566" s="2"/>
      <c r="J566" s="2"/>
    </row>
    <row r="567" spans="1:10">
      <c r="A567" s="130">
        <v>842.21900000000755</v>
      </c>
      <c r="B567" t="s">
        <v>459</v>
      </c>
      <c r="C567" s="222">
        <v>46.800000000000004</v>
      </c>
      <c r="I567" s="2"/>
      <c r="J567" s="2"/>
    </row>
    <row r="568" spans="1:10">
      <c r="A568" s="130">
        <v>842.01900000000751</v>
      </c>
      <c r="B568" t="s">
        <v>459</v>
      </c>
      <c r="C568" s="222">
        <v>46.900000000000006</v>
      </c>
      <c r="I568" s="2"/>
      <c r="J568" s="2"/>
    </row>
    <row r="569" spans="1:10">
      <c r="A569" s="130">
        <v>841.61900000000742</v>
      </c>
      <c r="B569">
        <v>0</v>
      </c>
      <c r="C569" s="222">
        <v>47</v>
      </c>
      <c r="I569" s="2"/>
      <c r="J569" s="2"/>
    </row>
    <row r="570" spans="1:10">
      <c r="A570" s="130">
        <v>841.61900000000742</v>
      </c>
      <c r="B570">
        <v>0</v>
      </c>
      <c r="C570" s="222">
        <v>47.1</v>
      </c>
      <c r="I570" s="2"/>
      <c r="J570" s="2"/>
    </row>
    <row r="571" spans="1:10">
      <c r="A571" s="130">
        <v>841.41900000000737</v>
      </c>
      <c r="B571">
        <v>0</v>
      </c>
      <c r="C571" s="222">
        <v>47.2</v>
      </c>
      <c r="I571" s="2"/>
      <c r="J571" s="2"/>
    </row>
    <row r="572" spans="1:10">
      <c r="A572" s="130">
        <v>841.41900000000737</v>
      </c>
      <c r="B572" t="s">
        <v>459</v>
      </c>
      <c r="C572" s="222">
        <v>47.300000000000004</v>
      </c>
      <c r="I572" s="2"/>
      <c r="J572" s="2"/>
    </row>
    <row r="573" spans="1:10">
      <c r="A573" s="130">
        <v>841.41900000000737</v>
      </c>
      <c r="B573" t="s">
        <v>459</v>
      </c>
      <c r="C573" s="222">
        <v>47.400000000000006</v>
      </c>
      <c r="I573" s="2"/>
      <c r="J573" s="2"/>
    </row>
    <row r="574" spans="1:10">
      <c r="A574" s="130">
        <v>841.41900000000737</v>
      </c>
      <c r="B574" t="s">
        <v>459</v>
      </c>
      <c r="C574" s="222">
        <v>47.5</v>
      </c>
      <c r="I574" s="2"/>
      <c r="J574" s="2"/>
    </row>
    <row r="575" spans="1:10">
      <c r="A575" s="130">
        <v>841.21900000000733</v>
      </c>
      <c r="B575" t="s">
        <v>459</v>
      </c>
      <c r="C575" s="222">
        <v>47.6</v>
      </c>
      <c r="I575" s="2"/>
      <c r="J575" s="2"/>
    </row>
    <row r="576" spans="1:10">
      <c r="A576" s="130">
        <v>841.21900000000733</v>
      </c>
      <c r="B576" t="s">
        <v>459</v>
      </c>
      <c r="C576" s="222">
        <v>47.7</v>
      </c>
      <c r="I576" s="2"/>
      <c r="J576" s="2"/>
    </row>
    <row r="577" spans="1:10">
      <c r="A577" s="130">
        <v>841.21900000000733</v>
      </c>
      <c r="B577" t="s">
        <v>459</v>
      </c>
      <c r="C577" s="222">
        <v>47.800000000000004</v>
      </c>
      <c r="I577" s="2"/>
      <c r="J577" s="2"/>
    </row>
    <row r="578" spans="1:10">
      <c r="A578" s="130">
        <v>841.21900000000733</v>
      </c>
      <c r="B578" t="s">
        <v>459</v>
      </c>
      <c r="C578" s="222">
        <v>47.900000000000006</v>
      </c>
      <c r="I578" s="2"/>
      <c r="J578" s="2"/>
    </row>
    <row r="579" spans="1:10">
      <c r="A579" s="130">
        <v>841.21900000000733</v>
      </c>
      <c r="B579" t="s">
        <v>459</v>
      </c>
      <c r="C579" s="222">
        <v>48</v>
      </c>
      <c r="I579" s="2"/>
      <c r="J579" s="2"/>
    </row>
    <row r="580" spans="1:10">
      <c r="A580" s="130">
        <v>841.41900000000737</v>
      </c>
      <c r="B580" t="s">
        <v>459</v>
      </c>
      <c r="C580" s="222">
        <v>48.1</v>
      </c>
      <c r="I580" s="2"/>
      <c r="J580" s="2"/>
    </row>
    <row r="581" spans="1:10">
      <c r="A581" s="130">
        <v>841.41900000000737</v>
      </c>
      <c r="B581" t="s">
        <v>459</v>
      </c>
      <c r="C581" s="222">
        <v>48.2</v>
      </c>
      <c r="I581" s="2"/>
      <c r="J581" s="2"/>
    </row>
    <row r="582" spans="1:10">
      <c r="A582" s="130">
        <v>841.61900000000742</v>
      </c>
      <c r="B582" t="s">
        <v>459</v>
      </c>
      <c r="C582" s="222">
        <v>48.300000000000004</v>
      </c>
      <c r="I582" s="2"/>
      <c r="J582" s="2"/>
    </row>
    <row r="583" spans="1:10">
      <c r="A583" s="130">
        <v>841.61900000000742</v>
      </c>
      <c r="B583" t="s">
        <v>459</v>
      </c>
      <c r="C583" s="222">
        <v>48.400000000000006</v>
      </c>
      <c r="I583" s="2"/>
      <c r="J583" s="2"/>
    </row>
    <row r="584" spans="1:10">
      <c r="A584" s="130">
        <v>841.81900000000746</v>
      </c>
      <c r="B584" t="s">
        <v>459</v>
      </c>
      <c r="C584" s="222">
        <v>48.5</v>
      </c>
      <c r="I584" s="2"/>
      <c r="J584" s="2"/>
    </row>
    <row r="585" spans="1:10">
      <c r="A585" s="130">
        <v>842.21900000000755</v>
      </c>
      <c r="B585" t="s">
        <v>459</v>
      </c>
      <c r="C585" s="222">
        <v>48.6</v>
      </c>
      <c r="I585" s="2"/>
      <c r="J585" s="2"/>
    </row>
    <row r="586" spans="1:10">
      <c r="A586" s="130" t="s">
        <v>459</v>
      </c>
      <c r="B586" t="s">
        <v>459</v>
      </c>
      <c r="C586" s="222">
        <v>48.7</v>
      </c>
      <c r="I586" s="2"/>
      <c r="J586" s="2"/>
    </row>
    <row r="587" spans="1:10">
      <c r="A587" s="130" t="s">
        <v>459</v>
      </c>
      <c r="B587" t="s">
        <v>459</v>
      </c>
      <c r="C587" s="222">
        <v>48.800000000000004</v>
      </c>
      <c r="I587" s="2"/>
      <c r="J587" s="2"/>
    </row>
    <row r="588" spans="1:10">
      <c r="A588" s="130" t="s">
        <v>459</v>
      </c>
      <c r="B588" t="s">
        <v>459</v>
      </c>
      <c r="C588" s="222">
        <v>48.900000000000006</v>
      </c>
      <c r="I588" s="2"/>
      <c r="J588" s="2"/>
    </row>
    <row r="589" spans="1:10">
      <c r="A589" s="130" t="s">
        <v>459</v>
      </c>
      <c r="B589" t="s">
        <v>459</v>
      </c>
      <c r="C589" s="222">
        <v>49</v>
      </c>
      <c r="I589" s="2"/>
      <c r="J589" s="2"/>
    </row>
    <row r="590" spans="1:10">
      <c r="A590" s="130" t="s">
        <v>459</v>
      </c>
      <c r="B590" t="s">
        <v>459</v>
      </c>
      <c r="C590" s="222">
        <v>49.1</v>
      </c>
      <c r="I590" s="2"/>
      <c r="J590" s="2"/>
    </row>
    <row r="591" spans="1:10">
      <c r="A591" s="130" t="s">
        <v>459</v>
      </c>
      <c r="B591" t="s">
        <v>459</v>
      </c>
      <c r="C591" s="222">
        <v>49.2</v>
      </c>
      <c r="I591" s="2"/>
      <c r="J591" s="2"/>
    </row>
    <row r="592" spans="1:10">
      <c r="A592" s="130" t="s">
        <v>459</v>
      </c>
      <c r="B592" t="s">
        <v>459</v>
      </c>
      <c r="C592" s="222">
        <v>49.300000000000004</v>
      </c>
      <c r="I592" s="2"/>
      <c r="J592" s="2"/>
    </row>
    <row r="593" spans="1:10">
      <c r="A593" s="130" t="s">
        <v>459</v>
      </c>
      <c r="B593" t="s">
        <v>459</v>
      </c>
      <c r="C593" s="222">
        <v>49.400000000000006</v>
      </c>
      <c r="I593" s="2"/>
      <c r="J593" s="2"/>
    </row>
    <row r="594" spans="1:10">
      <c r="A594" s="130" t="s">
        <v>459</v>
      </c>
      <c r="B594" t="s">
        <v>459</v>
      </c>
      <c r="C594" s="222">
        <v>49.5</v>
      </c>
      <c r="I594" s="2"/>
      <c r="J594" s="2"/>
    </row>
    <row r="595" spans="1:10">
      <c r="A595" s="130" t="s">
        <v>459</v>
      </c>
      <c r="B595" t="s">
        <v>459</v>
      </c>
      <c r="C595" s="222">
        <v>49.6</v>
      </c>
      <c r="I595" s="2"/>
      <c r="J595" s="2"/>
    </row>
    <row r="596" spans="1:10">
      <c r="A596" s="130" t="s">
        <v>459</v>
      </c>
      <c r="B596" t="s">
        <v>459</v>
      </c>
      <c r="C596" s="222">
        <v>49.7</v>
      </c>
      <c r="I596" s="2"/>
      <c r="J596" s="2"/>
    </row>
    <row r="597" spans="1:10">
      <c r="A597" s="130" t="s">
        <v>459</v>
      </c>
      <c r="B597" t="s">
        <v>459</v>
      </c>
      <c r="C597" s="222">
        <v>49.800000000000004</v>
      </c>
      <c r="I597" s="2"/>
      <c r="J597" s="2"/>
    </row>
    <row r="598" spans="1:10">
      <c r="A598" s="130" t="s">
        <v>459</v>
      </c>
      <c r="B598" t="s">
        <v>459</v>
      </c>
      <c r="C598" s="222">
        <v>49.900000000000006</v>
      </c>
      <c r="I598" s="2"/>
      <c r="J598" s="2"/>
    </row>
    <row r="599" spans="1:10">
      <c r="A599" s="130" t="s">
        <v>459</v>
      </c>
      <c r="B599" t="s">
        <v>459</v>
      </c>
      <c r="C599" s="222">
        <v>50</v>
      </c>
      <c r="I599" s="2"/>
      <c r="J599" s="2"/>
    </row>
    <row r="600" spans="1:10">
      <c r="A600" s="130" t="s">
        <v>459</v>
      </c>
      <c r="B600" t="s">
        <v>459</v>
      </c>
      <c r="C600" s="222">
        <v>50.1</v>
      </c>
      <c r="I600" s="2"/>
      <c r="J600" s="2"/>
    </row>
    <row r="601" spans="1:10">
      <c r="A601" s="130" t="s">
        <v>459</v>
      </c>
      <c r="B601" t="s">
        <v>459</v>
      </c>
      <c r="C601" s="222">
        <v>50.2</v>
      </c>
      <c r="I601" s="2"/>
      <c r="J601" s="2"/>
    </row>
    <row r="602" spans="1:10">
      <c r="A602" s="130" t="s">
        <v>459</v>
      </c>
      <c r="B602" t="s">
        <v>459</v>
      </c>
      <c r="C602" s="222">
        <v>50.300000000000004</v>
      </c>
      <c r="I602" s="2"/>
      <c r="J602" s="2"/>
    </row>
    <row r="603" spans="1:10">
      <c r="A603" s="130" t="s">
        <v>459</v>
      </c>
      <c r="B603" t="s">
        <v>459</v>
      </c>
      <c r="C603" s="222">
        <v>50.400000000000006</v>
      </c>
      <c r="I603" s="2"/>
      <c r="J603" s="2"/>
    </row>
    <row r="604" spans="1:10">
      <c r="A604" s="130" t="s">
        <v>459</v>
      </c>
      <c r="B604" t="s">
        <v>459</v>
      </c>
      <c r="C604" s="222">
        <v>50.5</v>
      </c>
      <c r="I604" s="2"/>
      <c r="J604" s="2"/>
    </row>
    <row r="605" spans="1:10">
      <c r="A605" s="130" t="s">
        <v>459</v>
      </c>
      <c r="B605" t="s">
        <v>459</v>
      </c>
      <c r="C605" s="222">
        <v>50.6</v>
      </c>
      <c r="I605" s="2"/>
      <c r="J605" s="2"/>
    </row>
    <row r="606" spans="1:10">
      <c r="A606" s="130" t="s">
        <v>459</v>
      </c>
      <c r="B606" t="s">
        <v>459</v>
      </c>
      <c r="C606" s="222">
        <v>50.7</v>
      </c>
      <c r="I606" s="2"/>
      <c r="J606" s="2"/>
    </row>
    <row r="607" spans="1:10">
      <c r="A607" s="130" t="s">
        <v>459</v>
      </c>
      <c r="B607" t="s">
        <v>459</v>
      </c>
      <c r="C607" s="222">
        <v>50.800000000000004</v>
      </c>
      <c r="I607" s="2"/>
      <c r="J607" s="2"/>
    </row>
    <row r="608" spans="1:10">
      <c r="A608" s="130" t="s">
        <v>459</v>
      </c>
      <c r="B608" t="s">
        <v>459</v>
      </c>
      <c r="C608" s="222">
        <v>50.900000000000006</v>
      </c>
      <c r="I608" s="2"/>
      <c r="J608" s="2"/>
    </row>
    <row r="609" spans="1:10">
      <c r="A609" s="130" t="s">
        <v>459</v>
      </c>
      <c r="B609" t="s">
        <v>459</v>
      </c>
      <c r="C609" s="222">
        <v>51</v>
      </c>
      <c r="I609" s="2"/>
      <c r="J609" s="2"/>
    </row>
    <row r="610" spans="1:10">
      <c r="A610" s="130" t="s">
        <v>459</v>
      </c>
      <c r="B610" t="s">
        <v>459</v>
      </c>
      <c r="C610" s="222">
        <v>51.1</v>
      </c>
      <c r="I610" s="2"/>
      <c r="J610" s="2"/>
    </row>
    <row r="611" spans="1:10">
      <c r="A611" s="130" t="s">
        <v>459</v>
      </c>
      <c r="B611" t="s">
        <v>459</v>
      </c>
      <c r="C611" s="222">
        <v>51.2</v>
      </c>
      <c r="I611" s="2"/>
      <c r="J611" s="2"/>
    </row>
    <row r="612" spans="1:10">
      <c r="A612" s="130" t="s">
        <v>459</v>
      </c>
      <c r="B612" t="s">
        <v>459</v>
      </c>
      <c r="C612" s="222">
        <v>51.300000000000004</v>
      </c>
      <c r="I612" s="2"/>
      <c r="J612" s="2"/>
    </row>
    <row r="613" spans="1:10">
      <c r="A613" s="130">
        <v>842.81900000000769</v>
      </c>
      <c r="B613" t="s">
        <v>459</v>
      </c>
      <c r="C613" s="222">
        <v>51.400000000000006</v>
      </c>
      <c r="I613" s="2"/>
      <c r="J613" s="2"/>
    </row>
    <row r="614" spans="1:10">
      <c r="A614" s="130">
        <v>842.4190000000076</v>
      </c>
      <c r="B614" t="s">
        <v>459</v>
      </c>
      <c r="C614" s="222">
        <v>51.5</v>
      </c>
      <c r="I614" s="2"/>
      <c r="J614" s="2"/>
    </row>
    <row r="615" spans="1:10">
      <c r="A615" s="130">
        <v>842.01900000000751</v>
      </c>
      <c r="B615" t="s">
        <v>459</v>
      </c>
      <c r="C615" s="222">
        <v>51.6</v>
      </c>
      <c r="I615" s="2"/>
      <c r="J615" s="2"/>
    </row>
    <row r="616" spans="1:10">
      <c r="A616" s="130">
        <v>841.81900000000746</v>
      </c>
      <c r="B616" t="s">
        <v>459</v>
      </c>
      <c r="C616" s="222">
        <v>51.7</v>
      </c>
      <c r="I616" s="2"/>
      <c r="J616" s="2"/>
    </row>
    <row r="617" spans="1:10">
      <c r="A617" s="130">
        <v>841.61900000000742</v>
      </c>
      <c r="B617" t="s">
        <v>459</v>
      </c>
      <c r="C617" s="222">
        <v>51.800000000000004</v>
      </c>
      <c r="I617" s="2"/>
      <c r="J617" s="2"/>
    </row>
    <row r="618" spans="1:10">
      <c r="A618" s="130">
        <v>841.61900000000742</v>
      </c>
      <c r="B618" t="s">
        <v>459</v>
      </c>
      <c r="C618" s="222">
        <v>51.900000000000006</v>
      </c>
      <c r="I618" s="2"/>
      <c r="J618" s="2"/>
    </row>
    <row r="619" spans="1:10">
      <c r="A619" s="130">
        <v>841.41900000000737</v>
      </c>
      <c r="B619" t="s">
        <v>459</v>
      </c>
      <c r="C619" s="222">
        <v>52</v>
      </c>
      <c r="I619" s="2"/>
      <c r="J619" s="2"/>
    </row>
    <row r="620" spans="1:10">
      <c r="A620" s="130">
        <v>841.21900000000733</v>
      </c>
      <c r="B620" t="s">
        <v>459</v>
      </c>
      <c r="C620" s="222">
        <v>52.1</v>
      </c>
      <c r="I620" s="2"/>
      <c r="J620" s="2"/>
    </row>
    <row r="621" spans="1:10">
      <c r="A621" s="130">
        <v>841.21900000000733</v>
      </c>
      <c r="B621" t="s">
        <v>459</v>
      </c>
      <c r="C621" s="222">
        <v>52.2</v>
      </c>
      <c r="I621" s="2"/>
      <c r="J621" s="2"/>
    </row>
    <row r="622" spans="1:10">
      <c r="A622" s="130">
        <v>841.01900000000728</v>
      </c>
      <c r="B622" t="s">
        <v>459</v>
      </c>
      <c r="C622" s="222">
        <v>52.300000000000004</v>
      </c>
      <c r="I622" s="2"/>
      <c r="J622" s="2"/>
    </row>
    <row r="623" spans="1:10">
      <c r="A623" s="130">
        <v>841.01900000000728</v>
      </c>
      <c r="B623" t="s">
        <v>459</v>
      </c>
      <c r="C623" s="222">
        <v>52.400000000000006</v>
      </c>
      <c r="I623" s="2"/>
      <c r="J623" s="2"/>
    </row>
    <row r="624" spans="1:10">
      <c r="A624" s="130">
        <v>840.81900000000724</v>
      </c>
      <c r="B624" t="s">
        <v>459</v>
      </c>
      <c r="C624" s="222">
        <v>52.5</v>
      </c>
      <c r="I624" s="2"/>
      <c r="J624" s="2"/>
    </row>
    <row r="625" spans="1:10">
      <c r="A625" s="130">
        <v>840.81900000000724</v>
      </c>
      <c r="B625" t="s">
        <v>459</v>
      </c>
      <c r="C625" s="222">
        <v>52.6</v>
      </c>
      <c r="I625" s="2"/>
      <c r="J625" s="2"/>
    </row>
    <row r="626" spans="1:10">
      <c r="A626" s="130">
        <v>840.81900000000724</v>
      </c>
      <c r="B626" t="s">
        <v>459</v>
      </c>
      <c r="C626" s="222">
        <v>52.7</v>
      </c>
      <c r="I626" s="2"/>
      <c r="J626" s="2"/>
    </row>
    <row r="627" spans="1:10">
      <c r="A627" s="130">
        <v>840.61900000000719</v>
      </c>
      <c r="B627" t="s">
        <v>459</v>
      </c>
      <c r="C627" s="222">
        <v>52.800000000000004</v>
      </c>
      <c r="I627" s="2"/>
      <c r="J627" s="2"/>
    </row>
    <row r="628" spans="1:10">
      <c r="A628" s="130">
        <v>840.61900000000719</v>
      </c>
      <c r="B628" t="s">
        <v>459</v>
      </c>
      <c r="C628" s="222">
        <v>52.900000000000006</v>
      </c>
      <c r="I628" s="2"/>
      <c r="J628" s="2"/>
    </row>
    <row r="629" spans="1:10">
      <c r="A629" s="130">
        <v>840.41900000000714</v>
      </c>
      <c r="B629" t="s">
        <v>459</v>
      </c>
      <c r="C629" s="222">
        <v>53</v>
      </c>
      <c r="I629" s="2"/>
      <c r="J629" s="2"/>
    </row>
    <row r="630" spans="1:10">
      <c r="A630" s="130">
        <v>840.41900000000714</v>
      </c>
      <c r="B630" t="s">
        <v>459</v>
      </c>
      <c r="C630" s="222">
        <v>53.1</v>
      </c>
      <c r="I630" s="2"/>
      <c r="J630" s="2"/>
    </row>
    <row r="631" spans="1:10">
      <c r="A631" s="130">
        <v>840.41900000000714</v>
      </c>
      <c r="B631" t="s">
        <v>459</v>
      </c>
      <c r="C631" s="222">
        <v>53.2</v>
      </c>
      <c r="I631" s="2"/>
      <c r="J631" s="2"/>
    </row>
    <row r="632" spans="1:10">
      <c r="A632" s="130">
        <v>840.2190000000071</v>
      </c>
      <c r="B632" t="s">
        <v>459</v>
      </c>
      <c r="C632" s="222">
        <v>53.300000000000004</v>
      </c>
      <c r="I632" s="2"/>
      <c r="J632" s="2"/>
    </row>
    <row r="633" spans="1:10">
      <c r="A633" s="130">
        <v>840.2190000000071</v>
      </c>
      <c r="B633" t="s">
        <v>459</v>
      </c>
      <c r="C633" s="222">
        <v>53.400000000000006</v>
      </c>
      <c r="I633" s="2"/>
      <c r="J633" s="2"/>
    </row>
    <row r="634" spans="1:10">
      <c r="A634" s="130">
        <v>840.2190000000071</v>
      </c>
      <c r="B634" t="s">
        <v>459</v>
      </c>
      <c r="C634" s="222">
        <v>53.5</v>
      </c>
      <c r="I634" s="2"/>
      <c r="J634" s="2"/>
    </row>
    <row r="635" spans="1:10">
      <c r="A635" s="130">
        <v>840.2190000000071</v>
      </c>
      <c r="B635" t="s">
        <v>459</v>
      </c>
      <c r="C635" s="222">
        <v>53.6</v>
      </c>
      <c r="I635" s="2"/>
      <c r="J635" s="2"/>
    </row>
    <row r="636" spans="1:10">
      <c r="A636" s="130">
        <v>840.2190000000071</v>
      </c>
      <c r="B636" t="s">
        <v>459</v>
      </c>
      <c r="C636" s="222">
        <v>53.7</v>
      </c>
      <c r="I636" s="2"/>
      <c r="J636" s="2"/>
    </row>
    <row r="637" spans="1:10">
      <c r="A637" s="130">
        <v>840.2190000000071</v>
      </c>
      <c r="B637" t="s">
        <v>459</v>
      </c>
      <c r="C637" s="222">
        <v>53.800000000000004</v>
      </c>
      <c r="I637" s="2"/>
      <c r="J637" s="2"/>
    </row>
    <row r="638" spans="1:10">
      <c r="A638" s="130">
        <v>840.2190000000071</v>
      </c>
      <c r="B638" t="s">
        <v>459</v>
      </c>
      <c r="C638" s="222">
        <v>53.900000000000006</v>
      </c>
      <c r="I638" s="2"/>
      <c r="J638" s="2"/>
    </row>
    <row r="639" spans="1:10">
      <c r="A639" s="130">
        <v>840.2190000000071</v>
      </c>
      <c r="B639" t="s">
        <v>459</v>
      </c>
      <c r="C639" s="222">
        <v>54</v>
      </c>
      <c r="I639" s="2"/>
      <c r="J639" s="2"/>
    </row>
    <row r="640" spans="1:10">
      <c r="A640" s="130">
        <v>840.41900000000714</v>
      </c>
      <c r="B640" t="s">
        <v>459</v>
      </c>
      <c r="C640" s="222">
        <v>54.1</v>
      </c>
      <c r="I640" s="2"/>
      <c r="J640" s="2"/>
    </row>
    <row r="641" spans="1:10">
      <c r="A641" s="130">
        <v>840.41900000000714</v>
      </c>
      <c r="B641" t="s">
        <v>459</v>
      </c>
      <c r="C641" s="222">
        <v>54.2</v>
      </c>
      <c r="I641" s="2"/>
      <c r="J641" s="2"/>
    </row>
    <row r="642" spans="1:10">
      <c r="A642" s="130">
        <v>840.41900000000714</v>
      </c>
      <c r="B642" t="s">
        <v>459</v>
      </c>
      <c r="C642" s="222">
        <v>54.300000000000004</v>
      </c>
      <c r="I642" s="2"/>
      <c r="J642" s="2"/>
    </row>
    <row r="643" spans="1:10">
      <c r="A643" s="130">
        <v>840.41900000000714</v>
      </c>
      <c r="B643" t="s">
        <v>459</v>
      </c>
      <c r="C643" s="222">
        <v>54.400000000000006</v>
      </c>
      <c r="I643" s="2"/>
      <c r="J643" s="2"/>
    </row>
    <row r="644" spans="1:10">
      <c r="A644" s="130">
        <v>840.61900000000719</v>
      </c>
      <c r="B644" t="s">
        <v>459</v>
      </c>
      <c r="C644" s="222">
        <v>54.5</v>
      </c>
      <c r="I644" s="2"/>
      <c r="J644" s="2"/>
    </row>
    <row r="645" spans="1:10">
      <c r="A645" s="130">
        <v>840.61900000000719</v>
      </c>
      <c r="B645" t="s">
        <v>459</v>
      </c>
      <c r="C645" s="222">
        <v>54.6</v>
      </c>
      <c r="I645" s="2"/>
      <c r="J645" s="2"/>
    </row>
    <row r="646" spans="1:10">
      <c r="A646" s="130">
        <v>840.81900000000724</v>
      </c>
      <c r="B646" t="s">
        <v>459</v>
      </c>
      <c r="C646" s="222">
        <v>54.7</v>
      </c>
      <c r="I646" s="2"/>
      <c r="J646" s="2"/>
    </row>
    <row r="647" spans="1:10">
      <c r="A647" s="130">
        <v>840.81900000000724</v>
      </c>
      <c r="B647" t="s">
        <v>459</v>
      </c>
      <c r="C647" s="222">
        <v>54.800000000000004</v>
      </c>
      <c r="I647" s="2"/>
      <c r="J647" s="2"/>
    </row>
    <row r="648" spans="1:10">
      <c r="A648" s="130">
        <v>840.81900000000724</v>
      </c>
      <c r="B648" t="s">
        <v>459</v>
      </c>
      <c r="C648" s="222">
        <v>54.900000000000006</v>
      </c>
      <c r="I648" s="2"/>
      <c r="J648" s="2"/>
    </row>
    <row r="649" spans="1:10">
      <c r="A649" s="130">
        <v>841.01900000000728</v>
      </c>
      <c r="B649" t="s">
        <v>459</v>
      </c>
      <c r="C649" s="222">
        <v>55</v>
      </c>
      <c r="I649" s="2"/>
      <c r="J649" s="2"/>
    </row>
    <row r="650" spans="1:10">
      <c r="A650" s="130">
        <v>841.01900000000728</v>
      </c>
      <c r="B650" t="s">
        <v>459</v>
      </c>
      <c r="C650" s="222">
        <v>55.1</v>
      </c>
      <c r="I650" s="2"/>
      <c r="J650" s="2"/>
    </row>
    <row r="651" spans="1:10">
      <c r="A651" s="130">
        <v>841.01900000000728</v>
      </c>
      <c r="B651" t="s">
        <v>459</v>
      </c>
      <c r="C651" s="222">
        <v>55.2</v>
      </c>
      <c r="I651" s="2"/>
      <c r="J651" s="2"/>
    </row>
    <row r="652" spans="1:10">
      <c r="A652" s="130">
        <v>841.21900000000733</v>
      </c>
      <c r="B652" t="s">
        <v>459</v>
      </c>
      <c r="C652" s="222">
        <v>55.300000000000004</v>
      </c>
      <c r="I652" s="2"/>
      <c r="J652" s="2"/>
    </row>
    <row r="653" spans="1:10">
      <c r="A653" s="130">
        <v>841.21900000000733</v>
      </c>
      <c r="B653" t="s">
        <v>459</v>
      </c>
      <c r="C653" s="222">
        <v>55.400000000000006</v>
      </c>
      <c r="I653" s="2"/>
      <c r="J653" s="2"/>
    </row>
    <row r="654" spans="1:10">
      <c r="A654" s="130">
        <v>841.21900000000733</v>
      </c>
      <c r="B654" t="s">
        <v>459</v>
      </c>
      <c r="C654" s="222">
        <v>55.5</v>
      </c>
      <c r="I654" s="2"/>
      <c r="J654" s="2"/>
    </row>
    <row r="655" spans="1:10">
      <c r="A655" s="130">
        <v>841.41900000000737</v>
      </c>
      <c r="B655" t="s">
        <v>459</v>
      </c>
      <c r="C655" s="222">
        <v>55.6</v>
      </c>
      <c r="I655" s="2"/>
      <c r="J655" s="2"/>
    </row>
    <row r="656" spans="1:10">
      <c r="A656" s="130">
        <v>841.41900000000737</v>
      </c>
      <c r="B656" t="s">
        <v>459</v>
      </c>
      <c r="C656" s="222">
        <v>55.7</v>
      </c>
      <c r="I656" s="2"/>
      <c r="J656" s="2"/>
    </row>
    <row r="657" spans="1:10">
      <c r="A657" s="130">
        <v>841.41900000000737</v>
      </c>
      <c r="B657" t="s">
        <v>459</v>
      </c>
      <c r="C657" s="222">
        <v>55.800000000000004</v>
      </c>
      <c r="I657" s="2"/>
      <c r="J657" s="2"/>
    </row>
    <row r="658" spans="1:10">
      <c r="A658" s="130">
        <v>841.41900000000737</v>
      </c>
      <c r="B658" t="s">
        <v>459</v>
      </c>
      <c r="C658" s="222">
        <v>55.900000000000006</v>
      </c>
      <c r="I658" s="2"/>
      <c r="J658" s="2"/>
    </row>
    <row r="659" spans="1:10">
      <c r="A659" s="130">
        <v>841.41900000000737</v>
      </c>
      <c r="B659" t="s">
        <v>459</v>
      </c>
      <c r="C659" s="222">
        <v>56</v>
      </c>
      <c r="I659" s="2"/>
      <c r="J659" s="2"/>
    </row>
    <row r="660" spans="1:10">
      <c r="A660" s="130">
        <v>841.41900000000737</v>
      </c>
      <c r="B660" t="s">
        <v>459</v>
      </c>
      <c r="C660" s="222">
        <v>56.100000000000009</v>
      </c>
      <c r="I660" s="2"/>
      <c r="J660" s="2"/>
    </row>
    <row r="661" spans="1:10">
      <c r="A661" s="130">
        <v>841.41900000000737</v>
      </c>
      <c r="B661" t="s">
        <v>459</v>
      </c>
      <c r="C661" s="222">
        <v>56.2</v>
      </c>
      <c r="I661" s="2"/>
      <c r="J661" s="2"/>
    </row>
    <row r="662" spans="1:10">
      <c r="A662" s="130">
        <v>841.41900000000737</v>
      </c>
      <c r="B662" t="s">
        <v>459</v>
      </c>
      <c r="C662" s="222">
        <v>56.3</v>
      </c>
      <c r="I662" s="2"/>
      <c r="J662" s="2"/>
    </row>
    <row r="663" spans="1:10">
      <c r="A663" s="130">
        <v>841.41900000000737</v>
      </c>
      <c r="B663" t="s">
        <v>459</v>
      </c>
      <c r="C663" s="222">
        <v>56.400000000000006</v>
      </c>
      <c r="I663" s="2"/>
      <c r="J663" s="2"/>
    </row>
    <row r="664" spans="1:10">
      <c r="A664" s="130">
        <v>841.41900000000737</v>
      </c>
      <c r="B664" t="s">
        <v>459</v>
      </c>
      <c r="C664" s="222">
        <v>56.5</v>
      </c>
      <c r="I664" s="2"/>
      <c r="J664" s="2"/>
    </row>
    <row r="665" spans="1:10">
      <c r="A665" s="130">
        <v>841.41900000000737</v>
      </c>
      <c r="B665" t="s">
        <v>459</v>
      </c>
      <c r="C665" s="222">
        <v>56.600000000000009</v>
      </c>
      <c r="I665" s="2"/>
      <c r="J665" s="2"/>
    </row>
    <row r="666" spans="1:10">
      <c r="A666" s="130">
        <v>841.21900000000733</v>
      </c>
      <c r="B666" t="s">
        <v>459</v>
      </c>
      <c r="C666" s="222">
        <v>56.7</v>
      </c>
      <c r="I666" s="2"/>
      <c r="J666" s="2"/>
    </row>
    <row r="667" spans="1:10">
      <c r="A667" s="130">
        <v>841.21900000000733</v>
      </c>
      <c r="B667" t="s">
        <v>459</v>
      </c>
      <c r="C667" s="222">
        <v>56.8</v>
      </c>
      <c r="I667" s="2"/>
      <c r="J667" s="2"/>
    </row>
    <row r="668" spans="1:10">
      <c r="A668" s="130">
        <v>841.21900000000733</v>
      </c>
      <c r="B668" t="s">
        <v>459</v>
      </c>
      <c r="C668" s="222">
        <v>56.900000000000006</v>
      </c>
      <c r="I668" s="2"/>
      <c r="J668" s="2"/>
    </row>
    <row r="669" spans="1:10">
      <c r="A669" s="130">
        <v>841.01900000000728</v>
      </c>
      <c r="B669" t="s">
        <v>459</v>
      </c>
      <c r="C669" s="222">
        <v>57</v>
      </c>
      <c r="I669" s="2"/>
      <c r="J669" s="2"/>
    </row>
    <row r="670" spans="1:10">
      <c r="A670" s="130">
        <v>841.01900000000728</v>
      </c>
      <c r="B670" t="s">
        <v>459</v>
      </c>
      <c r="C670" s="222">
        <v>57.100000000000009</v>
      </c>
      <c r="I670" s="2"/>
      <c r="J670" s="2"/>
    </row>
    <row r="671" spans="1:10">
      <c r="A671" s="130">
        <v>840.81900000000724</v>
      </c>
      <c r="B671" t="s">
        <v>459</v>
      </c>
      <c r="C671" s="222">
        <v>57.2</v>
      </c>
      <c r="I671" s="2"/>
      <c r="J671" s="2"/>
    </row>
    <row r="672" spans="1:10">
      <c r="A672" s="130">
        <v>840.81900000000724</v>
      </c>
      <c r="B672" t="s">
        <v>459</v>
      </c>
      <c r="C672" s="222">
        <v>57.3</v>
      </c>
      <c r="I672" s="2"/>
      <c r="J672" s="2"/>
    </row>
    <row r="673" spans="1:10">
      <c r="A673" s="130">
        <v>840.81900000000724</v>
      </c>
      <c r="B673" t="s">
        <v>459</v>
      </c>
      <c r="C673" s="222">
        <v>57.400000000000006</v>
      </c>
      <c r="I673" s="2"/>
      <c r="J673" s="2"/>
    </row>
    <row r="674" spans="1:10">
      <c r="A674" s="130">
        <v>840.61900000000719</v>
      </c>
      <c r="B674" t="s">
        <v>459</v>
      </c>
      <c r="C674" s="222">
        <v>57.5</v>
      </c>
      <c r="I674" s="2"/>
      <c r="J674" s="2"/>
    </row>
    <row r="675" spans="1:10">
      <c r="A675" s="130">
        <v>840.61900000000719</v>
      </c>
      <c r="B675" t="s">
        <v>459</v>
      </c>
      <c r="C675" s="222">
        <v>57.600000000000009</v>
      </c>
      <c r="I675" s="2"/>
      <c r="J675" s="2"/>
    </row>
    <row r="676" spans="1:10">
      <c r="A676" s="130">
        <v>840.41900000000714</v>
      </c>
      <c r="B676" t="s">
        <v>459</v>
      </c>
      <c r="C676" s="222">
        <v>57.7</v>
      </c>
      <c r="I676" s="2"/>
      <c r="J676" s="2"/>
    </row>
    <row r="677" spans="1:10">
      <c r="A677" s="130">
        <v>840.41900000000714</v>
      </c>
      <c r="B677" t="s">
        <v>459</v>
      </c>
      <c r="C677" s="222">
        <v>57.8</v>
      </c>
      <c r="I677" s="2"/>
      <c r="J677" s="2"/>
    </row>
    <row r="678" spans="1:10">
      <c r="A678" s="130">
        <v>840.2190000000071</v>
      </c>
      <c r="B678" t="s">
        <v>459</v>
      </c>
      <c r="C678" s="222">
        <v>57.900000000000006</v>
      </c>
      <c r="I678" s="2"/>
      <c r="J678" s="2"/>
    </row>
    <row r="679" spans="1:10">
      <c r="A679" s="130">
        <v>840.2190000000071</v>
      </c>
      <c r="B679" t="s">
        <v>459</v>
      </c>
      <c r="C679" s="222">
        <v>58</v>
      </c>
      <c r="I679" s="2"/>
      <c r="J679" s="2"/>
    </row>
    <row r="680" spans="1:10">
      <c r="A680" s="130">
        <v>840.01900000000705</v>
      </c>
      <c r="B680" t="s">
        <v>459</v>
      </c>
      <c r="C680" s="222">
        <v>58.100000000000009</v>
      </c>
      <c r="I680" s="2"/>
      <c r="J680" s="2"/>
    </row>
    <row r="681" spans="1:10">
      <c r="A681" s="130">
        <v>840.01900000000705</v>
      </c>
      <c r="B681" t="s">
        <v>459</v>
      </c>
      <c r="C681" s="222">
        <v>58.2</v>
      </c>
      <c r="I681" s="2"/>
      <c r="J681" s="2"/>
    </row>
    <row r="682" spans="1:10">
      <c r="A682" s="130">
        <v>839.81900000000701</v>
      </c>
      <c r="B682" t="s">
        <v>459</v>
      </c>
      <c r="C682" s="222">
        <v>58.3</v>
      </c>
      <c r="I682" s="2"/>
      <c r="J682" s="2"/>
    </row>
    <row r="683" spans="1:10">
      <c r="A683" s="130">
        <v>839.81900000000701</v>
      </c>
      <c r="B683" t="s">
        <v>459</v>
      </c>
      <c r="C683" s="222">
        <v>58.400000000000006</v>
      </c>
      <c r="I683" s="2"/>
      <c r="J683" s="2"/>
    </row>
    <row r="684" spans="1:10">
      <c r="A684" s="130">
        <v>839.81900000000701</v>
      </c>
      <c r="B684" t="s">
        <v>459</v>
      </c>
      <c r="C684" s="222">
        <v>58.5</v>
      </c>
      <c r="I684" s="2"/>
      <c r="J684" s="2"/>
    </row>
    <row r="685" spans="1:10">
      <c r="A685" s="130">
        <v>839.61900000000696</v>
      </c>
      <c r="B685" t="s">
        <v>459</v>
      </c>
      <c r="C685" s="222">
        <v>58.600000000000009</v>
      </c>
      <c r="I685" s="2"/>
      <c r="J685" s="2"/>
    </row>
    <row r="686" spans="1:10">
      <c r="A686" s="130">
        <v>839.61900000000696</v>
      </c>
      <c r="B686" t="s">
        <v>459</v>
      </c>
      <c r="C686" s="222">
        <v>58.7</v>
      </c>
      <c r="I686" s="2"/>
      <c r="J686" s="2"/>
    </row>
    <row r="687" spans="1:10">
      <c r="A687" s="130">
        <v>839.61900000000696</v>
      </c>
      <c r="B687" t="s">
        <v>459</v>
      </c>
      <c r="C687" s="222">
        <v>58.8</v>
      </c>
      <c r="I687" s="2"/>
      <c r="J687" s="2"/>
    </row>
    <row r="688" spans="1:10">
      <c r="A688" s="130">
        <v>839.41900000000692</v>
      </c>
      <c r="B688" t="s">
        <v>459</v>
      </c>
      <c r="C688" s="222">
        <v>58.900000000000006</v>
      </c>
      <c r="I688" s="2"/>
      <c r="J688" s="2"/>
    </row>
    <row r="689" spans="1:10">
      <c r="A689" s="130">
        <v>839.41900000000692</v>
      </c>
      <c r="B689" t="s">
        <v>459</v>
      </c>
      <c r="C689" s="222">
        <v>59</v>
      </c>
      <c r="I689" s="2"/>
      <c r="J689" s="2"/>
    </row>
    <row r="690" spans="1:10">
      <c r="A690" s="130">
        <v>839.41900000000692</v>
      </c>
      <c r="B690" t="s">
        <v>459</v>
      </c>
      <c r="C690" s="222">
        <v>59.100000000000009</v>
      </c>
      <c r="I690" s="2"/>
      <c r="J690" s="2"/>
    </row>
    <row r="691" spans="1:10">
      <c r="A691" s="130">
        <v>839.41900000000692</v>
      </c>
      <c r="B691" t="s">
        <v>459</v>
      </c>
      <c r="C691" s="222">
        <v>59.2</v>
      </c>
      <c r="I691" s="2"/>
      <c r="J691" s="2"/>
    </row>
    <row r="692" spans="1:10">
      <c r="A692" s="130">
        <v>839.41900000000692</v>
      </c>
      <c r="B692" t="s">
        <v>459</v>
      </c>
      <c r="C692" s="222">
        <v>59.3</v>
      </c>
      <c r="I692" s="2"/>
      <c r="J692" s="2"/>
    </row>
    <row r="693" spans="1:10">
      <c r="A693" s="130">
        <v>839.41900000000692</v>
      </c>
      <c r="B693" t="s">
        <v>459</v>
      </c>
      <c r="C693" s="222">
        <v>59.400000000000006</v>
      </c>
      <c r="I693" s="2"/>
      <c r="J693" s="2"/>
    </row>
    <row r="694" spans="1:10">
      <c r="A694" s="130">
        <v>839.41900000000692</v>
      </c>
      <c r="B694" t="s">
        <v>459</v>
      </c>
      <c r="C694" s="222">
        <v>59.5</v>
      </c>
      <c r="I694" s="2"/>
      <c r="J694" s="2"/>
    </row>
    <row r="695" spans="1:10">
      <c r="A695" s="130">
        <v>839.41900000000692</v>
      </c>
      <c r="B695" t="s">
        <v>459</v>
      </c>
      <c r="C695" s="222">
        <v>59.600000000000009</v>
      </c>
      <c r="I695" s="2"/>
      <c r="J695" s="2"/>
    </row>
    <row r="696" spans="1:10">
      <c r="A696" s="130">
        <v>839.41900000000692</v>
      </c>
      <c r="B696" t="s">
        <v>459</v>
      </c>
      <c r="C696" s="222">
        <v>59.7</v>
      </c>
      <c r="I696" s="2"/>
      <c r="J696" s="2"/>
    </row>
    <row r="697" spans="1:10">
      <c r="A697" s="130">
        <v>839.41900000000692</v>
      </c>
      <c r="B697" t="s">
        <v>459</v>
      </c>
      <c r="C697" s="222">
        <v>59.8</v>
      </c>
      <c r="I697" s="2"/>
      <c r="J697" s="2"/>
    </row>
    <row r="698" spans="1:10">
      <c r="A698" s="130">
        <v>839.41900000000692</v>
      </c>
      <c r="B698" t="s">
        <v>459</v>
      </c>
      <c r="C698" s="222">
        <v>59.900000000000006</v>
      </c>
      <c r="I698" s="2"/>
      <c r="J698" s="2"/>
    </row>
    <row r="699" spans="1:10">
      <c r="A699" s="130">
        <v>839.41900000000692</v>
      </c>
      <c r="B699" t="s">
        <v>459</v>
      </c>
      <c r="C699" s="222">
        <v>60</v>
      </c>
      <c r="I699" s="2"/>
      <c r="J699" s="2"/>
    </row>
    <row r="700" spans="1:10">
      <c r="A700" s="130">
        <v>839.41900000000692</v>
      </c>
      <c r="B700" t="s">
        <v>459</v>
      </c>
      <c r="C700" s="222">
        <v>60.100000000000009</v>
      </c>
      <c r="I700" s="2"/>
      <c r="J700" s="2"/>
    </row>
    <row r="701" spans="1:10">
      <c r="A701" s="130">
        <v>839.61900000000696</v>
      </c>
      <c r="B701" t="s">
        <v>459</v>
      </c>
      <c r="C701" s="222">
        <v>60.2</v>
      </c>
      <c r="I701" s="2"/>
      <c r="J701" s="2"/>
    </row>
    <row r="702" spans="1:10">
      <c r="A702" s="130">
        <v>839.61900000000696</v>
      </c>
      <c r="B702" t="s">
        <v>459</v>
      </c>
      <c r="C702" s="222">
        <v>60.3</v>
      </c>
      <c r="I702" s="2"/>
      <c r="J702" s="2"/>
    </row>
    <row r="703" spans="1:10">
      <c r="A703" s="130">
        <v>839.61900000000696</v>
      </c>
      <c r="B703" t="s">
        <v>459</v>
      </c>
      <c r="C703" s="222">
        <v>60.400000000000006</v>
      </c>
      <c r="I703" s="2"/>
      <c r="J703" s="2"/>
    </row>
    <row r="704" spans="1:10">
      <c r="A704" s="130">
        <v>839.61900000000696</v>
      </c>
      <c r="B704" t="s">
        <v>459</v>
      </c>
      <c r="C704" s="222">
        <v>60.5</v>
      </c>
      <c r="I704" s="2"/>
      <c r="J704" s="2"/>
    </row>
    <row r="705" spans="1:10">
      <c r="A705" s="130">
        <v>839.81900000000701</v>
      </c>
      <c r="B705" t="s">
        <v>459</v>
      </c>
      <c r="C705" s="222">
        <v>60.600000000000009</v>
      </c>
      <c r="I705" s="2"/>
      <c r="J705" s="2"/>
    </row>
    <row r="706" spans="1:10">
      <c r="A706" s="130">
        <v>839.81900000000701</v>
      </c>
      <c r="B706" t="s">
        <v>459</v>
      </c>
      <c r="C706" s="222">
        <v>60.7</v>
      </c>
      <c r="I706" s="2"/>
      <c r="J706" s="2"/>
    </row>
    <row r="707" spans="1:10">
      <c r="A707" s="130">
        <v>839.81900000000701</v>
      </c>
      <c r="B707" t="s">
        <v>459</v>
      </c>
      <c r="C707" s="222">
        <v>60.8</v>
      </c>
      <c r="I707" s="2"/>
      <c r="J707" s="2"/>
    </row>
    <row r="708" spans="1:10">
      <c r="A708" s="130">
        <v>840.01900000000705</v>
      </c>
      <c r="B708" t="s">
        <v>459</v>
      </c>
      <c r="C708" s="222">
        <v>60.900000000000006</v>
      </c>
      <c r="I708" s="2"/>
      <c r="J708" s="2"/>
    </row>
    <row r="709" spans="1:10">
      <c r="A709" s="130">
        <v>840.01900000000705</v>
      </c>
      <c r="B709" t="s">
        <v>459</v>
      </c>
      <c r="C709" s="222">
        <v>61</v>
      </c>
      <c r="I709" s="2"/>
      <c r="J709" s="2"/>
    </row>
    <row r="710" spans="1:10">
      <c r="A710" s="130">
        <v>840.01900000000705</v>
      </c>
      <c r="B710" t="s">
        <v>459</v>
      </c>
      <c r="C710" s="222">
        <v>61.100000000000009</v>
      </c>
      <c r="I710" s="2"/>
      <c r="J710" s="2"/>
    </row>
    <row r="711" spans="1:10">
      <c r="A711" s="130">
        <v>840.01900000000705</v>
      </c>
      <c r="B711" t="s">
        <v>459</v>
      </c>
      <c r="C711" s="222">
        <v>61.2</v>
      </c>
      <c r="I711" s="2"/>
      <c r="J711" s="2"/>
    </row>
    <row r="712" spans="1:10">
      <c r="A712" s="130">
        <v>840.2190000000071</v>
      </c>
      <c r="B712" t="s">
        <v>459</v>
      </c>
      <c r="C712" s="222">
        <v>61.3</v>
      </c>
      <c r="I712" s="2"/>
      <c r="J712" s="2"/>
    </row>
    <row r="713" spans="1:10">
      <c r="A713" s="130">
        <v>840.2190000000071</v>
      </c>
      <c r="B713" t="s">
        <v>459</v>
      </c>
      <c r="C713" s="222">
        <v>61.400000000000006</v>
      </c>
      <c r="I713" s="2"/>
      <c r="J713" s="2"/>
    </row>
    <row r="714" spans="1:10">
      <c r="A714" s="130">
        <v>840.2190000000071</v>
      </c>
      <c r="B714" t="s">
        <v>459</v>
      </c>
      <c r="C714" s="222">
        <v>61.5</v>
      </c>
      <c r="I714" s="2"/>
      <c r="J714" s="2"/>
    </row>
    <row r="715" spans="1:10">
      <c r="A715" s="130">
        <v>840.2190000000071</v>
      </c>
      <c r="B715" t="s">
        <v>459</v>
      </c>
      <c r="C715" s="222">
        <v>61.600000000000009</v>
      </c>
      <c r="I715" s="2"/>
      <c r="J715" s="2"/>
    </row>
    <row r="716" spans="1:10">
      <c r="A716" s="130">
        <v>840.2190000000071</v>
      </c>
      <c r="B716" t="s">
        <v>459</v>
      </c>
      <c r="C716" s="222">
        <v>61.7</v>
      </c>
      <c r="I716" s="2"/>
      <c r="J716" s="2"/>
    </row>
    <row r="717" spans="1:10">
      <c r="A717" s="130">
        <v>840.2190000000071</v>
      </c>
      <c r="B717" t="s">
        <v>459</v>
      </c>
      <c r="C717" s="222">
        <v>61.8</v>
      </c>
      <c r="I717" s="2"/>
      <c r="J717" s="2"/>
    </row>
    <row r="718" spans="1:10">
      <c r="A718" s="130">
        <v>840.2190000000071</v>
      </c>
      <c r="B718" t="s">
        <v>459</v>
      </c>
      <c r="C718" s="222">
        <v>61.900000000000006</v>
      </c>
      <c r="I718" s="2"/>
      <c r="J718" s="2"/>
    </row>
    <row r="719" spans="1:10">
      <c r="A719" s="130">
        <v>840.2190000000071</v>
      </c>
      <c r="B719" t="s">
        <v>459</v>
      </c>
      <c r="C719" s="222">
        <v>62</v>
      </c>
      <c r="I719" s="2"/>
      <c r="J719" s="2"/>
    </row>
    <row r="720" spans="1:10">
      <c r="A720" s="130">
        <v>840.2190000000071</v>
      </c>
      <c r="B720" t="s">
        <v>459</v>
      </c>
      <c r="C720" s="222">
        <v>62.100000000000009</v>
      </c>
      <c r="I720" s="2"/>
      <c r="J720" s="2"/>
    </row>
    <row r="721" spans="1:10">
      <c r="A721" s="130">
        <v>840.2190000000071</v>
      </c>
      <c r="B721" t="s">
        <v>459</v>
      </c>
      <c r="C721" s="222">
        <v>62.2</v>
      </c>
      <c r="I721" s="2"/>
      <c r="J721" s="2"/>
    </row>
    <row r="722" spans="1:10">
      <c r="A722" s="130">
        <v>840.2190000000071</v>
      </c>
      <c r="B722" t="s">
        <v>459</v>
      </c>
      <c r="C722" s="222">
        <v>62.3</v>
      </c>
      <c r="I722" s="2"/>
      <c r="J722" s="2"/>
    </row>
    <row r="723" spans="1:10">
      <c r="A723" s="130">
        <v>840.2190000000071</v>
      </c>
      <c r="B723" t="s">
        <v>459</v>
      </c>
      <c r="C723" s="222">
        <v>62.400000000000006</v>
      </c>
      <c r="I723" s="2"/>
      <c r="J723" s="2"/>
    </row>
    <row r="724" spans="1:10">
      <c r="A724" s="130">
        <v>840.2190000000071</v>
      </c>
      <c r="B724" t="s">
        <v>459</v>
      </c>
      <c r="C724" s="222">
        <v>62.5</v>
      </c>
      <c r="I724" s="2"/>
      <c r="J724" s="2"/>
    </row>
    <row r="725" spans="1:10">
      <c r="A725" s="130">
        <v>840.01900000000705</v>
      </c>
      <c r="B725" t="s">
        <v>459</v>
      </c>
      <c r="C725" s="222">
        <v>62.600000000000009</v>
      </c>
      <c r="I725" s="2"/>
      <c r="J725" s="2"/>
    </row>
    <row r="726" spans="1:10">
      <c r="A726" s="130">
        <v>840.01900000000705</v>
      </c>
      <c r="B726" t="s">
        <v>459</v>
      </c>
      <c r="C726" s="222">
        <v>62.7</v>
      </c>
      <c r="I726" s="2"/>
      <c r="J726" s="2"/>
    </row>
    <row r="727" spans="1:10">
      <c r="A727" s="130">
        <v>840.01900000000705</v>
      </c>
      <c r="B727" t="s">
        <v>459</v>
      </c>
      <c r="C727" s="222">
        <v>62.8</v>
      </c>
      <c r="I727" s="2"/>
      <c r="J727" s="2"/>
    </row>
    <row r="728" spans="1:10">
      <c r="A728" s="130">
        <v>839.81900000000701</v>
      </c>
      <c r="B728" t="s">
        <v>459</v>
      </c>
      <c r="C728" s="222">
        <v>62.900000000000006</v>
      </c>
      <c r="I728" s="2"/>
      <c r="J728" s="2"/>
    </row>
    <row r="729" spans="1:10">
      <c r="A729" s="130">
        <v>839.81900000000701</v>
      </c>
      <c r="B729" t="s">
        <v>459</v>
      </c>
      <c r="C729" s="222">
        <v>63</v>
      </c>
      <c r="I729" s="2"/>
      <c r="J729" s="2"/>
    </row>
    <row r="730" spans="1:10">
      <c r="A730" s="130">
        <v>839.81900000000701</v>
      </c>
      <c r="B730" t="s">
        <v>459</v>
      </c>
      <c r="C730" s="222">
        <v>63.100000000000009</v>
      </c>
      <c r="I730" s="2"/>
      <c r="J730" s="2"/>
    </row>
    <row r="731" spans="1:10">
      <c r="A731" s="130">
        <v>839.61900000000696</v>
      </c>
      <c r="B731" t="s">
        <v>459</v>
      </c>
      <c r="C731" s="222">
        <v>63.2</v>
      </c>
      <c r="I731" s="2"/>
      <c r="J731" s="2"/>
    </row>
    <row r="732" spans="1:10">
      <c r="A732" s="130">
        <v>839.61900000000696</v>
      </c>
      <c r="B732" t="s">
        <v>459</v>
      </c>
      <c r="C732" s="222">
        <v>63.3</v>
      </c>
      <c r="I732" s="2"/>
      <c r="J732" s="2"/>
    </row>
    <row r="733" spans="1:10">
      <c r="A733" s="130">
        <v>839.61900000000696</v>
      </c>
      <c r="B733" t="s">
        <v>459</v>
      </c>
      <c r="C733" s="222">
        <v>63.400000000000006</v>
      </c>
      <c r="I733" s="2"/>
      <c r="J733" s="2"/>
    </row>
    <row r="734" spans="1:10">
      <c r="A734" s="130">
        <v>839.41900000000692</v>
      </c>
      <c r="B734" t="s">
        <v>459</v>
      </c>
      <c r="C734" s="222">
        <v>63.5</v>
      </c>
      <c r="I734" s="2"/>
      <c r="J734" s="2"/>
    </row>
    <row r="735" spans="1:10">
      <c r="A735" s="130">
        <v>839.41900000000692</v>
      </c>
      <c r="B735" t="s">
        <v>459</v>
      </c>
      <c r="C735" s="222">
        <v>63.600000000000009</v>
      </c>
      <c r="I735" s="2"/>
      <c r="J735" s="2"/>
    </row>
    <row r="736" spans="1:10">
      <c r="A736" s="130">
        <v>839.21900000000687</v>
      </c>
      <c r="B736" t="s">
        <v>459</v>
      </c>
      <c r="C736" s="222">
        <v>63.7</v>
      </c>
      <c r="I736" s="2"/>
      <c r="J736" s="2"/>
    </row>
    <row r="737" spans="1:10">
      <c r="A737" s="130">
        <v>839.21900000000687</v>
      </c>
      <c r="B737" t="s">
        <v>459</v>
      </c>
      <c r="C737" s="222">
        <v>63.8</v>
      </c>
      <c r="I737" s="2"/>
      <c r="J737" s="2"/>
    </row>
    <row r="738" spans="1:10">
      <c r="A738" s="130">
        <v>839.01900000000683</v>
      </c>
      <c r="B738" t="s">
        <v>459</v>
      </c>
      <c r="C738" s="222">
        <v>63.900000000000006</v>
      </c>
      <c r="I738" s="2"/>
      <c r="J738" s="2"/>
    </row>
    <row r="739" spans="1:10">
      <c r="A739" s="130">
        <v>839.01900000000683</v>
      </c>
      <c r="B739" t="s">
        <v>459</v>
      </c>
      <c r="C739" s="222">
        <v>64</v>
      </c>
      <c r="I739" s="2"/>
      <c r="J739" s="2"/>
    </row>
    <row r="740" spans="1:10">
      <c r="A740" s="130">
        <v>838.81900000000678</v>
      </c>
      <c r="B740" t="s">
        <v>459</v>
      </c>
      <c r="C740" s="222">
        <v>64.100000000000009</v>
      </c>
      <c r="I740" s="2"/>
      <c r="J740" s="2"/>
    </row>
    <row r="741" spans="1:10">
      <c r="A741" s="130">
        <v>838.81900000000678</v>
      </c>
      <c r="B741" t="s">
        <v>459</v>
      </c>
      <c r="C741" s="222">
        <v>64.2</v>
      </c>
      <c r="I741" s="2"/>
      <c r="J741" s="2"/>
    </row>
    <row r="742" spans="1:10">
      <c r="A742" s="130">
        <v>838.81900000000678</v>
      </c>
      <c r="B742" t="s">
        <v>459</v>
      </c>
      <c r="C742" s="222">
        <v>64.3</v>
      </c>
      <c r="I742" s="2"/>
      <c r="J742" s="2"/>
    </row>
    <row r="743" spans="1:10">
      <c r="A743" s="130">
        <v>838.61900000000674</v>
      </c>
      <c r="B743" t="s">
        <v>459</v>
      </c>
      <c r="C743" s="222">
        <v>64.400000000000006</v>
      </c>
      <c r="I743" s="2"/>
      <c r="J743" s="2"/>
    </row>
    <row r="744" spans="1:10">
      <c r="A744" s="130">
        <v>838.61900000000674</v>
      </c>
      <c r="B744" t="s">
        <v>459</v>
      </c>
      <c r="C744" s="222">
        <v>64.5</v>
      </c>
      <c r="I744" s="2"/>
      <c r="J744" s="2"/>
    </row>
    <row r="745" spans="1:10">
      <c r="A745" s="130">
        <v>838.61900000000674</v>
      </c>
      <c r="B745" t="s">
        <v>459</v>
      </c>
      <c r="C745" s="222">
        <v>64.600000000000009</v>
      </c>
      <c r="I745" s="2"/>
      <c r="J745" s="2"/>
    </row>
    <row r="746" spans="1:10">
      <c r="A746" s="130">
        <v>838.41900000000669</v>
      </c>
      <c r="B746" t="s">
        <v>459</v>
      </c>
      <c r="C746" s="222">
        <v>64.7</v>
      </c>
      <c r="I746" s="2"/>
      <c r="J746" s="2"/>
    </row>
    <row r="747" spans="1:10">
      <c r="A747" s="130">
        <v>838.41900000000669</v>
      </c>
      <c r="B747" t="s">
        <v>459</v>
      </c>
      <c r="C747" s="222">
        <v>64.8</v>
      </c>
      <c r="I747" s="2"/>
      <c r="J747" s="2"/>
    </row>
    <row r="748" spans="1:10">
      <c r="A748" s="130">
        <v>838.41900000000669</v>
      </c>
      <c r="B748" t="s">
        <v>459</v>
      </c>
      <c r="C748" s="222">
        <v>64.900000000000006</v>
      </c>
      <c r="I748" s="2"/>
      <c r="J748" s="2"/>
    </row>
    <row r="749" spans="1:10">
      <c r="A749" s="130">
        <v>838.41900000000669</v>
      </c>
      <c r="B749" t="s">
        <v>459</v>
      </c>
      <c r="C749" s="222">
        <v>65</v>
      </c>
      <c r="I749" s="2"/>
      <c r="J749" s="2"/>
    </row>
    <row r="750" spans="1:10">
      <c r="A750" s="130">
        <v>838.41900000000669</v>
      </c>
      <c r="B750" t="s">
        <v>459</v>
      </c>
      <c r="C750" s="222">
        <v>65.100000000000009</v>
      </c>
      <c r="I750" s="2"/>
      <c r="J750" s="2"/>
    </row>
    <row r="751" spans="1:10">
      <c r="A751" s="130">
        <v>838.41900000000669</v>
      </c>
      <c r="B751" t="s">
        <v>459</v>
      </c>
      <c r="C751" s="222">
        <v>65.2</v>
      </c>
      <c r="I751" s="2"/>
      <c r="J751" s="2"/>
    </row>
    <row r="752" spans="1:10">
      <c r="A752" s="130">
        <v>838.41900000000669</v>
      </c>
      <c r="B752" t="s">
        <v>459</v>
      </c>
      <c r="C752" s="222">
        <v>65.3</v>
      </c>
      <c r="I752" s="2"/>
      <c r="J752" s="2"/>
    </row>
    <row r="753" spans="1:10">
      <c r="A753" s="130">
        <v>838.41900000000669</v>
      </c>
      <c r="B753" t="s">
        <v>459</v>
      </c>
      <c r="C753" s="222">
        <v>65.400000000000006</v>
      </c>
      <c r="I753" s="2"/>
      <c r="J753" s="2"/>
    </row>
    <row r="754" spans="1:10">
      <c r="A754" s="130">
        <v>838.41900000000669</v>
      </c>
      <c r="B754" t="s">
        <v>459</v>
      </c>
      <c r="C754" s="222">
        <v>65.5</v>
      </c>
      <c r="I754" s="2"/>
      <c r="J754" s="2"/>
    </row>
    <row r="755" spans="1:10">
      <c r="A755" s="130">
        <v>838.41900000000669</v>
      </c>
      <c r="B755" t="s">
        <v>459</v>
      </c>
      <c r="C755" s="222">
        <v>65.600000000000009</v>
      </c>
      <c r="I755" s="2"/>
      <c r="J755" s="2"/>
    </row>
    <row r="756" spans="1:10">
      <c r="A756" s="130">
        <v>838.41900000000669</v>
      </c>
      <c r="B756" t="s">
        <v>459</v>
      </c>
      <c r="C756" s="222">
        <v>65.7</v>
      </c>
      <c r="I756" s="2"/>
      <c r="J756" s="2"/>
    </row>
    <row r="757" spans="1:10">
      <c r="A757" s="130">
        <v>838.41900000000669</v>
      </c>
      <c r="B757" t="s">
        <v>459</v>
      </c>
      <c r="C757" s="222">
        <v>65.8</v>
      </c>
      <c r="I757" s="2"/>
      <c r="J757" s="2"/>
    </row>
    <row r="758" spans="1:10">
      <c r="A758" s="130">
        <v>838.41900000000669</v>
      </c>
      <c r="B758" t="s">
        <v>459</v>
      </c>
      <c r="C758" s="222">
        <v>65.900000000000006</v>
      </c>
      <c r="I758" s="2"/>
      <c r="J758" s="2"/>
    </row>
    <row r="759" spans="1:10">
      <c r="A759" s="130">
        <v>838.41900000000669</v>
      </c>
      <c r="B759" t="s">
        <v>459</v>
      </c>
      <c r="C759" s="222">
        <v>66</v>
      </c>
      <c r="I759" s="2"/>
      <c r="J759" s="2"/>
    </row>
    <row r="760" spans="1:10">
      <c r="A760" s="130">
        <v>838.61900000000674</v>
      </c>
      <c r="B760" t="s">
        <v>459</v>
      </c>
      <c r="C760" s="222">
        <v>66.100000000000009</v>
      </c>
      <c r="I760" s="2"/>
      <c r="J760" s="2"/>
    </row>
    <row r="761" spans="1:10">
      <c r="A761" s="130">
        <v>838.61900000000674</v>
      </c>
      <c r="B761" t="s">
        <v>459</v>
      </c>
      <c r="C761" s="222">
        <v>66.2</v>
      </c>
      <c r="I761" s="2"/>
      <c r="J761" s="2"/>
    </row>
    <row r="762" spans="1:10">
      <c r="A762" s="130">
        <v>838.61900000000674</v>
      </c>
      <c r="B762" t="s">
        <v>459</v>
      </c>
      <c r="C762" s="222">
        <v>66.3</v>
      </c>
      <c r="I762" s="2"/>
      <c r="J762" s="2"/>
    </row>
    <row r="763" spans="1:10">
      <c r="A763" s="130">
        <v>838.81900000000678</v>
      </c>
      <c r="B763" t="s">
        <v>459</v>
      </c>
      <c r="C763" s="222">
        <v>66.400000000000006</v>
      </c>
      <c r="I763" s="2"/>
      <c r="J763" s="2"/>
    </row>
    <row r="764" spans="1:10">
      <c r="A764" s="130">
        <v>838.81900000000678</v>
      </c>
      <c r="B764" t="s">
        <v>459</v>
      </c>
      <c r="C764" s="222">
        <v>66.5</v>
      </c>
      <c r="I764" s="2"/>
      <c r="J764" s="2"/>
    </row>
    <row r="765" spans="1:10">
      <c r="A765" s="130">
        <v>838.81900000000678</v>
      </c>
      <c r="B765" t="s">
        <v>459</v>
      </c>
      <c r="C765" s="222">
        <v>66.600000000000009</v>
      </c>
      <c r="I765" s="2"/>
      <c r="J765" s="2"/>
    </row>
    <row r="766" spans="1:10">
      <c r="A766" s="130">
        <v>838.81900000000678</v>
      </c>
      <c r="B766" t="s">
        <v>459</v>
      </c>
      <c r="C766" s="222">
        <v>66.7</v>
      </c>
      <c r="I766" s="2"/>
      <c r="J766" s="2"/>
    </row>
    <row r="767" spans="1:10">
      <c r="A767" s="130">
        <v>839.01900000000683</v>
      </c>
      <c r="B767" t="s">
        <v>459</v>
      </c>
      <c r="C767" s="222">
        <v>66.8</v>
      </c>
      <c r="I767" s="2"/>
      <c r="J767" s="2"/>
    </row>
    <row r="768" spans="1:10">
      <c r="A768" s="130">
        <v>839.01900000000683</v>
      </c>
      <c r="B768" t="s">
        <v>459</v>
      </c>
      <c r="C768" s="222">
        <v>66.900000000000006</v>
      </c>
      <c r="I768" s="2"/>
      <c r="J768" s="2"/>
    </row>
    <row r="769" spans="1:10">
      <c r="A769" s="130">
        <v>839.01900000000683</v>
      </c>
      <c r="B769" t="s">
        <v>459</v>
      </c>
      <c r="C769" s="222">
        <v>67</v>
      </c>
      <c r="I769" s="2"/>
      <c r="J769" s="2"/>
    </row>
    <row r="770" spans="1:10">
      <c r="A770" s="130">
        <v>839.01900000000683</v>
      </c>
      <c r="B770" t="s">
        <v>459</v>
      </c>
      <c r="C770" s="222">
        <v>67.100000000000009</v>
      </c>
      <c r="I770" s="2"/>
      <c r="J770" s="2"/>
    </row>
    <row r="771" spans="1:10">
      <c r="A771" s="130">
        <v>839.01900000000683</v>
      </c>
      <c r="B771" t="s">
        <v>459</v>
      </c>
      <c r="C771" s="222">
        <v>67.2</v>
      </c>
      <c r="I771" s="2"/>
      <c r="J771" s="2"/>
    </row>
    <row r="772" spans="1:10">
      <c r="A772" s="130">
        <v>839.21900000000687</v>
      </c>
      <c r="B772" t="s">
        <v>459</v>
      </c>
      <c r="C772" s="222">
        <v>67.3</v>
      </c>
      <c r="I772" s="2"/>
      <c r="J772" s="2"/>
    </row>
    <row r="773" spans="1:10">
      <c r="A773" s="130">
        <v>839.21900000000687</v>
      </c>
      <c r="B773" t="s">
        <v>459</v>
      </c>
      <c r="C773" s="222">
        <v>67.400000000000006</v>
      </c>
      <c r="I773" s="2"/>
      <c r="J773" s="2"/>
    </row>
    <row r="774" spans="1:10">
      <c r="A774" s="130">
        <v>839.21900000000687</v>
      </c>
      <c r="B774" t="s">
        <v>459</v>
      </c>
      <c r="C774" s="222">
        <v>67.5</v>
      </c>
      <c r="I774" s="2"/>
      <c r="J774" s="2"/>
    </row>
    <row r="775" spans="1:10">
      <c r="A775" s="130">
        <v>839.21900000000687</v>
      </c>
      <c r="B775" t="s">
        <v>459</v>
      </c>
      <c r="C775" s="222">
        <v>67.600000000000009</v>
      </c>
      <c r="I775" s="2"/>
      <c r="J775" s="2"/>
    </row>
    <row r="776" spans="1:10">
      <c r="A776" s="130">
        <v>839.21900000000687</v>
      </c>
      <c r="B776" t="s">
        <v>459</v>
      </c>
      <c r="C776" s="222">
        <v>67.7</v>
      </c>
      <c r="I776" s="2"/>
      <c r="J776" s="2"/>
    </row>
    <row r="777" spans="1:10">
      <c r="A777" s="130">
        <v>839.21900000000687</v>
      </c>
      <c r="B777" t="s">
        <v>459</v>
      </c>
      <c r="C777" s="222">
        <v>67.8</v>
      </c>
      <c r="I777" s="2"/>
      <c r="J777" s="2"/>
    </row>
    <row r="778" spans="1:10">
      <c r="A778" s="130">
        <v>839.21900000000687</v>
      </c>
      <c r="B778" t="s">
        <v>459</v>
      </c>
      <c r="C778" s="222">
        <v>67.900000000000006</v>
      </c>
      <c r="I778" s="2"/>
      <c r="J778" s="2"/>
    </row>
    <row r="779" spans="1:10">
      <c r="A779" s="130">
        <v>839.21900000000687</v>
      </c>
      <c r="B779" t="s">
        <v>459</v>
      </c>
      <c r="C779" s="222">
        <v>68</v>
      </c>
      <c r="I779" s="2"/>
      <c r="J779" s="2"/>
    </row>
    <row r="780" spans="1:10">
      <c r="A780" s="130">
        <v>839.21900000000687</v>
      </c>
      <c r="B780" t="s">
        <v>459</v>
      </c>
      <c r="C780" s="222">
        <v>68.100000000000009</v>
      </c>
      <c r="I780" s="2"/>
      <c r="J780" s="2"/>
    </row>
    <row r="781" spans="1:10">
      <c r="A781" s="130">
        <v>839.21900000000687</v>
      </c>
      <c r="B781" t="s">
        <v>459</v>
      </c>
      <c r="C781" s="222">
        <v>68.2</v>
      </c>
      <c r="I781" s="2"/>
      <c r="J781" s="2"/>
    </row>
    <row r="782" spans="1:10">
      <c r="A782" s="130">
        <v>839.01900000000683</v>
      </c>
      <c r="B782" t="s">
        <v>459</v>
      </c>
      <c r="C782" s="222">
        <v>68.3</v>
      </c>
      <c r="I782" s="2"/>
      <c r="J782" s="2"/>
    </row>
    <row r="783" spans="1:10">
      <c r="A783" s="130">
        <v>839.01900000000683</v>
      </c>
      <c r="B783" t="s">
        <v>459</v>
      </c>
      <c r="C783" s="222">
        <v>68.400000000000006</v>
      </c>
      <c r="I783" s="2"/>
      <c r="J783" s="2"/>
    </row>
    <row r="784" spans="1:10">
      <c r="A784" s="130">
        <v>839.01900000000683</v>
      </c>
      <c r="B784" t="s">
        <v>459</v>
      </c>
      <c r="C784" s="222">
        <v>68.5</v>
      </c>
      <c r="I784" s="2"/>
      <c r="J784" s="2"/>
    </row>
    <row r="785" spans="1:10">
      <c r="A785" s="130">
        <v>838.81900000000678</v>
      </c>
      <c r="B785" t="s">
        <v>459</v>
      </c>
      <c r="C785" s="222">
        <v>68.600000000000009</v>
      </c>
      <c r="I785" s="2"/>
      <c r="J785" s="2"/>
    </row>
    <row r="786" spans="1:10">
      <c r="A786" s="130">
        <v>838.81900000000678</v>
      </c>
      <c r="B786" t="s">
        <v>459</v>
      </c>
      <c r="C786" s="222">
        <v>68.7</v>
      </c>
      <c r="I786" s="2"/>
      <c r="J786" s="2"/>
    </row>
    <row r="787" spans="1:10">
      <c r="A787" s="130">
        <v>838.81900000000678</v>
      </c>
      <c r="B787" t="s">
        <v>459</v>
      </c>
      <c r="C787" s="222">
        <v>68.800000000000011</v>
      </c>
      <c r="I787" s="2"/>
      <c r="J787" s="2"/>
    </row>
    <row r="788" spans="1:10">
      <c r="A788" s="130">
        <v>838.61900000000674</v>
      </c>
      <c r="B788" t="s">
        <v>459</v>
      </c>
      <c r="C788" s="222">
        <v>68.900000000000006</v>
      </c>
      <c r="I788" s="2"/>
      <c r="J788" s="2"/>
    </row>
    <row r="789" spans="1:10">
      <c r="A789" s="130">
        <v>838.61900000000674</v>
      </c>
      <c r="B789" t="s">
        <v>459</v>
      </c>
      <c r="C789" s="222">
        <v>69</v>
      </c>
      <c r="I789" s="2"/>
      <c r="J789" s="2"/>
    </row>
    <row r="790" spans="1:10">
      <c r="A790" s="130">
        <v>838.61900000000674</v>
      </c>
      <c r="B790" t="s">
        <v>459</v>
      </c>
      <c r="C790" s="222">
        <v>69.100000000000009</v>
      </c>
      <c r="I790" s="2"/>
      <c r="J790" s="2"/>
    </row>
    <row r="791" spans="1:10">
      <c r="A791" s="130">
        <v>838.41900000000669</v>
      </c>
      <c r="B791" t="s">
        <v>459</v>
      </c>
      <c r="C791" s="222">
        <v>69.2</v>
      </c>
      <c r="I791" s="2"/>
      <c r="J791" s="2"/>
    </row>
    <row r="792" spans="1:10">
      <c r="A792" s="130">
        <v>838.41900000000669</v>
      </c>
      <c r="B792" t="s">
        <v>459</v>
      </c>
      <c r="C792" s="222">
        <v>69.300000000000011</v>
      </c>
      <c r="I792" s="2"/>
      <c r="J792" s="2"/>
    </row>
    <row r="793" spans="1:10">
      <c r="A793" s="130">
        <v>838.21900000000664</v>
      </c>
      <c r="B793" t="s">
        <v>459</v>
      </c>
      <c r="C793" s="222">
        <v>69.400000000000006</v>
      </c>
      <c r="I793" s="2"/>
      <c r="J793" s="2"/>
    </row>
    <row r="794" spans="1:10">
      <c r="A794" s="130">
        <v>838.21900000000664</v>
      </c>
      <c r="B794" t="s">
        <v>459</v>
      </c>
      <c r="C794" s="222">
        <v>69.5</v>
      </c>
      <c r="I794" s="2"/>
      <c r="J794" s="2"/>
    </row>
    <row r="795" spans="1:10">
      <c r="A795" s="130">
        <v>838.21900000000664</v>
      </c>
      <c r="B795" t="s">
        <v>459</v>
      </c>
      <c r="C795" s="222">
        <v>69.600000000000009</v>
      </c>
      <c r="I795" s="2"/>
      <c r="J795" s="2"/>
    </row>
    <row r="796" spans="1:10">
      <c r="A796" s="130">
        <v>838.0190000000066</v>
      </c>
      <c r="B796" t="s">
        <v>459</v>
      </c>
      <c r="C796" s="222">
        <v>69.7</v>
      </c>
      <c r="I796" s="2"/>
      <c r="J796" s="2"/>
    </row>
    <row r="797" spans="1:10">
      <c r="A797" s="130">
        <v>838.0190000000066</v>
      </c>
      <c r="B797" t="s">
        <v>459</v>
      </c>
      <c r="C797" s="222">
        <v>69.800000000000011</v>
      </c>
      <c r="I797" s="2"/>
      <c r="J797" s="2"/>
    </row>
    <row r="798" spans="1:10">
      <c r="A798" s="130">
        <v>837.81900000000655</v>
      </c>
      <c r="B798" t="s">
        <v>459</v>
      </c>
      <c r="C798" s="222">
        <v>69.900000000000006</v>
      </c>
      <c r="I798" s="2"/>
      <c r="J798" s="2"/>
    </row>
    <row r="799" spans="1:10">
      <c r="A799" s="130">
        <v>837.81900000000655</v>
      </c>
      <c r="B799" t="s">
        <v>459</v>
      </c>
      <c r="C799" s="222">
        <v>70</v>
      </c>
      <c r="I799" s="2"/>
      <c r="J799" s="2"/>
    </row>
    <row r="800" spans="1:10">
      <c r="A800" s="130">
        <v>837.81900000000655</v>
      </c>
      <c r="B800" t="s">
        <v>459</v>
      </c>
      <c r="C800" s="222">
        <v>70.100000000000009</v>
      </c>
      <c r="I800" s="2"/>
      <c r="J800" s="2"/>
    </row>
    <row r="801" spans="1:10">
      <c r="A801" s="130">
        <v>837.61900000000651</v>
      </c>
      <c r="B801" t="s">
        <v>459</v>
      </c>
      <c r="C801" s="222">
        <v>70.2</v>
      </c>
      <c r="I801" s="2"/>
      <c r="J801" s="2"/>
    </row>
    <row r="802" spans="1:10">
      <c r="A802" s="130">
        <v>837.61900000000651</v>
      </c>
      <c r="B802" t="s">
        <v>459</v>
      </c>
      <c r="C802" s="222">
        <v>70.300000000000011</v>
      </c>
      <c r="I802" s="2"/>
      <c r="J802" s="2"/>
    </row>
    <row r="803" spans="1:10">
      <c r="A803" s="130">
        <v>837.61900000000651</v>
      </c>
      <c r="B803" t="s">
        <v>459</v>
      </c>
      <c r="C803" s="222">
        <v>70.400000000000006</v>
      </c>
      <c r="I803" s="2"/>
      <c r="J803" s="2"/>
    </row>
    <row r="804" spans="1:10">
      <c r="A804" s="130">
        <v>837.41900000000646</v>
      </c>
      <c r="B804" t="s">
        <v>459</v>
      </c>
      <c r="C804" s="222">
        <v>70.5</v>
      </c>
      <c r="I804" s="2"/>
      <c r="J804" s="2"/>
    </row>
    <row r="805" spans="1:10">
      <c r="A805" s="130">
        <v>837.41900000000646</v>
      </c>
      <c r="B805" t="s">
        <v>459</v>
      </c>
      <c r="C805" s="222">
        <v>70.600000000000009</v>
      </c>
      <c r="I805" s="2"/>
      <c r="J805" s="2"/>
    </row>
    <row r="806" spans="1:10">
      <c r="A806" s="130">
        <v>837.41900000000646</v>
      </c>
      <c r="B806" t="s">
        <v>459</v>
      </c>
      <c r="C806" s="222">
        <v>70.7</v>
      </c>
      <c r="I806" s="2"/>
      <c r="J806" s="2"/>
    </row>
    <row r="807" spans="1:10">
      <c r="A807" s="130">
        <v>837.41900000000646</v>
      </c>
      <c r="B807" t="s">
        <v>459</v>
      </c>
      <c r="C807" s="222">
        <v>70.800000000000011</v>
      </c>
      <c r="I807" s="2"/>
      <c r="J807" s="2"/>
    </row>
    <row r="808" spans="1:10">
      <c r="A808" s="130">
        <v>837.41900000000646</v>
      </c>
      <c r="B808" t="s">
        <v>459</v>
      </c>
      <c r="C808" s="222">
        <v>70.900000000000006</v>
      </c>
      <c r="I808" s="2"/>
      <c r="J808" s="2"/>
    </row>
    <row r="809" spans="1:10">
      <c r="A809" s="130">
        <v>837.41900000000646</v>
      </c>
      <c r="B809" t="s">
        <v>459</v>
      </c>
      <c r="C809" s="222">
        <v>71</v>
      </c>
      <c r="I809" s="2"/>
      <c r="J809" s="2"/>
    </row>
    <row r="810" spans="1:10">
      <c r="A810" s="130">
        <v>837.41900000000646</v>
      </c>
      <c r="B810" t="s">
        <v>459</v>
      </c>
      <c r="C810" s="222">
        <v>71.100000000000009</v>
      </c>
      <c r="I810" s="2"/>
      <c r="J810" s="2"/>
    </row>
    <row r="811" spans="1:10">
      <c r="A811" s="130">
        <v>837.21900000000642</v>
      </c>
      <c r="B811" t="s">
        <v>459</v>
      </c>
      <c r="C811" s="222">
        <v>71.2</v>
      </c>
      <c r="I811" s="2"/>
      <c r="J811" s="2"/>
    </row>
    <row r="812" spans="1:10">
      <c r="A812" s="130">
        <v>837.41900000000646</v>
      </c>
      <c r="B812" t="s">
        <v>459</v>
      </c>
      <c r="C812" s="222">
        <v>71.300000000000011</v>
      </c>
      <c r="I812" s="2"/>
      <c r="J812" s="2"/>
    </row>
    <row r="813" spans="1:10">
      <c r="A813" s="130">
        <v>837.41900000000646</v>
      </c>
      <c r="B813" t="s">
        <v>459</v>
      </c>
      <c r="C813" s="222">
        <v>71.400000000000006</v>
      </c>
      <c r="I813" s="2"/>
      <c r="J813" s="2"/>
    </row>
    <row r="814" spans="1:10">
      <c r="A814" s="130">
        <v>837.41900000000646</v>
      </c>
      <c r="B814" t="s">
        <v>459</v>
      </c>
      <c r="C814" s="222">
        <v>71.5</v>
      </c>
      <c r="I814" s="2"/>
      <c r="J814" s="2"/>
    </row>
    <row r="815" spans="1:10">
      <c r="A815" s="130">
        <v>837.41900000000646</v>
      </c>
      <c r="B815" t="s">
        <v>459</v>
      </c>
      <c r="C815" s="222">
        <v>71.600000000000009</v>
      </c>
      <c r="I815" s="2"/>
      <c r="J815" s="2"/>
    </row>
    <row r="816" spans="1:10">
      <c r="A816" s="130">
        <v>837.41900000000646</v>
      </c>
      <c r="B816" t="s">
        <v>459</v>
      </c>
      <c r="C816" s="222">
        <v>71.7</v>
      </c>
      <c r="I816" s="2"/>
      <c r="J816" s="2"/>
    </row>
    <row r="817" spans="1:10">
      <c r="A817" s="130">
        <v>837.41900000000646</v>
      </c>
      <c r="B817" t="s">
        <v>459</v>
      </c>
      <c r="C817" s="222">
        <v>71.800000000000011</v>
      </c>
      <c r="I817" s="2"/>
      <c r="J817" s="2"/>
    </row>
    <row r="818" spans="1:10">
      <c r="A818" s="130">
        <v>837.41900000000646</v>
      </c>
      <c r="B818" t="s">
        <v>459</v>
      </c>
      <c r="C818" s="222">
        <v>71.900000000000006</v>
      </c>
      <c r="I818" s="2"/>
      <c r="J818" s="2"/>
    </row>
    <row r="819" spans="1:10">
      <c r="A819" s="130">
        <v>837.61900000000651</v>
      </c>
      <c r="B819" t="s">
        <v>459</v>
      </c>
      <c r="C819" s="222">
        <v>72</v>
      </c>
      <c r="I819" s="2"/>
      <c r="J819" s="2"/>
    </row>
    <row r="820" spans="1:10">
      <c r="A820" s="130">
        <v>837.61900000000651</v>
      </c>
      <c r="B820" t="s">
        <v>459</v>
      </c>
      <c r="C820" s="222">
        <v>72.100000000000009</v>
      </c>
      <c r="I820" s="2"/>
      <c r="J820" s="2"/>
    </row>
    <row r="821" spans="1:10">
      <c r="A821" s="130"/>
      <c r="C821" s="222"/>
      <c r="I821" s="2"/>
      <c r="J821" s="2"/>
    </row>
    <row r="822" spans="1:10">
      <c r="A822" s="130"/>
      <c r="C822" s="222"/>
      <c r="I822" s="2"/>
      <c r="J822" s="2"/>
    </row>
    <row r="823" spans="1:10">
      <c r="A823" s="130"/>
      <c r="C823" s="222"/>
      <c r="I823" s="2"/>
      <c r="J823" s="2"/>
    </row>
    <row r="824" spans="1:10">
      <c r="A824" s="130"/>
      <c r="C824" s="222"/>
      <c r="I824" s="2"/>
      <c r="J824" s="2"/>
    </row>
    <row r="825" spans="1:10">
      <c r="A825" s="130"/>
      <c r="C825" s="222"/>
      <c r="I825" s="2"/>
      <c r="J825" s="2"/>
    </row>
    <row r="826" spans="1:10">
      <c r="A826" s="130"/>
      <c r="C826" s="222"/>
      <c r="I826" s="2"/>
      <c r="J826" s="2"/>
    </row>
    <row r="827" spans="1:10">
      <c r="A827" s="130"/>
      <c r="C827" s="222"/>
      <c r="I827" s="2"/>
      <c r="J827" s="2"/>
    </row>
    <row r="828" spans="1:10">
      <c r="A828" s="130"/>
      <c r="C828" s="222"/>
      <c r="I828" s="2"/>
      <c r="J828" s="2"/>
    </row>
    <row r="829" spans="1:10">
      <c r="A829" s="130"/>
      <c r="C829" s="222"/>
      <c r="I829" s="2"/>
      <c r="J829" s="2"/>
    </row>
    <row r="830" spans="1:10">
      <c r="A830" s="130"/>
      <c r="C830" s="222"/>
      <c r="I830" s="2"/>
      <c r="J830" s="2"/>
    </row>
    <row r="831" spans="1:10">
      <c r="A831" s="130"/>
      <c r="C831" s="222"/>
      <c r="I831" s="2"/>
      <c r="J831" s="2"/>
    </row>
    <row r="832" spans="1:10">
      <c r="A832" s="130"/>
      <c r="C832" s="222"/>
      <c r="I832" s="2"/>
      <c r="J832" s="2"/>
    </row>
    <row r="833" spans="1:10">
      <c r="A833" s="130"/>
      <c r="C833" s="222"/>
      <c r="I833" s="2"/>
      <c r="J833" s="2"/>
    </row>
    <row r="834" spans="1:10">
      <c r="A834" s="130"/>
      <c r="C834" s="222"/>
      <c r="I834" s="2"/>
      <c r="J834" s="2"/>
    </row>
    <row r="835" spans="1:10">
      <c r="A835" s="130"/>
      <c r="C835" s="222"/>
      <c r="I835" s="2"/>
      <c r="J835" s="2"/>
    </row>
    <row r="836" spans="1:10">
      <c r="A836" s="130"/>
      <c r="C836" s="222"/>
      <c r="I836" s="2"/>
      <c r="J836" s="2"/>
    </row>
    <row r="837" spans="1:10">
      <c r="A837" s="130"/>
      <c r="C837" s="222"/>
      <c r="I837" s="2"/>
      <c r="J837" s="2"/>
    </row>
    <row r="838" spans="1:10">
      <c r="A838" s="130"/>
      <c r="C838" s="222"/>
      <c r="I838" s="2"/>
      <c r="J838" s="2"/>
    </row>
    <row r="839" spans="1:10">
      <c r="A839" s="130"/>
      <c r="C839" s="222"/>
      <c r="I839" s="2"/>
      <c r="J839" s="2"/>
    </row>
    <row r="840" spans="1:10">
      <c r="A840" s="130"/>
      <c r="C840" s="222"/>
      <c r="I840" s="2"/>
      <c r="J840" s="2"/>
    </row>
    <row r="841" spans="1:10">
      <c r="A841" s="130"/>
      <c r="C841" s="222"/>
      <c r="I841" s="2"/>
      <c r="J841" s="2"/>
    </row>
    <row r="842" spans="1:10">
      <c r="A842" s="130"/>
      <c r="C842" s="222"/>
      <c r="I842" s="2"/>
      <c r="J842" s="2"/>
    </row>
    <row r="843" spans="1:10">
      <c r="A843" s="130"/>
      <c r="C843" s="222"/>
      <c r="I843" s="2"/>
      <c r="J843" s="2"/>
    </row>
    <row r="844" spans="1:10">
      <c r="A844" s="130"/>
      <c r="C844" s="222"/>
      <c r="I844" s="2"/>
      <c r="J844" s="2"/>
    </row>
    <row r="845" spans="1:10">
      <c r="A845" s="130"/>
      <c r="C845" s="222"/>
      <c r="I845" s="2"/>
      <c r="J845" s="2"/>
    </row>
    <row r="846" spans="1:10">
      <c r="A846" s="130"/>
      <c r="C846" s="222"/>
      <c r="I846" s="2"/>
      <c r="J846" s="2"/>
    </row>
    <row r="847" spans="1:10">
      <c r="A847" s="130"/>
      <c r="C847" s="222"/>
      <c r="I847" s="2"/>
      <c r="J847" s="2"/>
    </row>
    <row r="848" spans="1:10">
      <c r="A848" s="130"/>
      <c r="C848" s="222"/>
      <c r="I848" s="2"/>
      <c r="J848" s="2"/>
    </row>
    <row r="849" spans="1:10">
      <c r="A849" s="130"/>
      <c r="C849" s="222"/>
      <c r="I849" s="2"/>
      <c r="J849" s="2"/>
    </row>
    <row r="850" spans="1:10">
      <c r="A850" s="130"/>
      <c r="C850" s="222"/>
      <c r="I850" s="2"/>
      <c r="J850" s="2"/>
    </row>
    <row r="851" spans="1:10">
      <c r="A851" s="130"/>
      <c r="C851" s="222"/>
      <c r="I851" s="2"/>
      <c r="J851" s="2"/>
    </row>
    <row r="852" spans="1:10">
      <c r="A852" s="130"/>
      <c r="C852" s="222"/>
      <c r="I852" s="2"/>
      <c r="J852" s="2"/>
    </row>
    <row r="853" spans="1:10">
      <c r="A853" s="130"/>
      <c r="C853" s="222"/>
      <c r="I853" s="2"/>
      <c r="J853" s="2"/>
    </row>
    <row r="854" spans="1:10">
      <c r="A854" s="130"/>
      <c r="C854" s="222"/>
      <c r="I854" s="2"/>
      <c r="J854" s="2"/>
    </row>
    <row r="855" spans="1:10">
      <c r="A855" s="130"/>
      <c r="C855" s="222"/>
      <c r="I855" s="2"/>
      <c r="J855" s="2"/>
    </row>
    <row r="856" spans="1:10">
      <c r="A856" s="130"/>
      <c r="C856" s="222"/>
      <c r="I856" s="2"/>
      <c r="J856" s="2"/>
    </row>
    <row r="857" spans="1:10">
      <c r="A857" s="130"/>
      <c r="C857" s="222"/>
      <c r="I857" s="2"/>
      <c r="J857" s="2"/>
    </row>
    <row r="858" spans="1:10">
      <c r="A858" s="130"/>
      <c r="C858" s="222"/>
      <c r="I858" s="2"/>
      <c r="J858" s="2"/>
    </row>
    <row r="859" spans="1:10">
      <c r="A859" s="130"/>
      <c r="C859" s="222"/>
      <c r="I859" s="2"/>
      <c r="J859" s="2"/>
    </row>
    <row r="860" spans="1:10">
      <c r="A860" s="130"/>
      <c r="C860" s="222"/>
      <c r="I860" s="2"/>
      <c r="J860" s="2"/>
    </row>
    <row r="861" spans="1:10">
      <c r="A861" s="130"/>
      <c r="C861" s="222"/>
      <c r="I861" s="2"/>
      <c r="J861" s="2"/>
    </row>
    <row r="862" spans="1:10">
      <c r="A862" s="130"/>
      <c r="C862" s="222"/>
      <c r="I862" s="2"/>
      <c r="J862" s="2"/>
    </row>
    <row r="863" spans="1:10">
      <c r="A863" s="130"/>
      <c r="C863" s="222"/>
      <c r="I863" s="2"/>
      <c r="J863" s="2"/>
    </row>
    <row r="864" spans="1:10">
      <c r="A864" s="130"/>
      <c r="C864" s="222"/>
      <c r="I864" s="2"/>
      <c r="J864" s="2"/>
    </row>
    <row r="865" spans="1:10">
      <c r="A865" s="130"/>
      <c r="C865" s="222"/>
      <c r="I865" s="2"/>
      <c r="J865" s="2"/>
    </row>
    <row r="866" spans="1:10">
      <c r="A866" s="130"/>
      <c r="C866" s="222"/>
      <c r="I866" s="2"/>
      <c r="J866" s="2"/>
    </row>
    <row r="867" spans="1:10">
      <c r="A867" s="130"/>
      <c r="C867" s="222"/>
      <c r="I867" s="2"/>
      <c r="J867" s="2"/>
    </row>
    <row r="868" spans="1:10">
      <c r="A868" s="130"/>
      <c r="C868" s="222"/>
      <c r="I868" s="2"/>
      <c r="J868" s="2"/>
    </row>
    <row r="869" spans="1:10">
      <c r="A869" s="130"/>
      <c r="C869" s="222"/>
      <c r="I869" s="2"/>
      <c r="J869" s="2"/>
    </row>
    <row r="870" spans="1:10">
      <c r="A870" s="130"/>
      <c r="C870" s="222"/>
      <c r="I870" s="2"/>
      <c r="J870" s="2"/>
    </row>
    <row r="871" spans="1:10">
      <c r="A871" s="130"/>
      <c r="C871" s="222"/>
      <c r="I871" s="2"/>
      <c r="J871" s="2"/>
    </row>
    <row r="872" spans="1:10">
      <c r="A872" s="130"/>
      <c r="C872" s="222"/>
      <c r="I872" s="2"/>
      <c r="J872" s="2"/>
    </row>
    <row r="873" spans="1:10">
      <c r="A873" s="130"/>
      <c r="C873" s="222"/>
      <c r="I873" s="2"/>
      <c r="J873" s="2"/>
    </row>
    <row r="874" spans="1:10">
      <c r="A874" s="130"/>
      <c r="C874" s="222"/>
      <c r="I874" s="2"/>
      <c r="J874" s="2"/>
    </row>
    <row r="875" spans="1:10">
      <c r="A875" s="130"/>
      <c r="C875" s="222"/>
      <c r="I875" s="2"/>
      <c r="J875" s="2"/>
    </row>
    <row r="876" spans="1:10">
      <c r="A876" s="130"/>
      <c r="C876" s="222"/>
      <c r="I876" s="2"/>
      <c r="J876" s="2"/>
    </row>
    <row r="877" spans="1:10">
      <c r="A877" s="130"/>
      <c r="C877" s="222"/>
      <c r="I877" s="2"/>
      <c r="J877" s="2"/>
    </row>
    <row r="878" spans="1:10">
      <c r="A878" s="130"/>
      <c r="C878" s="222"/>
      <c r="I878" s="2"/>
      <c r="J878" s="2"/>
    </row>
    <row r="879" spans="1:10">
      <c r="A879" s="130"/>
      <c r="C879" s="222"/>
      <c r="I879" s="2"/>
      <c r="J879" s="2"/>
    </row>
    <row r="880" spans="1:10">
      <c r="A880" s="130"/>
      <c r="C880" s="222"/>
      <c r="I880" s="2"/>
      <c r="J880" s="2"/>
    </row>
    <row r="881" spans="1:10">
      <c r="A881" s="130"/>
      <c r="C881" s="222"/>
      <c r="I881" s="2"/>
      <c r="J881" s="2"/>
    </row>
    <row r="882" spans="1:10">
      <c r="A882" s="130"/>
      <c r="C882" s="222"/>
      <c r="I882" s="2"/>
      <c r="J882" s="2"/>
    </row>
    <row r="883" spans="1:10">
      <c r="A883" s="130"/>
      <c r="C883" s="222"/>
      <c r="I883" s="2"/>
      <c r="J883" s="2"/>
    </row>
    <row r="884" spans="1:10">
      <c r="A884" s="130"/>
      <c r="C884" s="222"/>
      <c r="I884" s="2"/>
      <c r="J884" s="2"/>
    </row>
    <row r="885" spans="1:10">
      <c r="A885" s="130"/>
      <c r="C885" s="222"/>
      <c r="I885" s="2"/>
      <c r="J885" s="2"/>
    </row>
    <row r="886" spans="1:10">
      <c r="A886" s="130"/>
      <c r="C886" s="222"/>
      <c r="I886" s="2"/>
      <c r="J886" s="2"/>
    </row>
    <row r="887" spans="1:10">
      <c r="A887" s="130"/>
      <c r="C887" s="222"/>
      <c r="I887" s="2"/>
      <c r="J887" s="2"/>
    </row>
    <row r="888" spans="1:10">
      <c r="A888" s="130"/>
      <c r="C888" s="222"/>
      <c r="I888" s="2"/>
      <c r="J888" s="2"/>
    </row>
    <row r="889" spans="1:10">
      <c r="A889" s="130"/>
      <c r="C889" s="222"/>
      <c r="I889" s="2"/>
      <c r="J889" s="2"/>
    </row>
    <row r="890" spans="1:10">
      <c r="A890" s="130"/>
      <c r="C890" s="222"/>
      <c r="I890" s="2"/>
      <c r="J890" s="2"/>
    </row>
    <row r="891" spans="1:10">
      <c r="A891" s="130"/>
      <c r="C891" s="222"/>
      <c r="I891" s="2"/>
      <c r="J891" s="2"/>
    </row>
    <row r="892" spans="1:10">
      <c r="A892" s="130"/>
      <c r="C892" s="222"/>
      <c r="I892" s="2"/>
      <c r="J892" s="2"/>
    </row>
    <row r="893" spans="1:10">
      <c r="A893" s="130"/>
      <c r="C893" s="222"/>
      <c r="I893" s="2"/>
      <c r="J893" s="2"/>
    </row>
    <row r="894" spans="1:10">
      <c r="A894" s="130"/>
      <c r="C894" s="222"/>
      <c r="I894" s="2"/>
      <c r="J894" s="2"/>
    </row>
    <row r="895" spans="1:10">
      <c r="A895" s="130"/>
      <c r="C895" s="222"/>
      <c r="I895" s="2"/>
      <c r="J895" s="2"/>
    </row>
    <row r="896" spans="1:10">
      <c r="A896" s="130"/>
      <c r="C896" s="222"/>
      <c r="I896" s="2"/>
      <c r="J896" s="2"/>
    </row>
    <row r="897" spans="1:10">
      <c r="A897" s="130"/>
      <c r="C897" s="222"/>
      <c r="I897" s="2"/>
      <c r="J897" s="2"/>
    </row>
    <row r="898" spans="1:10">
      <c r="A898" s="130"/>
      <c r="C898" s="222"/>
      <c r="I898" s="2"/>
      <c r="J898" s="2"/>
    </row>
    <row r="899" spans="1:10">
      <c r="A899" s="130"/>
      <c r="C899" s="222"/>
      <c r="I899" s="2"/>
      <c r="J899" s="2"/>
    </row>
    <row r="900" spans="1:10">
      <c r="A900" s="130"/>
      <c r="C900" s="222"/>
      <c r="I900" s="2"/>
      <c r="J900" s="2"/>
    </row>
    <row r="901" spans="1:10">
      <c r="A901" s="130"/>
      <c r="C901" s="222"/>
      <c r="I901" s="2"/>
      <c r="J901" s="2"/>
    </row>
    <row r="902" spans="1:10">
      <c r="A902" s="130"/>
      <c r="C902" s="222"/>
      <c r="I902" s="2"/>
      <c r="J902" s="2"/>
    </row>
    <row r="903" spans="1:10">
      <c r="A903" s="130"/>
      <c r="C903" s="222"/>
      <c r="I903" s="2"/>
      <c r="J903" s="2"/>
    </row>
    <row r="904" spans="1:10">
      <c r="A904" s="130"/>
      <c r="C904" s="222"/>
      <c r="I904" s="2"/>
      <c r="J904" s="2"/>
    </row>
    <row r="905" spans="1:10">
      <c r="A905" s="130"/>
      <c r="C905" s="222"/>
      <c r="I905" s="2"/>
      <c r="J905" s="2"/>
    </row>
    <row r="906" spans="1:10">
      <c r="A906" s="130"/>
      <c r="C906" s="222"/>
      <c r="I906" s="2"/>
      <c r="J906" s="2"/>
    </row>
    <row r="907" spans="1:10">
      <c r="A907" s="130"/>
      <c r="C907" s="222"/>
      <c r="I907" s="2"/>
      <c r="J907" s="2"/>
    </row>
    <row r="908" spans="1:10">
      <c r="A908" s="130"/>
      <c r="C908" s="222"/>
      <c r="I908" s="2"/>
      <c r="J908" s="2"/>
    </row>
    <row r="909" spans="1:10">
      <c r="A909" s="130"/>
      <c r="C909" s="222"/>
      <c r="I909" s="2"/>
      <c r="J909" s="2"/>
    </row>
    <row r="910" spans="1:10">
      <c r="A910" s="130"/>
      <c r="C910" s="222"/>
      <c r="I910" s="2"/>
      <c r="J910" s="2"/>
    </row>
    <row r="911" spans="1:10">
      <c r="A911" s="130"/>
      <c r="C911" s="222"/>
      <c r="I911" s="2"/>
      <c r="J911" s="2"/>
    </row>
    <row r="912" spans="1:10">
      <c r="A912" s="130"/>
      <c r="C912" s="222"/>
      <c r="I912" s="2"/>
      <c r="J912" s="2"/>
    </row>
    <row r="913" spans="1:10">
      <c r="A913" s="130"/>
      <c r="C913" s="222"/>
      <c r="I913" s="2"/>
      <c r="J913" s="2"/>
    </row>
    <row r="914" spans="1:10">
      <c r="A914" s="130"/>
      <c r="C914" s="222"/>
      <c r="I914" s="2"/>
      <c r="J914" s="2"/>
    </row>
    <row r="915" spans="1:10">
      <c r="A915" s="130"/>
      <c r="C915" s="222"/>
      <c r="I915" s="2"/>
      <c r="J915" s="2"/>
    </row>
    <row r="916" spans="1:10">
      <c r="A916" s="130"/>
      <c r="C916" s="222"/>
      <c r="I916" s="2"/>
      <c r="J916" s="2"/>
    </row>
    <row r="917" spans="1:10">
      <c r="A917" s="130"/>
      <c r="C917" s="222"/>
      <c r="I917" s="2"/>
      <c r="J917" s="2"/>
    </row>
    <row r="918" spans="1:10">
      <c r="A918" s="130"/>
      <c r="C918" s="222"/>
      <c r="I918" s="2"/>
      <c r="J918" s="2"/>
    </row>
    <row r="919" spans="1:10">
      <c r="A919" s="130"/>
      <c r="C919" s="222"/>
      <c r="I919" s="2"/>
      <c r="J919" s="2"/>
    </row>
    <row r="920" spans="1:10">
      <c r="A920" s="130"/>
      <c r="C920" s="222"/>
      <c r="I920" s="2"/>
      <c r="J920" s="2"/>
    </row>
    <row r="921" spans="1:10">
      <c r="A921" s="130"/>
      <c r="C921" s="222"/>
      <c r="I921" s="2"/>
      <c r="J921" s="2"/>
    </row>
    <row r="922" spans="1:10">
      <c r="A922" s="130"/>
      <c r="C922" s="222"/>
      <c r="I922" s="2"/>
      <c r="J922" s="2"/>
    </row>
    <row r="923" spans="1:10">
      <c r="A923" s="130"/>
      <c r="C923" s="222"/>
      <c r="I923" s="2"/>
      <c r="J923" s="2"/>
    </row>
    <row r="924" spans="1:10">
      <c r="A924" s="130"/>
      <c r="C924" s="222"/>
      <c r="I924" s="2"/>
      <c r="J924" s="2"/>
    </row>
    <row r="925" spans="1:10">
      <c r="A925" s="130"/>
      <c r="C925" s="222"/>
      <c r="I925" s="2"/>
      <c r="J925" s="2"/>
    </row>
    <row r="926" spans="1:10">
      <c r="A926" s="130"/>
      <c r="C926" s="222"/>
      <c r="I926" s="2"/>
      <c r="J926" s="2"/>
    </row>
    <row r="927" spans="1:10">
      <c r="A927" s="130"/>
      <c r="C927" s="222"/>
      <c r="I927" s="2"/>
      <c r="J927" s="2"/>
    </row>
    <row r="928" spans="1:10">
      <c r="A928" s="130"/>
      <c r="C928" s="222"/>
      <c r="I928" s="2"/>
      <c r="J928" s="2"/>
    </row>
    <row r="929" spans="1:10">
      <c r="A929" s="130"/>
      <c r="C929" s="222"/>
      <c r="I929" s="2"/>
      <c r="J929" s="2"/>
    </row>
    <row r="930" spans="1:10">
      <c r="A930" s="130"/>
      <c r="C930" s="222"/>
      <c r="I930" s="2"/>
      <c r="J930" s="2"/>
    </row>
    <row r="931" spans="1:10">
      <c r="A931" s="130"/>
      <c r="C931" s="222"/>
      <c r="I931" s="2"/>
      <c r="J931" s="2"/>
    </row>
    <row r="932" spans="1:10">
      <c r="A932" s="130"/>
      <c r="C932" s="222"/>
      <c r="I932" s="2"/>
      <c r="J932" s="2"/>
    </row>
    <row r="933" spans="1:10">
      <c r="A933" s="130"/>
      <c r="C933" s="222"/>
      <c r="I933" s="2"/>
      <c r="J933" s="2"/>
    </row>
    <row r="934" spans="1:10">
      <c r="A934" s="130"/>
      <c r="C934" s="222"/>
      <c r="I934" s="2"/>
      <c r="J934" s="2"/>
    </row>
    <row r="935" spans="1:10">
      <c r="A935" s="130"/>
      <c r="C935" s="222"/>
      <c r="I935" s="2"/>
      <c r="J935" s="2"/>
    </row>
    <row r="936" spans="1:10">
      <c r="A936" s="130"/>
      <c r="C936" s="222"/>
      <c r="I936" s="2"/>
      <c r="J936" s="2"/>
    </row>
    <row r="937" spans="1:10">
      <c r="A937" s="130"/>
      <c r="C937" s="222"/>
      <c r="I937" s="2"/>
      <c r="J937" s="2"/>
    </row>
    <row r="938" spans="1:10">
      <c r="A938" s="130"/>
      <c r="C938" s="222"/>
      <c r="I938" s="2"/>
      <c r="J938" s="2"/>
    </row>
    <row r="939" spans="1:10">
      <c r="A939" s="130"/>
      <c r="C939" s="222"/>
      <c r="I939" s="2"/>
      <c r="J939" s="2"/>
    </row>
    <row r="940" spans="1:10">
      <c r="A940" s="130"/>
      <c r="C940" s="222"/>
      <c r="I940" s="2"/>
      <c r="J940" s="2"/>
    </row>
    <row r="941" spans="1:10">
      <c r="A941" s="130"/>
      <c r="C941" s="222"/>
      <c r="I941" s="2"/>
      <c r="J941" s="2"/>
    </row>
    <row r="942" spans="1:10">
      <c r="A942" s="130"/>
      <c r="C942" s="222"/>
      <c r="I942" s="2"/>
      <c r="J942" s="2"/>
    </row>
    <row r="943" spans="1:10">
      <c r="A943" s="130"/>
      <c r="C943" s="222"/>
      <c r="I943" s="2"/>
      <c r="J943" s="2"/>
    </row>
    <row r="944" spans="1:10">
      <c r="A944" s="130"/>
      <c r="C944" s="222"/>
      <c r="I944" s="2"/>
      <c r="J944" s="2"/>
    </row>
    <row r="945" spans="1:10">
      <c r="A945" s="130"/>
      <c r="C945" s="222"/>
      <c r="I945" s="2"/>
      <c r="J945" s="2"/>
    </row>
    <row r="946" spans="1:10">
      <c r="A946" s="130"/>
      <c r="C946" s="222"/>
      <c r="I946" s="2"/>
      <c r="J946" s="2"/>
    </row>
    <row r="947" spans="1:10">
      <c r="A947" s="130"/>
      <c r="C947" s="222"/>
      <c r="I947" s="2"/>
      <c r="J947" s="2"/>
    </row>
    <row r="948" spans="1:10">
      <c r="A948" s="130"/>
      <c r="C948" s="222"/>
      <c r="I948" s="2"/>
      <c r="J948" s="2"/>
    </row>
    <row r="949" spans="1:10">
      <c r="A949" s="130"/>
      <c r="C949" s="222"/>
      <c r="I949" s="2"/>
      <c r="J949" s="2"/>
    </row>
    <row r="950" spans="1:10">
      <c r="A950" s="130"/>
      <c r="C950" s="222"/>
      <c r="I950" s="2"/>
      <c r="J950" s="2"/>
    </row>
    <row r="951" spans="1:10">
      <c r="A951" s="130"/>
      <c r="C951" s="222"/>
      <c r="I951" s="2"/>
      <c r="J951" s="2"/>
    </row>
    <row r="952" spans="1:10">
      <c r="A952" s="130"/>
      <c r="C952" s="222"/>
      <c r="I952" s="2"/>
      <c r="J952" s="2"/>
    </row>
    <row r="953" spans="1:10">
      <c r="A953" s="130"/>
      <c r="C953" s="222"/>
      <c r="I953" s="2"/>
      <c r="J953" s="2"/>
    </row>
    <row r="954" spans="1:10">
      <c r="A954" s="130"/>
      <c r="C954" s="222"/>
      <c r="I954" s="2"/>
      <c r="J954" s="2"/>
    </row>
    <row r="955" spans="1:10">
      <c r="A955" s="130"/>
      <c r="C955" s="222"/>
      <c r="I955" s="2"/>
      <c r="J955" s="2"/>
    </row>
    <row r="956" spans="1:10">
      <c r="A956" s="130"/>
      <c r="C956" s="222"/>
      <c r="I956" s="2"/>
      <c r="J956" s="2"/>
    </row>
    <row r="957" spans="1:10">
      <c r="A957" s="130"/>
      <c r="C957" s="222"/>
      <c r="I957" s="2"/>
      <c r="J957" s="2"/>
    </row>
    <row r="958" spans="1:10">
      <c r="A958" s="130"/>
      <c r="C958" s="222"/>
      <c r="I958" s="2"/>
      <c r="J958" s="2"/>
    </row>
    <row r="959" spans="1:10">
      <c r="A959" s="130"/>
      <c r="C959" s="222"/>
      <c r="I959" s="2"/>
      <c r="J959" s="2"/>
    </row>
    <row r="960" spans="1:10">
      <c r="A960" s="130"/>
      <c r="C960" s="222"/>
      <c r="I960" s="2"/>
      <c r="J960" s="2"/>
    </row>
    <row r="961" spans="1:10">
      <c r="A961" s="130"/>
      <c r="C961" s="222"/>
      <c r="I961" s="2"/>
      <c r="J961" s="2"/>
    </row>
    <row r="962" spans="1:10">
      <c r="A962" s="130"/>
      <c r="C962" s="222"/>
      <c r="I962" s="2"/>
      <c r="J962" s="2"/>
    </row>
    <row r="963" spans="1:10">
      <c r="A963" s="130"/>
      <c r="C963" s="222"/>
      <c r="I963" s="2"/>
      <c r="J963" s="2"/>
    </row>
    <row r="964" spans="1:10">
      <c r="A964" s="130"/>
      <c r="C964" s="222"/>
      <c r="I964" s="2"/>
      <c r="J964" s="2"/>
    </row>
    <row r="965" spans="1:10">
      <c r="A965" s="130"/>
      <c r="C965" s="222"/>
      <c r="I965" s="2"/>
      <c r="J965" s="2"/>
    </row>
    <row r="966" spans="1:10">
      <c r="A966" s="130"/>
      <c r="C966" s="222"/>
      <c r="I966" s="2"/>
      <c r="J966" s="2"/>
    </row>
    <row r="967" spans="1:10">
      <c r="A967" s="130"/>
      <c r="C967" s="222"/>
      <c r="I967" s="2"/>
      <c r="J967" s="2"/>
    </row>
    <row r="968" spans="1:10">
      <c r="A968" s="130"/>
      <c r="C968" s="222"/>
      <c r="I968" s="2"/>
      <c r="J968" s="2"/>
    </row>
    <row r="969" spans="1:10">
      <c r="A969" s="130"/>
      <c r="C969" s="222"/>
      <c r="I969" s="2"/>
      <c r="J969" s="2"/>
    </row>
    <row r="970" spans="1:10">
      <c r="A970" s="130"/>
      <c r="C970" s="222"/>
      <c r="I970" s="2"/>
      <c r="J970" s="2"/>
    </row>
    <row r="971" spans="1:10">
      <c r="A971" s="130"/>
      <c r="C971" s="222"/>
      <c r="I971" s="2"/>
      <c r="J971" s="2"/>
    </row>
    <row r="972" spans="1:10">
      <c r="A972" s="130"/>
      <c r="C972" s="222"/>
      <c r="I972" s="2"/>
      <c r="J972" s="2"/>
    </row>
    <row r="973" spans="1:10">
      <c r="A973" s="130"/>
      <c r="C973" s="222"/>
      <c r="I973" s="2"/>
      <c r="J973" s="2"/>
    </row>
    <row r="974" spans="1:10">
      <c r="A974" s="130"/>
      <c r="C974" s="222"/>
      <c r="I974" s="2"/>
      <c r="J974" s="2"/>
    </row>
    <row r="975" spans="1:10">
      <c r="A975" s="130"/>
      <c r="C975" s="222"/>
      <c r="I975" s="2"/>
      <c r="J975" s="2"/>
    </row>
    <row r="976" spans="1:10">
      <c r="A976" s="130"/>
      <c r="C976" s="222"/>
      <c r="I976" s="2"/>
      <c r="J976" s="2"/>
    </row>
    <row r="977" spans="1:10">
      <c r="A977" s="130"/>
      <c r="C977" s="222"/>
      <c r="I977" s="2"/>
      <c r="J977" s="2"/>
    </row>
    <row r="978" spans="1:10">
      <c r="A978" s="130"/>
      <c r="C978" s="222"/>
      <c r="I978" s="2"/>
      <c r="J978" s="2"/>
    </row>
    <row r="979" spans="1:10">
      <c r="A979" s="130"/>
      <c r="C979" s="222"/>
      <c r="I979" s="2"/>
      <c r="J979" s="2"/>
    </row>
    <row r="980" spans="1:10">
      <c r="A980" s="130"/>
      <c r="C980" s="222"/>
      <c r="I980" s="2"/>
      <c r="J980" s="2"/>
    </row>
    <row r="981" spans="1:10">
      <c r="A981" s="130"/>
      <c r="C981" s="222"/>
      <c r="I981" s="2"/>
      <c r="J981" s="2"/>
    </row>
    <row r="982" spans="1:10">
      <c r="A982" s="130"/>
      <c r="C982" s="222"/>
      <c r="I982" s="2"/>
      <c r="J982" s="2"/>
    </row>
    <row r="983" spans="1:10">
      <c r="A983" s="130"/>
      <c r="C983" s="222"/>
      <c r="I983" s="2"/>
      <c r="J983" s="2"/>
    </row>
    <row r="984" spans="1:10">
      <c r="A984" s="130"/>
      <c r="C984" s="222"/>
      <c r="I984" s="2"/>
      <c r="J984" s="2"/>
    </row>
    <row r="985" spans="1:10">
      <c r="A985" s="130"/>
      <c r="C985" s="222"/>
      <c r="I985" s="2"/>
      <c r="J985" s="2"/>
    </row>
    <row r="986" spans="1:10">
      <c r="A986" s="130"/>
      <c r="C986" s="222"/>
      <c r="I986" s="2"/>
      <c r="J986" s="2"/>
    </row>
    <row r="987" spans="1:10">
      <c r="A987" s="130"/>
      <c r="C987" s="222"/>
      <c r="I987" s="2"/>
      <c r="J987" s="2"/>
    </row>
    <row r="988" spans="1:10">
      <c r="A988" s="130"/>
      <c r="C988" s="222"/>
      <c r="I988" s="2"/>
      <c r="J988" s="2"/>
    </row>
    <row r="989" spans="1:10">
      <c r="A989" s="130"/>
      <c r="C989" s="222"/>
      <c r="I989" s="2"/>
      <c r="J989" s="2"/>
    </row>
    <row r="990" spans="1:10">
      <c r="A990" s="130"/>
      <c r="C990" s="222"/>
      <c r="I990" s="2"/>
      <c r="J990" s="2"/>
    </row>
    <row r="991" spans="1:10">
      <c r="A991" s="130"/>
      <c r="C991" s="222"/>
      <c r="I991" s="2"/>
      <c r="J991" s="2"/>
    </row>
    <row r="992" spans="1:10">
      <c r="A992" s="130"/>
      <c r="C992" s="222"/>
      <c r="I992" s="2"/>
      <c r="J992" s="2"/>
    </row>
    <row r="993" spans="1:10">
      <c r="A993" s="130"/>
      <c r="C993" s="222"/>
      <c r="I993" s="2"/>
      <c r="J993" s="2"/>
    </row>
    <row r="994" spans="1:10">
      <c r="A994" s="130"/>
      <c r="C994" s="222"/>
      <c r="I994" s="2"/>
      <c r="J994" s="2"/>
    </row>
    <row r="995" spans="1:10">
      <c r="A995" s="130"/>
      <c r="C995" s="222"/>
      <c r="I995" s="2"/>
      <c r="J995" s="2"/>
    </row>
    <row r="996" spans="1:10">
      <c r="A996" s="130"/>
      <c r="C996" s="222"/>
      <c r="I996" s="2"/>
      <c r="J996" s="2"/>
    </row>
    <row r="997" spans="1:10">
      <c r="A997" s="130"/>
      <c r="C997" s="222"/>
      <c r="I997" s="2"/>
      <c r="J997" s="2"/>
    </row>
    <row r="998" spans="1:10">
      <c r="A998" s="130"/>
      <c r="C998" s="222"/>
      <c r="I998" s="2"/>
      <c r="J998" s="2"/>
    </row>
    <row r="999" spans="1:10">
      <c r="A999" s="130"/>
      <c r="C999" s="222"/>
      <c r="I999" s="2"/>
      <c r="J999" s="2"/>
    </row>
    <row r="1000" spans="1:10">
      <c r="A1000" s="130"/>
      <c r="C1000" s="222"/>
      <c r="I1000" s="2"/>
      <c r="J1000" s="2"/>
    </row>
    <row r="1001" spans="1:10">
      <c r="A1001" s="130"/>
      <c r="C1001" s="222"/>
      <c r="I1001" s="2"/>
      <c r="J1001" s="2"/>
    </row>
    <row r="1002" spans="1:10">
      <c r="A1002" s="130"/>
      <c r="C1002" s="222"/>
      <c r="I1002" s="2"/>
      <c r="J1002" s="2"/>
    </row>
    <row r="1003" spans="1:10">
      <c r="A1003" s="130"/>
      <c r="C1003" s="222"/>
      <c r="I1003" s="2"/>
      <c r="J1003" s="2"/>
    </row>
    <row r="1004" spans="1:10">
      <c r="A1004" s="130"/>
      <c r="C1004" s="222"/>
      <c r="I1004" s="2"/>
      <c r="J1004" s="2"/>
    </row>
    <row r="1005" spans="1:10">
      <c r="A1005" s="130"/>
      <c r="C1005" s="222"/>
      <c r="I1005" s="2"/>
      <c r="J1005" s="2"/>
    </row>
    <row r="1006" spans="1:10">
      <c r="A1006" s="130"/>
      <c r="C1006" s="222"/>
      <c r="I1006" s="2"/>
      <c r="J1006" s="2"/>
    </row>
    <row r="1007" spans="1:10">
      <c r="A1007" s="130"/>
      <c r="C1007" s="222"/>
      <c r="I1007" s="2"/>
      <c r="J1007" s="2"/>
    </row>
    <row r="1008" spans="1:10">
      <c r="A1008" s="130"/>
      <c r="C1008" s="222"/>
      <c r="I1008" s="2"/>
      <c r="J1008" s="2"/>
    </row>
    <row r="1009" spans="1:10">
      <c r="A1009" s="130"/>
      <c r="C1009" s="222"/>
      <c r="I1009" s="2"/>
      <c r="J1009" s="2"/>
    </row>
    <row r="1010" spans="1:10">
      <c r="A1010" s="130"/>
      <c r="C1010" s="222"/>
      <c r="I1010" s="2"/>
      <c r="J1010" s="2"/>
    </row>
    <row r="1011" spans="1:10">
      <c r="A1011" s="130"/>
      <c r="C1011" s="222"/>
      <c r="I1011" s="2"/>
      <c r="J1011" s="2"/>
    </row>
    <row r="1012" spans="1:10">
      <c r="A1012" s="130"/>
      <c r="C1012" s="222"/>
      <c r="I1012" s="2"/>
      <c r="J1012" s="2"/>
    </row>
    <row r="1013" spans="1:10">
      <c r="A1013" s="130"/>
      <c r="C1013" s="222"/>
      <c r="I1013" s="2"/>
      <c r="J1013" s="2"/>
    </row>
    <row r="1014" spans="1:10">
      <c r="A1014" s="130"/>
      <c r="C1014" s="222"/>
      <c r="I1014" s="2"/>
      <c r="J1014" s="2"/>
    </row>
    <row r="1015" spans="1:10">
      <c r="A1015" s="130"/>
      <c r="C1015" s="222"/>
      <c r="I1015" s="2"/>
      <c r="J1015" s="2"/>
    </row>
    <row r="1016" spans="1:10">
      <c r="A1016" s="130"/>
      <c r="C1016" s="222"/>
      <c r="I1016" s="2"/>
      <c r="J1016" s="2"/>
    </row>
    <row r="1017" spans="1:10">
      <c r="A1017" s="130"/>
      <c r="C1017" s="222"/>
      <c r="I1017" s="2"/>
      <c r="J1017" s="2"/>
    </row>
    <row r="1018" spans="1:10">
      <c r="A1018" s="130"/>
      <c r="C1018" s="222"/>
      <c r="I1018" s="2"/>
      <c r="J1018" s="2"/>
    </row>
    <row r="1019" spans="1:10">
      <c r="A1019" s="130"/>
      <c r="C1019" s="222"/>
      <c r="I1019" s="2"/>
      <c r="J1019" s="2"/>
    </row>
    <row r="1020" spans="1:10">
      <c r="A1020" s="130"/>
      <c r="C1020" s="222"/>
      <c r="I1020" s="2"/>
      <c r="J1020" s="2"/>
    </row>
    <row r="1021" spans="1:10">
      <c r="A1021" s="130"/>
      <c r="C1021" s="222"/>
      <c r="I1021" s="2"/>
      <c r="J1021" s="2"/>
    </row>
    <row r="1022" spans="1:10">
      <c r="A1022" s="130"/>
      <c r="C1022" s="222"/>
      <c r="I1022" s="2"/>
      <c r="J1022" s="2"/>
    </row>
    <row r="1023" spans="1:10">
      <c r="A1023" s="130"/>
      <c r="C1023" s="222"/>
      <c r="I1023" s="2"/>
      <c r="J1023" s="2"/>
    </row>
    <row r="1024" spans="1:10">
      <c r="A1024" s="130"/>
      <c r="C1024" s="222"/>
      <c r="I1024" s="2"/>
      <c r="J1024" s="2"/>
    </row>
    <row r="1025" spans="1:10">
      <c r="A1025" s="130"/>
      <c r="C1025" s="222"/>
      <c r="I1025" s="2"/>
      <c r="J1025" s="2"/>
    </row>
    <row r="1026" spans="1:10">
      <c r="A1026" s="130"/>
      <c r="C1026" s="222"/>
      <c r="I1026" s="2"/>
      <c r="J1026" s="2"/>
    </row>
    <row r="1027" spans="1:10">
      <c r="A1027" s="130"/>
      <c r="C1027" s="222"/>
      <c r="I1027" s="2"/>
      <c r="J1027" s="2"/>
    </row>
    <row r="1028" spans="1:10">
      <c r="A1028" s="130"/>
      <c r="C1028" s="222"/>
      <c r="I1028" s="2"/>
      <c r="J1028" s="2"/>
    </row>
    <row r="1029" spans="1:10">
      <c r="A1029" s="130"/>
      <c r="C1029" s="222"/>
      <c r="I1029" s="2"/>
      <c r="J1029" s="2"/>
    </row>
    <row r="1030" spans="1:10">
      <c r="A1030" s="130"/>
      <c r="C1030" s="222"/>
      <c r="I1030" s="2"/>
      <c r="J1030" s="2"/>
    </row>
    <row r="1031" spans="1:10">
      <c r="A1031" s="130"/>
      <c r="C1031" s="222"/>
      <c r="I1031" s="2"/>
      <c r="J1031" s="2"/>
    </row>
    <row r="1032" spans="1:10">
      <c r="A1032" s="130"/>
      <c r="C1032" s="222"/>
      <c r="I1032" s="2"/>
      <c r="J1032" s="2"/>
    </row>
    <row r="1033" spans="1:10">
      <c r="A1033" s="130"/>
      <c r="C1033" s="222"/>
      <c r="I1033" s="2"/>
      <c r="J1033" s="2"/>
    </row>
    <row r="1034" spans="1:10">
      <c r="A1034" s="130"/>
      <c r="C1034" s="222"/>
      <c r="I1034" s="2"/>
      <c r="J1034" s="2"/>
    </row>
    <row r="1035" spans="1:10">
      <c r="A1035" s="130"/>
      <c r="C1035" s="222"/>
      <c r="I1035" s="2"/>
      <c r="J1035" s="2"/>
    </row>
    <row r="1036" spans="1:10">
      <c r="A1036" s="130"/>
      <c r="C1036" s="222"/>
      <c r="I1036" s="2"/>
      <c r="J1036" s="2"/>
    </row>
    <row r="1037" spans="1:10">
      <c r="A1037" s="130"/>
      <c r="C1037" s="222"/>
      <c r="I1037" s="2"/>
      <c r="J1037" s="2"/>
    </row>
    <row r="1038" spans="1:10">
      <c r="A1038" s="130"/>
      <c r="C1038" s="222"/>
      <c r="I1038" s="2"/>
      <c r="J1038" s="2"/>
    </row>
    <row r="1039" spans="1:10">
      <c r="A1039" s="130"/>
      <c r="C1039" s="222"/>
      <c r="I1039" s="2"/>
      <c r="J1039" s="2"/>
    </row>
    <row r="1040" spans="1:10">
      <c r="A1040" s="130"/>
      <c r="C1040" s="222"/>
      <c r="I1040" s="2"/>
      <c r="J1040" s="2"/>
    </row>
    <row r="1041" spans="1:10">
      <c r="A1041" s="130"/>
      <c r="C1041" s="222"/>
      <c r="I1041" s="2"/>
      <c r="J1041" s="2"/>
    </row>
    <row r="1042" spans="1:10">
      <c r="A1042" s="130"/>
      <c r="C1042" s="222"/>
      <c r="I1042" s="2"/>
      <c r="J1042" s="2"/>
    </row>
    <row r="1043" spans="1:10">
      <c r="A1043" s="130"/>
      <c r="C1043" s="222"/>
      <c r="I1043" s="2"/>
      <c r="J1043" s="2"/>
    </row>
    <row r="1044" spans="1:10">
      <c r="A1044" s="130"/>
      <c r="C1044" s="222"/>
      <c r="I1044" s="2"/>
      <c r="J1044" s="2"/>
    </row>
    <row r="1045" spans="1:10">
      <c r="A1045" s="130"/>
      <c r="C1045" s="222"/>
      <c r="I1045" s="2"/>
      <c r="J1045" s="2"/>
    </row>
    <row r="1046" spans="1:10">
      <c r="A1046" s="130"/>
      <c r="C1046" s="222"/>
      <c r="I1046" s="2"/>
      <c r="J1046" s="2"/>
    </row>
    <row r="1047" spans="1:10">
      <c r="A1047" s="130"/>
      <c r="C1047" s="222"/>
      <c r="I1047" s="2"/>
      <c r="J1047" s="2"/>
    </row>
    <row r="1048" spans="1:10">
      <c r="A1048" s="130"/>
      <c r="C1048" s="222"/>
      <c r="I1048" s="2"/>
      <c r="J1048" s="2"/>
    </row>
    <row r="1049" spans="1:10">
      <c r="A1049" s="130"/>
      <c r="C1049" s="222"/>
      <c r="I1049" s="2"/>
      <c r="J1049" s="2"/>
    </row>
    <row r="1050" spans="1:10">
      <c r="A1050" s="130"/>
      <c r="C1050" s="222"/>
      <c r="I1050" s="2"/>
      <c r="J1050" s="2"/>
    </row>
    <row r="1051" spans="1:10">
      <c r="A1051" s="130"/>
      <c r="C1051" s="222"/>
      <c r="I1051" s="2"/>
      <c r="J1051" s="2"/>
    </row>
    <row r="1052" spans="1:10">
      <c r="A1052" s="130"/>
      <c r="C1052" s="222"/>
      <c r="I1052" s="2"/>
      <c r="J1052" s="2"/>
    </row>
    <row r="1053" spans="1:10">
      <c r="A1053" s="130"/>
      <c r="C1053" s="222"/>
      <c r="I1053" s="2"/>
      <c r="J1053" s="2"/>
    </row>
    <row r="1054" spans="1:10">
      <c r="A1054" s="130"/>
      <c r="C1054" s="222"/>
      <c r="I1054" s="2"/>
      <c r="J1054" s="2"/>
    </row>
    <row r="1055" spans="1:10">
      <c r="A1055" s="130"/>
      <c r="C1055" s="222"/>
      <c r="I1055" s="2"/>
      <c r="J1055" s="2"/>
    </row>
    <row r="1056" spans="1:10">
      <c r="A1056" s="130"/>
      <c r="C1056" s="222"/>
      <c r="I1056" s="2"/>
      <c r="J1056" s="2"/>
    </row>
    <row r="1057" spans="1:10">
      <c r="A1057" s="130"/>
      <c r="C1057" s="222"/>
      <c r="I1057" s="2"/>
      <c r="J1057" s="2"/>
    </row>
    <row r="1058" spans="1:10">
      <c r="A1058" s="130"/>
      <c r="C1058" s="222"/>
      <c r="I1058" s="2"/>
      <c r="J1058" s="2"/>
    </row>
    <row r="1059" spans="1:10">
      <c r="A1059" s="130"/>
      <c r="C1059" s="222"/>
      <c r="I1059" s="2"/>
      <c r="J1059" s="2"/>
    </row>
    <row r="1060" spans="1:10">
      <c r="A1060" s="130"/>
      <c r="C1060" s="222"/>
      <c r="I1060" s="2"/>
      <c r="J1060" s="2"/>
    </row>
    <row r="1061" spans="1:10">
      <c r="A1061" s="130"/>
      <c r="C1061" s="222"/>
      <c r="I1061" s="2"/>
      <c r="J1061" s="2"/>
    </row>
    <row r="1062" spans="1:10">
      <c r="A1062" s="130"/>
      <c r="C1062" s="222"/>
      <c r="I1062" s="2"/>
      <c r="J1062" s="2"/>
    </row>
    <row r="1063" spans="1:10">
      <c r="A1063" s="130"/>
      <c r="C1063" s="222"/>
      <c r="I1063" s="2"/>
      <c r="J1063" s="2"/>
    </row>
    <row r="1064" spans="1:10">
      <c r="A1064" s="130"/>
      <c r="C1064" s="222"/>
      <c r="I1064" s="2"/>
      <c r="J1064" s="2"/>
    </row>
    <row r="1065" spans="1:10">
      <c r="A1065" s="130"/>
      <c r="C1065" s="222"/>
      <c r="I1065" s="2"/>
      <c r="J1065" s="2"/>
    </row>
    <row r="1066" spans="1:10">
      <c r="A1066" s="130"/>
      <c r="C1066" s="222"/>
      <c r="I1066" s="2"/>
      <c r="J1066" s="2"/>
    </row>
    <row r="1067" spans="1:10">
      <c r="A1067" s="130"/>
      <c r="C1067" s="222"/>
      <c r="I1067" s="2"/>
      <c r="J1067" s="2"/>
    </row>
    <row r="1068" spans="1:10">
      <c r="A1068" s="130"/>
      <c r="C1068" s="222"/>
      <c r="I1068" s="2"/>
      <c r="J1068" s="2"/>
    </row>
    <row r="1069" spans="1:10">
      <c r="A1069" s="130"/>
      <c r="C1069" s="222"/>
      <c r="I1069" s="2"/>
      <c r="J1069" s="2"/>
    </row>
    <row r="1070" spans="1:10">
      <c r="A1070" s="130"/>
      <c r="C1070" s="222"/>
      <c r="I1070" s="2"/>
      <c r="J1070" s="2"/>
    </row>
    <row r="1071" spans="1:10">
      <c r="A1071" s="130"/>
      <c r="C1071" s="222"/>
      <c r="I1071" s="2"/>
      <c r="J1071" s="2"/>
    </row>
    <row r="1072" spans="1:10">
      <c r="A1072" s="130"/>
      <c r="C1072" s="222"/>
      <c r="I1072" s="2"/>
      <c r="J1072" s="2"/>
    </row>
    <row r="1073" spans="1:10">
      <c r="A1073" s="130"/>
      <c r="C1073" s="222"/>
      <c r="I1073" s="2"/>
      <c r="J1073" s="2"/>
    </row>
    <row r="1074" spans="1:10">
      <c r="A1074" s="130"/>
      <c r="C1074" s="222"/>
      <c r="I1074" s="2"/>
      <c r="J1074" s="2"/>
    </row>
    <row r="1075" spans="1:10">
      <c r="A1075" s="130"/>
      <c r="C1075" s="222"/>
      <c r="I1075" s="2"/>
      <c r="J1075" s="2"/>
    </row>
    <row r="1076" spans="1:10">
      <c r="A1076" s="130"/>
      <c r="C1076" s="222"/>
      <c r="I1076" s="2"/>
      <c r="J1076" s="2"/>
    </row>
    <row r="1077" spans="1:10">
      <c r="A1077" s="130"/>
      <c r="C1077" s="222"/>
      <c r="I1077" s="2"/>
      <c r="J1077" s="2"/>
    </row>
    <row r="1078" spans="1:10">
      <c r="A1078" s="130"/>
      <c r="C1078" s="222"/>
      <c r="I1078" s="2"/>
      <c r="J1078" s="2"/>
    </row>
    <row r="1079" spans="1:10">
      <c r="A1079" s="130"/>
      <c r="C1079" s="222"/>
      <c r="I1079" s="2"/>
      <c r="J1079" s="2"/>
    </row>
    <row r="1080" spans="1:10">
      <c r="A1080" s="130"/>
      <c r="C1080" s="222"/>
      <c r="I1080" s="2"/>
      <c r="J1080" s="2"/>
    </row>
    <row r="1081" spans="1:10">
      <c r="A1081" s="130"/>
      <c r="C1081" s="222"/>
      <c r="I1081" s="2"/>
      <c r="J1081" s="2"/>
    </row>
    <row r="1082" spans="1:10">
      <c r="A1082" s="130"/>
      <c r="C1082" s="222"/>
      <c r="I1082" s="2"/>
      <c r="J1082" s="2"/>
    </row>
    <row r="1083" spans="1:10">
      <c r="A1083" s="130"/>
      <c r="C1083" s="222"/>
      <c r="I1083" s="2"/>
      <c r="J1083" s="2"/>
    </row>
    <row r="1084" spans="1:10">
      <c r="A1084" s="130"/>
      <c r="C1084" s="222"/>
      <c r="I1084" s="2"/>
      <c r="J1084" s="2"/>
    </row>
    <row r="1085" spans="1:10">
      <c r="A1085" s="130"/>
      <c r="C1085" s="222"/>
      <c r="I1085" s="2"/>
      <c r="J1085" s="2"/>
    </row>
    <row r="1086" spans="1:10">
      <c r="A1086" s="130"/>
      <c r="C1086" s="222"/>
      <c r="I1086" s="2"/>
      <c r="J1086" s="2"/>
    </row>
    <row r="1087" spans="1:10">
      <c r="A1087" s="130"/>
      <c r="C1087" s="222"/>
      <c r="I1087" s="2"/>
      <c r="J1087" s="2"/>
    </row>
    <row r="1088" spans="1:10">
      <c r="A1088" s="130"/>
      <c r="C1088" s="222"/>
      <c r="I1088" s="2"/>
      <c r="J1088" s="2"/>
    </row>
    <row r="1089" spans="1:10">
      <c r="A1089" s="130"/>
      <c r="C1089" s="222"/>
      <c r="I1089" s="2"/>
      <c r="J1089" s="2"/>
    </row>
    <row r="1090" spans="1:10">
      <c r="A1090" s="130"/>
      <c r="C1090" s="222"/>
      <c r="I1090" s="2"/>
      <c r="J1090" s="2"/>
    </row>
    <row r="1091" spans="1:10">
      <c r="A1091" s="130"/>
      <c r="C1091" s="222"/>
      <c r="I1091" s="2"/>
      <c r="J1091" s="2"/>
    </row>
    <row r="1092" spans="1:10">
      <c r="A1092" s="130"/>
      <c r="C1092" s="222"/>
      <c r="I1092" s="2"/>
      <c r="J1092" s="2"/>
    </row>
    <row r="1093" spans="1:10">
      <c r="A1093" s="130"/>
      <c r="C1093" s="222"/>
      <c r="I1093" s="2"/>
      <c r="J1093" s="2"/>
    </row>
    <row r="1094" spans="1:10">
      <c r="A1094" s="130"/>
      <c r="C1094" s="222"/>
      <c r="I1094" s="2"/>
      <c r="J1094" s="2"/>
    </row>
    <row r="1095" spans="1:10">
      <c r="A1095" s="130"/>
      <c r="C1095" s="222"/>
      <c r="I1095" s="2"/>
      <c r="J1095" s="2"/>
    </row>
    <row r="1096" spans="1:10">
      <c r="A1096" s="130"/>
      <c r="C1096" s="222"/>
      <c r="I1096" s="2"/>
      <c r="J1096" s="2"/>
    </row>
    <row r="1097" spans="1:10">
      <c r="A1097" s="130"/>
      <c r="C1097" s="222"/>
      <c r="I1097" s="2"/>
      <c r="J1097" s="2"/>
    </row>
    <row r="1098" spans="1:10">
      <c r="A1098" s="130"/>
      <c r="C1098" s="222"/>
      <c r="I1098" s="2"/>
      <c r="J1098" s="2"/>
    </row>
    <row r="1099" spans="1:10">
      <c r="A1099" s="130"/>
      <c r="C1099" s="222"/>
      <c r="I1099" s="2"/>
      <c r="J1099" s="2"/>
    </row>
    <row r="1100" spans="1:10">
      <c r="A1100" s="130"/>
      <c r="C1100" s="222"/>
      <c r="I1100" s="2"/>
      <c r="J1100" s="2"/>
    </row>
    <row r="1101" spans="1:10">
      <c r="A1101" s="130"/>
      <c r="C1101" s="222"/>
      <c r="I1101" s="2"/>
      <c r="J1101" s="2"/>
    </row>
    <row r="1102" spans="1:10">
      <c r="A1102" s="130"/>
      <c r="C1102" s="222"/>
      <c r="I1102" s="2"/>
      <c r="J1102" s="2"/>
    </row>
    <row r="1103" spans="1:10">
      <c r="A1103" s="130"/>
      <c r="C1103" s="222"/>
      <c r="I1103" s="2"/>
      <c r="J1103" s="2"/>
    </row>
    <row r="1104" spans="1:10">
      <c r="A1104" s="130"/>
      <c r="C1104" s="222"/>
      <c r="I1104" s="2"/>
      <c r="J1104" s="2"/>
    </row>
    <row r="1105" spans="1:10">
      <c r="A1105" s="130"/>
      <c r="C1105" s="222"/>
      <c r="I1105" s="2"/>
      <c r="J1105" s="2"/>
    </row>
    <row r="1106" spans="1:10">
      <c r="A1106" s="130"/>
      <c r="C1106" s="222"/>
      <c r="I1106" s="2"/>
      <c r="J1106" s="2"/>
    </row>
    <row r="1107" spans="1:10">
      <c r="A1107" s="130"/>
      <c r="C1107" s="222"/>
      <c r="I1107" s="2"/>
      <c r="J1107" s="2"/>
    </row>
    <row r="1108" spans="1:10">
      <c r="A1108" s="130"/>
      <c r="C1108" s="222"/>
      <c r="I1108" s="2"/>
      <c r="J1108" s="2"/>
    </row>
    <row r="1109" spans="1:10">
      <c r="A1109" s="130"/>
      <c r="C1109" s="222"/>
      <c r="I1109" s="2"/>
      <c r="J1109" s="2"/>
    </row>
    <row r="1110" spans="1:10">
      <c r="A1110" s="130"/>
      <c r="C1110" s="222"/>
      <c r="I1110" s="2"/>
      <c r="J1110" s="2"/>
    </row>
    <row r="1111" spans="1:10">
      <c r="A1111" s="130"/>
      <c r="C1111" s="222"/>
      <c r="I1111" s="2"/>
      <c r="J1111" s="2"/>
    </row>
    <row r="1112" spans="1:10">
      <c r="A1112" s="130"/>
      <c r="C1112" s="222"/>
      <c r="I1112" s="2"/>
      <c r="J1112" s="2"/>
    </row>
    <row r="1113" spans="1:10">
      <c r="A1113" s="130"/>
      <c r="C1113" s="222"/>
      <c r="I1113" s="2"/>
      <c r="J1113" s="2"/>
    </row>
    <row r="1114" spans="1:10">
      <c r="A1114" s="130"/>
      <c r="C1114" s="222"/>
      <c r="I1114" s="2"/>
      <c r="J1114" s="2"/>
    </row>
    <row r="1115" spans="1:10">
      <c r="A1115" s="130"/>
      <c r="C1115" s="222"/>
      <c r="I1115" s="2"/>
      <c r="J1115" s="2"/>
    </row>
    <row r="1116" spans="1:10">
      <c r="A1116" s="130"/>
      <c r="C1116" s="222"/>
      <c r="I1116" s="2"/>
      <c r="J1116" s="2"/>
    </row>
    <row r="1117" spans="1:10">
      <c r="A1117" s="130"/>
      <c r="C1117" s="222"/>
      <c r="I1117" s="2"/>
      <c r="J1117" s="2"/>
    </row>
    <row r="1118" spans="1:10">
      <c r="A1118" s="130"/>
      <c r="C1118" s="222"/>
      <c r="I1118" s="2"/>
      <c r="J1118" s="2"/>
    </row>
    <row r="1119" spans="1:10">
      <c r="A1119" s="130"/>
      <c r="C1119" s="222"/>
      <c r="I1119" s="2"/>
      <c r="J1119" s="2"/>
    </row>
    <row r="1120" spans="1:10">
      <c r="A1120" s="130"/>
      <c r="C1120" s="222"/>
      <c r="I1120" s="2"/>
      <c r="J1120" s="2"/>
    </row>
    <row r="1121" spans="1:10">
      <c r="A1121" s="130"/>
      <c r="C1121" s="222"/>
      <c r="I1121" s="2"/>
      <c r="J1121" s="2"/>
    </row>
    <row r="1122" spans="1:10">
      <c r="A1122" s="130"/>
      <c r="C1122" s="222"/>
      <c r="I1122" s="2"/>
      <c r="J1122" s="2"/>
    </row>
    <row r="1123" spans="1:10">
      <c r="A1123" s="130"/>
      <c r="C1123" s="222"/>
      <c r="I1123" s="2"/>
      <c r="J1123" s="2"/>
    </row>
    <row r="1124" spans="1:10">
      <c r="A1124" s="130"/>
      <c r="C1124" s="222"/>
      <c r="I1124" s="2"/>
      <c r="J1124" s="2"/>
    </row>
    <row r="1125" spans="1:10">
      <c r="A1125" s="130"/>
      <c r="C1125" s="222"/>
      <c r="I1125" s="2"/>
      <c r="J1125" s="2"/>
    </row>
    <row r="1126" spans="1:10">
      <c r="A1126" s="130"/>
      <c r="C1126" s="222"/>
      <c r="I1126" s="2"/>
      <c r="J1126" s="2"/>
    </row>
    <row r="1127" spans="1:10">
      <c r="A1127" s="130"/>
      <c r="C1127" s="222"/>
      <c r="I1127" s="2"/>
      <c r="J1127" s="2"/>
    </row>
    <row r="1128" spans="1:10">
      <c r="A1128" s="130"/>
      <c r="C1128" s="222"/>
      <c r="I1128" s="2"/>
      <c r="J1128" s="2"/>
    </row>
    <row r="1129" spans="1:10">
      <c r="A1129" s="130"/>
      <c r="C1129" s="222"/>
      <c r="I1129" s="2"/>
      <c r="J1129" s="2"/>
    </row>
    <row r="1130" spans="1:10">
      <c r="A1130" s="130"/>
      <c r="C1130" s="222"/>
      <c r="I1130" s="2"/>
      <c r="J1130" s="2"/>
    </row>
    <row r="1131" spans="1:10">
      <c r="A1131" s="130"/>
      <c r="C1131" s="222"/>
      <c r="I1131" s="2"/>
      <c r="J1131" s="2"/>
    </row>
    <row r="1132" spans="1:10">
      <c r="A1132" s="130"/>
      <c r="C1132" s="222"/>
      <c r="I1132" s="2"/>
      <c r="J1132" s="2"/>
    </row>
    <row r="1133" spans="1:10">
      <c r="A1133" s="130"/>
      <c r="C1133" s="222"/>
      <c r="I1133" s="2"/>
      <c r="J1133" s="2"/>
    </row>
    <row r="1134" spans="1:10">
      <c r="A1134" s="130"/>
      <c r="C1134" s="222"/>
      <c r="I1134" s="2"/>
      <c r="J1134" s="2"/>
    </row>
    <row r="1135" spans="1:10">
      <c r="A1135" s="130"/>
      <c r="C1135" s="222"/>
      <c r="I1135" s="2"/>
      <c r="J1135" s="2"/>
    </row>
    <row r="1136" spans="1:10">
      <c r="A1136" s="130"/>
      <c r="C1136" s="222"/>
      <c r="I1136" s="2"/>
      <c r="J1136" s="2"/>
    </row>
    <row r="1137" spans="1:10">
      <c r="A1137" s="130"/>
      <c r="C1137" s="222"/>
      <c r="I1137" s="2"/>
      <c r="J1137" s="2"/>
    </row>
    <row r="1138" spans="1:10">
      <c r="A1138" s="130"/>
      <c r="C1138" s="222"/>
      <c r="I1138" s="2"/>
      <c r="J1138" s="2"/>
    </row>
    <row r="1139" spans="1:10">
      <c r="A1139" s="130"/>
      <c r="C1139" s="222"/>
      <c r="I1139" s="2"/>
      <c r="J1139" s="2"/>
    </row>
    <row r="1140" spans="1:10">
      <c r="A1140" s="130"/>
      <c r="C1140" s="222"/>
      <c r="I1140" s="2"/>
      <c r="J1140" s="2"/>
    </row>
    <row r="1141" spans="1:10">
      <c r="A1141" s="130"/>
      <c r="C1141" s="222"/>
      <c r="I1141" s="2"/>
      <c r="J1141" s="2"/>
    </row>
    <row r="1142" spans="1:10">
      <c r="A1142" s="130"/>
      <c r="C1142" s="222"/>
      <c r="I1142" s="2"/>
      <c r="J1142" s="2"/>
    </row>
    <row r="1143" spans="1:10">
      <c r="A1143" s="130"/>
      <c r="C1143" s="222"/>
      <c r="I1143" s="2"/>
      <c r="J1143" s="2"/>
    </row>
    <row r="1144" spans="1:10">
      <c r="A1144" s="130"/>
      <c r="C1144" s="222"/>
      <c r="I1144" s="2"/>
      <c r="J1144" s="2"/>
    </row>
    <row r="1145" spans="1:10">
      <c r="A1145" s="130"/>
      <c r="C1145" s="222"/>
      <c r="I1145" s="2"/>
      <c r="J1145" s="2"/>
    </row>
    <row r="1146" spans="1:10">
      <c r="A1146" s="130"/>
      <c r="C1146" s="222"/>
      <c r="I1146" s="2"/>
      <c r="J1146" s="2"/>
    </row>
    <row r="1147" spans="1:10">
      <c r="A1147" s="130"/>
      <c r="C1147" s="222"/>
      <c r="I1147" s="2"/>
      <c r="J1147" s="2"/>
    </row>
    <row r="1148" spans="1:10">
      <c r="A1148" s="130"/>
      <c r="C1148" s="222"/>
      <c r="I1148" s="2"/>
      <c r="J1148" s="2"/>
    </row>
    <row r="1149" spans="1:10">
      <c r="A1149" s="130"/>
      <c r="C1149" s="222"/>
      <c r="I1149" s="2"/>
      <c r="J1149" s="2"/>
    </row>
    <row r="1150" spans="1:10">
      <c r="A1150" s="130"/>
      <c r="C1150" s="222"/>
      <c r="I1150" s="2"/>
      <c r="J1150" s="2"/>
    </row>
    <row r="1151" spans="1:10">
      <c r="A1151" s="130"/>
      <c r="C1151" s="222"/>
      <c r="I1151" s="2"/>
      <c r="J1151" s="2"/>
    </row>
    <row r="1152" spans="1:10">
      <c r="A1152" s="130"/>
      <c r="C1152" s="222"/>
      <c r="I1152" s="2"/>
      <c r="J1152" s="2"/>
    </row>
    <row r="1153" spans="1:10">
      <c r="A1153" s="130"/>
      <c r="C1153" s="222"/>
      <c r="I1153" s="2"/>
      <c r="J1153" s="2"/>
    </row>
    <row r="1154" spans="1:10">
      <c r="A1154" s="130"/>
      <c r="C1154" s="222"/>
      <c r="I1154" s="2"/>
      <c r="J1154" s="2"/>
    </row>
    <row r="1155" spans="1:10">
      <c r="A1155" s="130"/>
      <c r="C1155" s="222"/>
      <c r="I1155" s="2"/>
      <c r="J1155" s="2"/>
    </row>
    <row r="1156" spans="1:10">
      <c r="A1156" s="130"/>
      <c r="C1156" s="222"/>
      <c r="I1156" s="2"/>
      <c r="J1156" s="2"/>
    </row>
    <row r="1157" spans="1:10">
      <c r="A1157" s="130"/>
      <c r="C1157" s="222"/>
      <c r="I1157" s="2"/>
      <c r="J1157" s="2"/>
    </row>
    <row r="1158" spans="1:10">
      <c r="A1158" s="130"/>
      <c r="C1158" s="222"/>
      <c r="I1158" s="2"/>
      <c r="J1158" s="2"/>
    </row>
    <row r="1159" spans="1:10">
      <c r="A1159" s="130"/>
      <c r="C1159" s="222"/>
      <c r="I1159" s="2"/>
      <c r="J1159" s="2"/>
    </row>
    <row r="1160" spans="1:10">
      <c r="A1160" s="130"/>
      <c r="C1160" s="222"/>
      <c r="I1160" s="2"/>
      <c r="J1160" s="2"/>
    </row>
    <row r="1161" spans="1:10">
      <c r="A1161" s="130"/>
      <c r="C1161" s="222"/>
      <c r="I1161" s="2"/>
      <c r="J1161" s="2"/>
    </row>
    <row r="1162" spans="1:10">
      <c r="A1162" s="130"/>
      <c r="C1162" s="222"/>
      <c r="I1162" s="2"/>
      <c r="J1162" s="2"/>
    </row>
    <row r="1163" spans="1:10">
      <c r="A1163" s="130"/>
      <c r="C1163" s="222"/>
      <c r="I1163" s="2"/>
      <c r="J1163" s="2"/>
    </row>
    <row r="1164" spans="1:10">
      <c r="A1164" s="130"/>
      <c r="C1164" s="222"/>
      <c r="I1164" s="2"/>
      <c r="J1164" s="2"/>
    </row>
    <row r="1165" spans="1:10">
      <c r="A1165" s="130"/>
      <c r="C1165" s="222"/>
      <c r="I1165" s="2"/>
      <c r="J1165" s="2"/>
    </row>
    <row r="1166" spans="1:10">
      <c r="A1166" s="130"/>
      <c r="C1166" s="222"/>
      <c r="I1166" s="2"/>
      <c r="J1166" s="2"/>
    </row>
    <row r="1167" spans="1:10">
      <c r="A1167" s="130"/>
      <c r="C1167" s="222"/>
      <c r="I1167" s="2"/>
      <c r="J1167" s="2"/>
    </row>
    <row r="1168" spans="1:10">
      <c r="A1168" s="130"/>
      <c r="C1168" s="222"/>
      <c r="I1168" s="2"/>
      <c r="J1168" s="2"/>
    </row>
    <row r="1169" spans="1:10">
      <c r="A1169" s="130"/>
      <c r="C1169" s="222"/>
      <c r="I1169" s="2"/>
      <c r="J1169" s="2"/>
    </row>
    <row r="1170" spans="1:10">
      <c r="A1170" s="130"/>
      <c r="C1170" s="222"/>
      <c r="I1170" s="2"/>
      <c r="J1170" s="2"/>
    </row>
    <row r="1171" spans="1:10">
      <c r="A1171" s="130"/>
      <c r="C1171" s="222"/>
      <c r="I1171" s="2"/>
      <c r="J1171" s="2"/>
    </row>
    <row r="1172" spans="1:10">
      <c r="A1172" s="130"/>
      <c r="C1172" s="222"/>
      <c r="I1172" s="2"/>
      <c r="J1172" s="2"/>
    </row>
    <row r="1173" spans="1:10">
      <c r="A1173" s="130"/>
      <c r="C1173" s="222"/>
      <c r="I1173" s="2"/>
      <c r="J1173" s="2"/>
    </row>
    <row r="1174" spans="1:10">
      <c r="A1174" s="130"/>
      <c r="C1174" s="222"/>
      <c r="I1174" s="2"/>
      <c r="J1174" s="2"/>
    </row>
    <row r="1175" spans="1:10">
      <c r="A1175" s="130"/>
      <c r="C1175" s="222"/>
      <c r="I1175" s="2"/>
      <c r="J1175" s="2"/>
    </row>
    <row r="1176" spans="1:10">
      <c r="A1176" s="130"/>
      <c r="C1176" s="222"/>
      <c r="I1176" s="2"/>
      <c r="J1176" s="2"/>
    </row>
    <row r="1177" spans="1:10">
      <c r="A1177" s="130"/>
      <c r="C1177" s="222"/>
      <c r="I1177" s="2"/>
      <c r="J1177" s="2"/>
    </row>
    <row r="1178" spans="1:10">
      <c r="A1178" s="130"/>
      <c r="C1178" s="222"/>
      <c r="I1178" s="2"/>
      <c r="J1178" s="2"/>
    </row>
    <row r="1179" spans="1:10">
      <c r="A1179" s="130"/>
      <c r="C1179" s="222"/>
      <c r="I1179" s="2"/>
      <c r="J1179" s="2"/>
    </row>
    <row r="1180" spans="1:10">
      <c r="A1180" s="130"/>
      <c r="C1180" s="222"/>
      <c r="I1180" s="2"/>
      <c r="J1180" s="2"/>
    </row>
    <row r="1181" spans="1:10">
      <c r="A1181" s="130"/>
      <c r="C1181" s="222"/>
      <c r="I1181" s="2"/>
      <c r="J1181" s="2"/>
    </row>
    <row r="1182" spans="1:10">
      <c r="A1182" s="130"/>
      <c r="C1182" s="222"/>
      <c r="I1182" s="2"/>
      <c r="J1182" s="2"/>
    </row>
    <row r="1183" spans="1:10">
      <c r="A1183" s="130"/>
      <c r="C1183" s="222"/>
      <c r="I1183" s="2"/>
      <c r="J1183" s="2"/>
    </row>
    <row r="1184" spans="1:10">
      <c r="A1184" s="130"/>
      <c r="C1184" s="222"/>
      <c r="I1184" s="2"/>
      <c r="J1184" s="2"/>
    </row>
    <row r="1185" spans="1:10">
      <c r="A1185" s="130"/>
      <c r="C1185" s="222"/>
      <c r="I1185" s="2"/>
      <c r="J1185" s="2"/>
    </row>
    <row r="1186" spans="1:10">
      <c r="A1186" s="130"/>
      <c r="C1186" s="222"/>
      <c r="I1186" s="2"/>
      <c r="J1186" s="2"/>
    </row>
    <row r="1187" spans="1:10">
      <c r="A1187" s="130"/>
      <c r="C1187" s="222"/>
      <c r="I1187" s="2"/>
      <c r="J1187" s="2"/>
    </row>
    <row r="1188" spans="1:10">
      <c r="A1188" s="130"/>
      <c r="C1188" s="222"/>
      <c r="I1188" s="2"/>
      <c r="J1188" s="2"/>
    </row>
    <row r="1189" spans="1:10">
      <c r="A1189" s="130"/>
      <c r="C1189" s="222"/>
      <c r="I1189" s="2"/>
      <c r="J1189" s="2"/>
    </row>
    <row r="1190" spans="1:10">
      <c r="A1190" s="130"/>
      <c r="C1190" s="222"/>
      <c r="I1190" s="2"/>
      <c r="J1190" s="2"/>
    </row>
    <row r="1191" spans="1:10">
      <c r="A1191" s="130"/>
      <c r="C1191" s="222"/>
      <c r="I1191" s="2"/>
      <c r="J1191" s="2"/>
    </row>
    <row r="1192" spans="1:10">
      <c r="A1192" s="130"/>
      <c r="C1192" s="222"/>
      <c r="I1192" s="2"/>
      <c r="J1192" s="2"/>
    </row>
    <row r="1193" spans="1:10">
      <c r="A1193" s="130"/>
      <c r="C1193" s="222"/>
      <c r="I1193" s="2"/>
      <c r="J1193" s="2"/>
    </row>
    <row r="1194" spans="1:10">
      <c r="A1194" s="130"/>
      <c r="C1194" s="222"/>
      <c r="I1194" s="2"/>
      <c r="J1194" s="2"/>
    </row>
    <row r="1195" spans="1:10">
      <c r="A1195" s="130"/>
      <c r="C1195" s="222"/>
      <c r="I1195" s="2"/>
      <c r="J1195" s="2"/>
    </row>
    <row r="1196" spans="1:10">
      <c r="A1196" s="130"/>
      <c r="C1196" s="222"/>
      <c r="I1196" s="2"/>
      <c r="J1196" s="2"/>
    </row>
    <row r="1197" spans="1:10">
      <c r="A1197" s="130"/>
      <c r="C1197" s="222"/>
      <c r="I1197" s="2"/>
      <c r="J1197" s="2"/>
    </row>
    <row r="1198" spans="1:10">
      <c r="A1198" s="130"/>
      <c r="C1198" s="222"/>
      <c r="I1198" s="2"/>
      <c r="J1198" s="2"/>
    </row>
    <row r="1199" spans="1:10">
      <c r="A1199" s="130"/>
      <c r="C1199" s="222"/>
      <c r="I1199" s="2"/>
      <c r="J1199" s="2"/>
    </row>
    <row r="1200" spans="1:10">
      <c r="A1200" s="130"/>
      <c r="C1200" s="222"/>
      <c r="I1200" s="2"/>
      <c r="J1200" s="2"/>
    </row>
    <row r="1201" spans="1:10">
      <c r="A1201" s="130"/>
      <c r="C1201" s="222"/>
      <c r="I1201" s="2"/>
      <c r="J1201" s="2"/>
    </row>
    <row r="1202" spans="1:10">
      <c r="A1202" s="130"/>
      <c r="C1202" s="222"/>
      <c r="I1202" s="2"/>
      <c r="J1202" s="2"/>
    </row>
    <row r="1203" spans="1:10">
      <c r="A1203" s="130"/>
      <c r="C1203" s="222"/>
      <c r="I1203" s="2"/>
      <c r="J1203" s="2"/>
    </row>
    <row r="1204" spans="1:10">
      <c r="A1204" s="130"/>
      <c r="C1204" s="222"/>
      <c r="I1204" s="2"/>
      <c r="J1204" s="2"/>
    </row>
    <row r="1205" spans="1:10">
      <c r="A1205" s="130"/>
      <c r="C1205" s="222"/>
      <c r="I1205" s="2"/>
      <c r="J1205" s="2"/>
    </row>
    <row r="1206" spans="1:10">
      <c r="A1206" s="130"/>
      <c r="C1206" s="222"/>
      <c r="I1206" s="2"/>
      <c r="J1206" s="2"/>
    </row>
    <row r="1207" spans="1:10">
      <c r="A1207" s="130"/>
      <c r="C1207" s="222"/>
      <c r="I1207" s="2"/>
      <c r="J1207" s="2"/>
    </row>
    <row r="1208" spans="1:10">
      <c r="A1208" s="130"/>
      <c r="C1208" s="222"/>
      <c r="I1208" s="2"/>
      <c r="J1208" s="2"/>
    </row>
    <row r="1209" spans="1:10">
      <c r="A1209" s="130"/>
      <c r="C1209" s="222"/>
      <c r="I1209" s="2"/>
      <c r="J1209" s="2"/>
    </row>
    <row r="1210" spans="1:10">
      <c r="A1210" s="130"/>
      <c r="C1210" s="222"/>
      <c r="I1210" s="2"/>
      <c r="J1210" s="2"/>
    </row>
    <row r="1211" spans="1:10">
      <c r="A1211" s="130"/>
      <c r="C1211" s="222"/>
      <c r="I1211" s="2"/>
      <c r="J1211" s="2"/>
    </row>
    <row r="1212" spans="1:10">
      <c r="A1212" s="130"/>
      <c r="C1212" s="222"/>
      <c r="I1212" s="2"/>
      <c r="J1212" s="2"/>
    </row>
    <row r="1213" spans="1:10">
      <c r="A1213" s="130"/>
      <c r="C1213" s="222"/>
      <c r="I1213" s="2"/>
      <c r="J1213" s="2"/>
    </row>
    <row r="1214" spans="1:10">
      <c r="A1214" s="130"/>
      <c r="C1214" s="222"/>
      <c r="I1214" s="2"/>
      <c r="J1214" s="2"/>
    </row>
    <row r="1215" spans="1:10">
      <c r="A1215" s="130"/>
      <c r="C1215" s="222"/>
      <c r="I1215" s="2"/>
      <c r="J1215" s="2"/>
    </row>
    <row r="1216" spans="1:10">
      <c r="A1216" s="130"/>
      <c r="C1216" s="222"/>
      <c r="I1216" s="2"/>
      <c r="J1216" s="2"/>
    </row>
    <row r="1217" spans="1:10">
      <c r="A1217" s="130"/>
      <c r="C1217" s="222"/>
      <c r="I1217" s="2"/>
      <c r="J1217" s="2"/>
    </row>
    <row r="1218" spans="1:10">
      <c r="A1218" s="130"/>
      <c r="C1218" s="222"/>
      <c r="I1218" s="2"/>
      <c r="J1218" s="2"/>
    </row>
    <row r="1219" spans="1:10">
      <c r="A1219" s="130"/>
      <c r="C1219" s="222"/>
      <c r="I1219" s="2"/>
      <c r="J1219" s="2"/>
    </row>
    <row r="1220" spans="1:10">
      <c r="A1220" s="130"/>
      <c r="C1220" s="222"/>
      <c r="I1220" s="2"/>
      <c r="J1220" s="2"/>
    </row>
    <row r="1221" spans="1:10">
      <c r="A1221" s="130"/>
      <c r="C1221" s="222"/>
      <c r="I1221" s="2"/>
      <c r="J1221" s="2"/>
    </row>
    <row r="1222" spans="1:10">
      <c r="A1222" s="130"/>
      <c r="C1222" s="222"/>
      <c r="I1222" s="2"/>
      <c r="J1222" s="2"/>
    </row>
    <row r="1223" spans="1:10">
      <c r="A1223" s="130"/>
      <c r="C1223" s="222"/>
      <c r="I1223" s="2"/>
      <c r="J1223" s="2"/>
    </row>
    <row r="1224" spans="1:10">
      <c r="A1224" s="130"/>
      <c r="C1224" s="222"/>
      <c r="I1224" s="2"/>
      <c r="J1224" s="2"/>
    </row>
    <row r="1225" spans="1:10">
      <c r="A1225" s="130"/>
      <c r="C1225" s="222"/>
      <c r="I1225" s="2"/>
      <c r="J1225" s="2"/>
    </row>
    <row r="1226" spans="1:10">
      <c r="A1226" s="130"/>
      <c r="C1226" s="222"/>
      <c r="I1226" s="2"/>
      <c r="J1226" s="2"/>
    </row>
    <row r="1227" spans="1:10">
      <c r="A1227" s="130"/>
      <c r="C1227" s="222"/>
      <c r="I1227" s="2"/>
      <c r="J1227" s="2"/>
    </row>
    <row r="1228" spans="1:10">
      <c r="A1228" s="130"/>
      <c r="C1228" s="222"/>
      <c r="I1228" s="2"/>
      <c r="J1228" s="2"/>
    </row>
    <row r="1229" spans="1:10">
      <c r="A1229" s="130"/>
      <c r="C1229" s="222"/>
      <c r="I1229" s="2"/>
      <c r="J1229" s="2"/>
    </row>
    <row r="1230" spans="1:10">
      <c r="A1230" s="130"/>
      <c r="C1230" s="222"/>
      <c r="I1230" s="2"/>
      <c r="J1230" s="2"/>
    </row>
    <row r="1231" spans="1:10">
      <c r="A1231" s="130"/>
      <c r="C1231" s="222"/>
      <c r="I1231" s="2"/>
      <c r="J1231" s="2"/>
    </row>
    <row r="1232" spans="1:10">
      <c r="A1232" s="130"/>
      <c r="C1232" s="222"/>
      <c r="I1232" s="2"/>
      <c r="J1232" s="2"/>
    </row>
    <row r="1233" spans="1:10">
      <c r="A1233" s="130"/>
      <c r="C1233" s="222"/>
      <c r="I1233" s="2"/>
      <c r="J1233" s="2"/>
    </row>
    <row r="1234" spans="1:10">
      <c r="A1234" s="130"/>
      <c r="C1234" s="222"/>
      <c r="I1234" s="2"/>
      <c r="J1234" s="2"/>
    </row>
    <row r="1235" spans="1:10">
      <c r="A1235" s="130"/>
      <c r="C1235" s="222"/>
      <c r="I1235" s="2"/>
      <c r="J1235" s="2"/>
    </row>
    <row r="1236" spans="1:10">
      <c r="A1236" s="130"/>
      <c r="C1236" s="222"/>
      <c r="I1236" s="2"/>
      <c r="J1236" s="2"/>
    </row>
    <row r="1237" spans="1:10">
      <c r="A1237" s="130"/>
      <c r="C1237" s="222"/>
      <c r="I1237" s="2"/>
      <c r="J1237" s="2"/>
    </row>
    <row r="1238" spans="1:10">
      <c r="A1238" s="130"/>
      <c r="C1238" s="222"/>
      <c r="I1238" s="2"/>
      <c r="J1238" s="2"/>
    </row>
    <row r="1239" spans="1:10">
      <c r="A1239" s="130"/>
      <c r="C1239" s="222"/>
      <c r="I1239" s="2"/>
      <c r="J1239" s="2"/>
    </row>
    <row r="1240" spans="1:10">
      <c r="A1240" s="130"/>
      <c r="C1240" s="222"/>
      <c r="I1240" s="2"/>
      <c r="J1240" s="2"/>
    </row>
    <row r="1241" spans="1:10">
      <c r="A1241" s="130"/>
      <c r="C1241" s="222"/>
      <c r="I1241" s="2"/>
      <c r="J1241" s="2"/>
    </row>
    <row r="1242" spans="1:10">
      <c r="A1242" s="130"/>
      <c r="C1242" s="222"/>
      <c r="I1242" s="2"/>
      <c r="J1242" s="2"/>
    </row>
    <row r="1243" spans="1:10">
      <c r="A1243" s="130"/>
      <c r="C1243" s="222"/>
      <c r="I1243" s="2"/>
      <c r="J1243" s="2"/>
    </row>
    <row r="1244" spans="1:10">
      <c r="A1244" s="130"/>
      <c r="C1244" s="222"/>
      <c r="I1244" s="2"/>
      <c r="J1244" s="2"/>
    </row>
    <row r="1245" spans="1:10">
      <c r="A1245" s="130"/>
      <c r="C1245" s="222"/>
      <c r="I1245" s="2"/>
      <c r="J1245" s="2"/>
    </row>
    <row r="1246" spans="1:10">
      <c r="A1246" s="130"/>
      <c r="C1246" s="222"/>
      <c r="I1246" s="2"/>
      <c r="J1246" s="2"/>
    </row>
    <row r="1247" spans="1:10">
      <c r="A1247" s="130"/>
      <c r="C1247" s="222"/>
      <c r="I1247" s="2"/>
      <c r="J1247" s="2"/>
    </row>
    <row r="1248" spans="1:10">
      <c r="A1248" s="130"/>
      <c r="C1248" s="222"/>
      <c r="I1248" s="2"/>
      <c r="J1248" s="2"/>
    </row>
    <row r="1249" spans="1:10">
      <c r="A1249" s="130"/>
      <c r="C1249" s="222"/>
      <c r="I1249" s="2"/>
      <c r="J1249" s="2"/>
    </row>
    <row r="1250" spans="1:10">
      <c r="A1250" s="130"/>
      <c r="C1250" s="222"/>
      <c r="I1250" s="2"/>
      <c r="J1250" s="2"/>
    </row>
    <row r="1251" spans="1:10">
      <c r="A1251" s="130"/>
      <c r="C1251" s="222"/>
      <c r="I1251" s="2"/>
      <c r="J1251" s="2"/>
    </row>
    <row r="1252" spans="1:10">
      <c r="A1252" s="130"/>
      <c r="C1252" s="222"/>
      <c r="I1252" s="2"/>
      <c r="J1252" s="2"/>
    </row>
    <row r="1253" spans="1:10">
      <c r="A1253" s="130"/>
      <c r="C1253" s="222"/>
      <c r="I1253" s="2"/>
      <c r="J1253" s="2"/>
    </row>
    <row r="1254" spans="1:10">
      <c r="A1254" s="130"/>
      <c r="C1254" s="222"/>
      <c r="I1254" s="2"/>
      <c r="J1254" s="2"/>
    </row>
    <row r="1255" spans="1:10">
      <c r="A1255" s="130"/>
      <c r="C1255" s="222"/>
      <c r="I1255" s="2"/>
      <c r="J1255" s="2"/>
    </row>
    <row r="1256" spans="1:10">
      <c r="A1256" s="130"/>
      <c r="C1256" s="222"/>
      <c r="I1256" s="2"/>
      <c r="J1256" s="2"/>
    </row>
    <row r="1257" spans="1:10">
      <c r="A1257" s="130"/>
      <c r="C1257" s="222"/>
      <c r="I1257" s="2"/>
      <c r="J1257" s="2"/>
    </row>
    <row r="1258" spans="1:10">
      <c r="A1258" s="130"/>
      <c r="C1258" s="222"/>
      <c r="I1258" s="2"/>
      <c r="J1258" s="2"/>
    </row>
    <row r="1259" spans="1:10">
      <c r="A1259" s="130"/>
      <c r="C1259" s="222"/>
      <c r="I1259" s="2"/>
      <c r="J1259" s="2"/>
    </row>
    <row r="1260" spans="1:10">
      <c r="A1260" s="130"/>
      <c r="C1260" s="222"/>
      <c r="I1260" s="2"/>
      <c r="J1260" s="2"/>
    </row>
    <row r="1261" spans="1:10">
      <c r="A1261" s="130"/>
      <c r="C1261" s="222"/>
      <c r="I1261" s="2"/>
      <c r="J1261" s="2"/>
    </row>
    <row r="1262" spans="1:10">
      <c r="A1262" s="130"/>
      <c r="C1262" s="222"/>
      <c r="I1262" s="2"/>
      <c r="J1262" s="2"/>
    </row>
    <row r="1263" spans="1:10">
      <c r="A1263" s="130"/>
      <c r="C1263" s="222"/>
      <c r="I1263" s="2"/>
      <c r="J1263" s="2"/>
    </row>
    <row r="1264" spans="1:10">
      <c r="A1264" s="130"/>
      <c r="C1264" s="222"/>
      <c r="I1264" s="2"/>
      <c r="J1264" s="2"/>
    </row>
    <row r="1265" spans="1:10">
      <c r="A1265" s="130"/>
      <c r="C1265" s="222"/>
      <c r="I1265" s="2"/>
      <c r="J1265" s="2"/>
    </row>
    <row r="1266" spans="1:10">
      <c r="A1266" s="130"/>
      <c r="C1266" s="222"/>
      <c r="I1266" s="2"/>
      <c r="J1266" s="2"/>
    </row>
    <row r="1267" spans="1:10">
      <c r="A1267" s="130"/>
      <c r="C1267" s="222"/>
      <c r="I1267" s="2"/>
      <c r="J1267" s="2"/>
    </row>
    <row r="1268" spans="1:10">
      <c r="A1268" s="130"/>
      <c r="C1268" s="222"/>
      <c r="I1268" s="2"/>
      <c r="J1268" s="2"/>
    </row>
    <row r="1269" spans="1:10">
      <c r="A1269" s="130"/>
      <c r="C1269" s="222"/>
      <c r="I1269" s="2"/>
      <c r="J1269" s="2"/>
    </row>
    <row r="1270" spans="1:10">
      <c r="A1270" s="130"/>
      <c r="C1270" s="222"/>
      <c r="I1270" s="2"/>
      <c r="J1270" s="2"/>
    </row>
    <row r="1271" spans="1:10">
      <c r="A1271" s="130"/>
      <c r="C1271" s="222"/>
      <c r="I1271" s="2"/>
      <c r="J1271" s="2"/>
    </row>
    <row r="1272" spans="1:10">
      <c r="A1272" s="130"/>
      <c r="C1272" s="222"/>
      <c r="I1272" s="2"/>
      <c r="J1272" s="2"/>
    </row>
    <row r="1273" spans="1:10">
      <c r="A1273" s="130"/>
      <c r="C1273" s="222"/>
      <c r="I1273" s="2"/>
      <c r="J1273" s="2"/>
    </row>
    <row r="1274" spans="1:10">
      <c r="A1274" s="130"/>
      <c r="C1274" s="222"/>
      <c r="I1274" s="2"/>
      <c r="J1274" s="2"/>
    </row>
    <row r="1275" spans="1:10">
      <c r="A1275" s="130"/>
      <c r="C1275" s="222"/>
      <c r="I1275" s="2"/>
      <c r="J1275" s="2"/>
    </row>
    <row r="1276" spans="1:10">
      <c r="A1276" s="130"/>
      <c r="C1276" s="222"/>
      <c r="I1276" s="2"/>
      <c r="J1276" s="2"/>
    </row>
    <row r="1277" spans="1:10">
      <c r="A1277" s="130"/>
      <c r="C1277" s="222"/>
      <c r="I1277" s="2"/>
      <c r="J1277" s="2"/>
    </row>
    <row r="1278" spans="1:10">
      <c r="A1278" s="130"/>
      <c r="C1278" s="222"/>
      <c r="I1278" s="2"/>
      <c r="J1278" s="2"/>
    </row>
    <row r="1279" spans="1:10">
      <c r="A1279" s="130"/>
      <c r="C1279" s="222"/>
      <c r="I1279" s="2"/>
      <c r="J1279" s="2"/>
    </row>
    <row r="1280" spans="1:10">
      <c r="A1280" s="130"/>
      <c r="C1280" s="222"/>
      <c r="I1280" s="2"/>
      <c r="J1280" s="2"/>
    </row>
    <row r="1281" spans="1:10">
      <c r="A1281" s="130"/>
      <c r="C1281" s="222"/>
      <c r="I1281" s="2"/>
      <c r="J1281" s="2"/>
    </row>
    <row r="1282" spans="1:10">
      <c r="A1282" s="130"/>
      <c r="C1282" s="222"/>
      <c r="I1282" s="2"/>
      <c r="J1282" s="2"/>
    </row>
    <row r="1283" spans="1:10">
      <c r="A1283" s="130"/>
      <c r="C1283" s="222"/>
      <c r="I1283" s="2"/>
      <c r="J1283" s="2"/>
    </row>
    <row r="1284" spans="1:10">
      <c r="A1284" s="130"/>
      <c r="C1284" s="222"/>
      <c r="I1284" s="2"/>
      <c r="J1284" s="2"/>
    </row>
    <row r="1285" spans="1:10">
      <c r="A1285" s="130"/>
      <c r="C1285" s="222"/>
      <c r="I1285" s="2"/>
      <c r="J1285" s="2"/>
    </row>
    <row r="1286" spans="1:10">
      <c r="A1286" s="130"/>
      <c r="C1286" s="222"/>
      <c r="I1286" s="2"/>
      <c r="J1286" s="2"/>
    </row>
    <row r="1287" spans="1:10">
      <c r="A1287" s="130"/>
      <c r="C1287" s="222"/>
      <c r="I1287" s="2"/>
      <c r="J1287" s="2"/>
    </row>
    <row r="1288" spans="1:10">
      <c r="A1288" s="130"/>
      <c r="C1288" s="222"/>
      <c r="I1288" s="2"/>
      <c r="J1288" s="2"/>
    </row>
    <row r="1289" spans="1:10">
      <c r="A1289" s="130"/>
      <c r="C1289" s="222"/>
      <c r="I1289" s="2"/>
      <c r="J1289" s="2"/>
    </row>
    <row r="1290" spans="1:10">
      <c r="A1290" s="130"/>
      <c r="C1290" s="222"/>
      <c r="I1290" s="2"/>
      <c r="J1290" s="2"/>
    </row>
    <row r="1291" spans="1:10">
      <c r="A1291" s="130"/>
      <c r="C1291" s="222"/>
      <c r="I1291" s="2"/>
      <c r="J1291" s="2"/>
    </row>
    <row r="1292" spans="1:10">
      <c r="A1292" s="130"/>
      <c r="C1292" s="222"/>
      <c r="I1292" s="2"/>
      <c r="J1292" s="2"/>
    </row>
    <row r="1293" spans="1:10">
      <c r="A1293" s="130"/>
      <c r="C1293" s="222"/>
      <c r="I1293" s="2"/>
      <c r="J1293" s="2"/>
    </row>
    <row r="1294" spans="1:10">
      <c r="A1294" s="130"/>
      <c r="C1294" s="222"/>
      <c r="I1294" s="2"/>
      <c r="J1294" s="2"/>
    </row>
    <row r="1295" spans="1:10">
      <c r="A1295" s="130"/>
      <c r="C1295" s="222"/>
      <c r="I1295" s="2"/>
      <c r="J1295" s="2"/>
    </row>
    <row r="1296" spans="1:10">
      <c r="A1296" s="130"/>
      <c r="C1296" s="222"/>
      <c r="I1296" s="2"/>
      <c r="J1296" s="2"/>
    </row>
    <row r="1297" spans="1:10">
      <c r="A1297" s="130"/>
      <c r="C1297" s="222"/>
      <c r="I1297" s="2"/>
      <c r="J1297" s="2"/>
    </row>
    <row r="1298" spans="1:10">
      <c r="A1298" s="130"/>
      <c r="C1298" s="222"/>
      <c r="I1298" s="2"/>
      <c r="J1298" s="2"/>
    </row>
    <row r="1299" spans="1:10">
      <c r="A1299" s="130"/>
      <c r="C1299" s="222"/>
      <c r="I1299" s="2"/>
      <c r="J1299" s="2"/>
    </row>
    <row r="1300" spans="1:10">
      <c r="A1300" s="130"/>
      <c r="C1300" s="222"/>
      <c r="I1300" s="2"/>
      <c r="J1300" s="2"/>
    </row>
    <row r="1301" spans="1:10">
      <c r="A1301" s="130"/>
      <c r="C1301" s="222"/>
      <c r="I1301" s="2"/>
      <c r="J1301" s="2"/>
    </row>
    <row r="1302" spans="1:10">
      <c r="A1302" s="130"/>
      <c r="C1302" s="222"/>
      <c r="I1302" s="2"/>
      <c r="J1302" s="2"/>
    </row>
    <row r="1303" spans="1:10">
      <c r="A1303" s="130"/>
      <c r="C1303" s="222"/>
      <c r="I1303" s="2"/>
      <c r="J1303" s="2"/>
    </row>
    <row r="1304" spans="1:10">
      <c r="A1304" s="130"/>
      <c r="C1304" s="222"/>
      <c r="I1304" s="2"/>
      <c r="J1304" s="2"/>
    </row>
    <row r="1305" spans="1:10">
      <c r="A1305" s="130"/>
      <c r="C1305" s="222"/>
      <c r="I1305" s="2"/>
      <c r="J1305" s="2"/>
    </row>
    <row r="1306" spans="1:10">
      <c r="A1306" s="130"/>
      <c r="C1306" s="222"/>
      <c r="I1306" s="2"/>
      <c r="J1306" s="2"/>
    </row>
    <row r="1307" spans="1:10">
      <c r="A1307" s="130"/>
      <c r="C1307" s="222"/>
      <c r="I1307" s="2"/>
      <c r="J1307" s="2"/>
    </row>
    <row r="1308" spans="1:10">
      <c r="A1308" s="130"/>
      <c r="C1308" s="222"/>
      <c r="I1308" s="2"/>
      <c r="J1308" s="2"/>
    </row>
    <row r="1309" spans="1:10">
      <c r="A1309" s="130"/>
      <c r="C1309" s="222"/>
      <c r="I1309" s="2"/>
      <c r="J1309" s="2"/>
    </row>
    <row r="1310" spans="1:10">
      <c r="A1310" s="130"/>
      <c r="C1310" s="222"/>
      <c r="I1310" s="2"/>
      <c r="J1310" s="2"/>
    </row>
    <row r="1311" spans="1:10">
      <c r="A1311" s="130"/>
      <c r="C1311" s="222"/>
      <c r="I1311" s="2"/>
      <c r="J1311" s="2"/>
    </row>
    <row r="1312" spans="1:10">
      <c r="A1312" s="130"/>
      <c r="C1312" s="222"/>
      <c r="I1312" s="2"/>
      <c r="J1312" s="2"/>
    </row>
    <row r="1313" spans="1:10">
      <c r="A1313" s="130"/>
      <c r="C1313" s="222"/>
      <c r="I1313" s="2"/>
      <c r="J1313" s="2"/>
    </row>
    <row r="1314" spans="1:10">
      <c r="A1314" s="130"/>
      <c r="C1314" s="222"/>
      <c r="I1314" s="2"/>
      <c r="J1314" s="2"/>
    </row>
    <row r="1315" spans="1:10">
      <c r="A1315" s="130"/>
      <c r="C1315" s="222"/>
      <c r="I1315" s="2"/>
      <c r="J1315" s="2"/>
    </row>
    <row r="1316" spans="1:10">
      <c r="A1316" s="130"/>
      <c r="C1316" s="222"/>
      <c r="I1316" s="2"/>
      <c r="J1316" s="2"/>
    </row>
    <row r="1317" spans="1:10">
      <c r="A1317" s="130"/>
      <c r="C1317" s="222"/>
      <c r="I1317" s="2"/>
      <c r="J1317" s="2"/>
    </row>
    <row r="1318" spans="1:10">
      <c r="A1318" s="130"/>
      <c r="C1318" s="222"/>
      <c r="I1318" s="2"/>
      <c r="J1318" s="2"/>
    </row>
    <row r="1319" spans="1:10">
      <c r="A1319" s="130"/>
      <c r="C1319" s="222"/>
      <c r="I1319" s="2"/>
      <c r="J1319" s="2"/>
    </row>
    <row r="1320" spans="1:10">
      <c r="A1320" s="130"/>
      <c r="C1320" s="222"/>
      <c r="I1320" s="2"/>
      <c r="J1320" s="2"/>
    </row>
    <row r="1321" spans="1:10">
      <c r="A1321" s="130"/>
      <c r="C1321" s="222"/>
      <c r="I1321" s="2"/>
      <c r="J1321" s="2"/>
    </row>
    <row r="1322" spans="1:10">
      <c r="A1322" s="130"/>
      <c r="C1322" s="222"/>
      <c r="I1322" s="2"/>
      <c r="J1322" s="2"/>
    </row>
    <row r="1323" spans="1:10">
      <c r="A1323" s="130"/>
      <c r="C1323" s="222"/>
      <c r="I1323" s="2"/>
      <c r="J1323" s="2"/>
    </row>
    <row r="1324" spans="1:10">
      <c r="A1324" s="130"/>
      <c r="C1324" s="222"/>
      <c r="I1324" s="2"/>
      <c r="J1324" s="2"/>
    </row>
    <row r="1325" spans="1:10">
      <c r="A1325" s="130"/>
      <c r="C1325" s="222"/>
      <c r="I1325" s="2"/>
      <c r="J1325" s="2"/>
    </row>
    <row r="1326" spans="1:10">
      <c r="A1326" s="130"/>
      <c r="C1326" s="222"/>
      <c r="I1326" s="2"/>
      <c r="J1326" s="2"/>
    </row>
    <row r="1327" spans="1:10">
      <c r="A1327" s="130"/>
      <c r="C1327" s="222"/>
      <c r="I1327" s="2"/>
      <c r="J1327" s="2"/>
    </row>
    <row r="1328" spans="1:10">
      <c r="A1328" s="130"/>
      <c r="C1328" s="222"/>
      <c r="I1328" s="2"/>
      <c r="J1328" s="2"/>
    </row>
    <row r="1329" spans="1:10">
      <c r="A1329" s="130"/>
      <c r="C1329" s="222"/>
      <c r="I1329" s="2"/>
      <c r="J1329" s="2"/>
    </row>
    <row r="1330" spans="1:10">
      <c r="A1330" s="130"/>
      <c r="C1330" s="222"/>
      <c r="I1330" s="2"/>
      <c r="J1330" s="2"/>
    </row>
    <row r="1331" spans="1:10">
      <c r="A1331" s="130"/>
      <c r="C1331" s="222"/>
      <c r="I1331" s="2"/>
      <c r="J1331" s="2"/>
    </row>
    <row r="1332" spans="1:10">
      <c r="A1332" s="130"/>
      <c r="C1332" s="222"/>
      <c r="I1332" s="2"/>
      <c r="J1332" s="2"/>
    </row>
    <row r="1333" spans="1:10">
      <c r="A1333" s="130"/>
      <c r="C1333" s="222"/>
      <c r="I1333" s="2"/>
      <c r="J1333" s="2"/>
    </row>
    <row r="1334" spans="1:10">
      <c r="A1334" s="130"/>
      <c r="C1334" s="222"/>
      <c r="I1334" s="2"/>
      <c r="J1334" s="2"/>
    </row>
    <row r="1335" spans="1:10">
      <c r="A1335" s="130"/>
      <c r="C1335" s="222"/>
      <c r="I1335" s="2"/>
      <c r="J1335" s="2"/>
    </row>
    <row r="1336" spans="1:10">
      <c r="A1336" s="130"/>
      <c r="C1336" s="222"/>
      <c r="I1336" s="2"/>
      <c r="J1336" s="2"/>
    </row>
    <row r="1337" spans="1:10">
      <c r="A1337" s="130"/>
      <c r="C1337" s="222"/>
      <c r="I1337" s="2"/>
      <c r="J1337" s="2"/>
    </row>
    <row r="1338" spans="1:10">
      <c r="A1338" s="130"/>
      <c r="C1338" s="222"/>
      <c r="I1338" s="2"/>
      <c r="J1338" s="2"/>
    </row>
    <row r="1339" spans="1:10">
      <c r="A1339" s="130"/>
      <c r="C1339" s="222"/>
      <c r="I1339" s="2"/>
      <c r="J1339" s="2"/>
    </row>
    <row r="1340" spans="1:10">
      <c r="A1340" s="130"/>
      <c r="C1340" s="222"/>
      <c r="I1340" s="2"/>
      <c r="J1340" s="2"/>
    </row>
    <row r="1341" spans="1:10">
      <c r="A1341" s="130"/>
      <c r="C1341" s="222"/>
      <c r="I1341" s="2"/>
      <c r="J1341" s="2"/>
    </row>
    <row r="1342" spans="1:10">
      <c r="A1342" s="130"/>
      <c r="C1342" s="222"/>
      <c r="I1342" s="2"/>
      <c r="J1342" s="2"/>
    </row>
    <row r="1343" spans="1:10">
      <c r="A1343" s="130"/>
      <c r="C1343" s="222"/>
      <c r="I1343" s="2"/>
      <c r="J1343" s="2"/>
    </row>
    <row r="1344" spans="1:10">
      <c r="A1344" s="130"/>
      <c r="C1344" s="222"/>
      <c r="I1344" s="2"/>
      <c r="J1344" s="2"/>
    </row>
    <row r="1345" spans="1:10">
      <c r="A1345" s="130"/>
      <c r="C1345" s="222"/>
      <c r="I1345" s="2"/>
      <c r="J1345" s="2"/>
    </row>
    <row r="1346" spans="1:10">
      <c r="A1346" s="130"/>
      <c r="C1346" s="222"/>
      <c r="I1346" s="2"/>
      <c r="J1346" s="2"/>
    </row>
    <row r="1347" spans="1:10">
      <c r="A1347" s="130"/>
      <c r="C1347" s="222"/>
      <c r="I1347" s="2"/>
      <c r="J1347" s="2"/>
    </row>
    <row r="1348" spans="1:10">
      <c r="A1348" s="130"/>
      <c r="C1348" s="222"/>
      <c r="I1348" s="2"/>
      <c r="J1348" s="2"/>
    </row>
    <row r="1349" spans="1:10">
      <c r="A1349" s="130"/>
      <c r="C1349" s="222"/>
      <c r="I1349" s="2"/>
      <c r="J1349" s="2"/>
    </row>
    <row r="1350" spans="1:10">
      <c r="A1350" s="130"/>
      <c r="C1350" s="222"/>
      <c r="I1350" s="2"/>
      <c r="J1350" s="2"/>
    </row>
    <row r="1351" spans="1:10">
      <c r="A1351" s="130"/>
      <c r="C1351" s="222"/>
      <c r="I1351" s="2"/>
      <c r="J1351" s="2"/>
    </row>
    <row r="1352" spans="1:10">
      <c r="A1352" s="130"/>
      <c r="C1352" s="222"/>
      <c r="I1352" s="2"/>
      <c r="J1352" s="2"/>
    </row>
    <row r="1353" spans="1:10">
      <c r="A1353" s="130"/>
      <c r="C1353" s="222"/>
      <c r="I1353" s="2"/>
      <c r="J1353" s="2"/>
    </row>
    <row r="1354" spans="1:10">
      <c r="A1354" s="130"/>
      <c r="C1354" s="222"/>
      <c r="I1354" s="2"/>
      <c r="J1354" s="2"/>
    </row>
    <row r="1355" spans="1:10">
      <c r="A1355" s="130"/>
      <c r="C1355" s="222"/>
      <c r="I1355" s="2"/>
      <c r="J1355" s="2"/>
    </row>
    <row r="1356" spans="1:10">
      <c r="A1356" s="130"/>
      <c r="C1356" s="222"/>
      <c r="I1356" s="2"/>
      <c r="J1356" s="2"/>
    </row>
    <row r="1357" spans="1:10">
      <c r="A1357" s="130"/>
      <c r="C1357" s="222"/>
      <c r="I1357" s="2"/>
      <c r="J1357" s="2"/>
    </row>
    <row r="1358" spans="1:10">
      <c r="A1358" s="130"/>
      <c r="C1358" s="222"/>
      <c r="I1358" s="2"/>
      <c r="J1358" s="2"/>
    </row>
    <row r="1359" spans="1:10">
      <c r="A1359" s="130"/>
      <c r="C1359" s="222"/>
      <c r="I1359" s="2"/>
      <c r="J1359" s="2"/>
    </row>
    <row r="1360" spans="1:10">
      <c r="A1360" s="130"/>
      <c r="C1360" s="222"/>
      <c r="I1360" s="2"/>
      <c r="J1360" s="2"/>
    </row>
    <row r="1361" spans="1:10">
      <c r="A1361" s="130"/>
      <c r="C1361" s="222"/>
      <c r="I1361" s="2"/>
      <c r="J1361" s="2"/>
    </row>
    <row r="1362" spans="1:10">
      <c r="A1362" s="130"/>
      <c r="C1362" s="222"/>
      <c r="I1362" s="2"/>
      <c r="J1362" s="2"/>
    </row>
    <row r="1363" spans="1:10">
      <c r="A1363" s="130"/>
      <c r="C1363" s="222"/>
      <c r="I1363" s="2"/>
      <c r="J1363" s="2"/>
    </row>
    <row r="1364" spans="1:10">
      <c r="A1364" s="130"/>
      <c r="C1364" s="222"/>
      <c r="I1364" s="2"/>
      <c r="J1364" s="2"/>
    </row>
    <row r="1365" spans="1:10">
      <c r="A1365" s="130"/>
      <c r="C1365" s="222"/>
      <c r="I1365" s="2"/>
      <c r="J1365" s="2"/>
    </row>
    <row r="1366" spans="1:10">
      <c r="A1366" s="130"/>
      <c r="C1366" s="222"/>
      <c r="I1366" s="2"/>
      <c r="J1366" s="2"/>
    </row>
    <row r="1367" spans="1:10">
      <c r="A1367" s="130"/>
      <c r="C1367" s="222"/>
      <c r="I1367" s="2"/>
      <c r="J1367" s="2"/>
    </row>
    <row r="1368" spans="1:10">
      <c r="A1368" s="130"/>
      <c r="C1368" s="222"/>
      <c r="I1368" s="2"/>
      <c r="J1368" s="2"/>
    </row>
    <row r="1369" spans="1:10">
      <c r="A1369" s="130"/>
      <c r="C1369" s="222"/>
      <c r="I1369" s="2"/>
      <c r="J1369" s="2"/>
    </row>
    <row r="1370" spans="1:10">
      <c r="A1370" s="130"/>
      <c r="C1370" s="222"/>
      <c r="I1370" s="2"/>
      <c r="J1370" s="2"/>
    </row>
    <row r="1371" spans="1:10">
      <c r="A1371" s="130"/>
      <c r="C1371" s="222"/>
      <c r="I1371" s="2"/>
      <c r="J1371" s="2"/>
    </row>
    <row r="1372" spans="1:10">
      <c r="A1372" s="130"/>
      <c r="C1372" s="222"/>
      <c r="I1372" s="2"/>
      <c r="J1372" s="2"/>
    </row>
    <row r="1373" spans="1:10">
      <c r="A1373" s="130"/>
      <c r="C1373" s="222"/>
      <c r="I1373" s="2"/>
      <c r="J1373" s="2"/>
    </row>
    <row r="1374" spans="1:10">
      <c r="A1374" s="130"/>
      <c r="C1374" s="222"/>
      <c r="I1374" s="2"/>
      <c r="J1374" s="2"/>
    </row>
    <row r="1375" spans="1:10">
      <c r="A1375" s="130"/>
      <c r="C1375" s="222"/>
      <c r="I1375" s="2"/>
      <c r="J1375" s="2"/>
    </row>
    <row r="1376" spans="1:10">
      <c r="A1376" s="130"/>
      <c r="C1376" s="222"/>
      <c r="I1376" s="2"/>
      <c r="J1376" s="2"/>
    </row>
    <row r="1377" spans="1:10">
      <c r="A1377" s="130"/>
      <c r="C1377" s="222"/>
      <c r="I1377" s="2"/>
      <c r="J1377" s="2"/>
    </row>
    <row r="1378" spans="1:10">
      <c r="A1378" s="130"/>
      <c r="C1378" s="222"/>
      <c r="I1378" s="2"/>
      <c r="J1378" s="2"/>
    </row>
    <row r="1379" spans="1:10">
      <c r="A1379" s="130"/>
      <c r="C1379" s="222"/>
      <c r="I1379" s="2"/>
      <c r="J1379" s="2"/>
    </row>
    <row r="1380" spans="1:10">
      <c r="A1380" s="130"/>
      <c r="C1380" s="222"/>
      <c r="I1380" s="2"/>
      <c r="J1380" s="2"/>
    </row>
    <row r="1381" spans="1:10">
      <c r="A1381" s="130"/>
      <c r="C1381" s="222"/>
      <c r="I1381" s="2"/>
      <c r="J1381" s="2"/>
    </row>
    <row r="1382" spans="1:10">
      <c r="A1382" s="130"/>
      <c r="C1382" s="222"/>
      <c r="I1382" s="2"/>
      <c r="J1382" s="2"/>
    </row>
    <row r="1383" spans="1:10">
      <c r="A1383" s="130"/>
      <c r="C1383" s="222"/>
      <c r="I1383" s="2"/>
      <c r="J1383" s="2"/>
    </row>
    <row r="1384" spans="1:10">
      <c r="A1384" s="130"/>
      <c r="C1384" s="222"/>
      <c r="I1384" s="2"/>
      <c r="J1384" s="2"/>
    </row>
    <row r="1385" spans="1:10">
      <c r="A1385" s="130"/>
      <c r="C1385" s="222"/>
      <c r="I1385" s="2"/>
      <c r="J1385" s="2"/>
    </row>
    <row r="1386" spans="1:10">
      <c r="A1386" s="130"/>
      <c r="C1386" s="222"/>
      <c r="I1386" s="2"/>
      <c r="J1386" s="2"/>
    </row>
    <row r="1387" spans="1:10">
      <c r="A1387" s="130"/>
      <c r="C1387" s="222"/>
      <c r="I1387" s="2"/>
      <c r="J1387" s="2"/>
    </row>
    <row r="1388" spans="1:10">
      <c r="A1388" s="130"/>
      <c r="C1388" s="222"/>
      <c r="I1388" s="2"/>
      <c r="J1388" s="2"/>
    </row>
    <row r="1389" spans="1:10">
      <c r="A1389" s="130"/>
      <c r="C1389" s="222"/>
      <c r="I1389" s="2"/>
      <c r="J1389" s="2"/>
    </row>
    <row r="1390" spans="1:10">
      <c r="A1390" s="130"/>
      <c r="C1390" s="222"/>
      <c r="I1390" s="2"/>
      <c r="J1390" s="2"/>
    </row>
    <row r="1391" spans="1:10">
      <c r="A1391" s="130"/>
      <c r="C1391" s="222"/>
      <c r="I1391" s="2"/>
      <c r="J1391" s="2"/>
    </row>
    <row r="1392" spans="1:10">
      <c r="A1392" s="130"/>
      <c r="C1392" s="222"/>
      <c r="I1392" s="2"/>
      <c r="J1392" s="2"/>
    </row>
    <row r="1393" spans="1:10">
      <c r="A1393" s="130"/>
      <c r="C1393" s="222"/>
      <c r="I1393" s="2"/>
      <c r="J1393" s="2"/>
    </row>
    <row r="1394" spans="1:10">
      <c r="A1394" s="130"/>
      <c r="C1394" s="222"/>
      <c r="I1394" s="2"/>
      <c r="J1394" s="2"/>
    </row>
    <row r="1395" spans="1:10">
      <c r="A1395" s="130"/>
      <c r="C1395" s="222"/>
      <c r="I1395" s="2"/>
      <c r="J1395" s="2"/>
    </row>
    <row r="1396" spans="1:10">
      <c r="A1396" s="130"/>
      <c r="C1396" s="222"/>
      <c r="I1396" s="2"/>
      <c r="J1396" s="2"/>
    </row>
    <row r="1397" spans="1:10">
      <c r="A1397" s="130"/>
      <c r="C1397" s="222"/>
      <c r="I1397" s="2"/>
      <c r="J1397" s="2"/>
    </row>
    <row r="1398" spans="1:10">
      <c r="A1398" s="130"/>
      <c r="C1398" s="222"/>
      <c r="I1398" s="2"/>
      <c r="J1398" s="2"/>
    </row>
    <row r="1399" spans="1:10">
      <c r="A1399" s="130"/>
      <c r="C1399" s="222"/>
      <c r="I1399" s="2"/>
      <c r="J1399" s="2"/>
    </row>
    <row r="1400" spans="1:10">
      <c r="A1400" s="130"/>
      <c r="C1400" s="222"/>
      <c r="I1400" s="2"/>
      <c r="J1400" s="2"/>
    </row>
    <row r="1401" spans="1:10">
      <c r="A1401" s="130"/>
      <c r="C1401" s="222"/>
      <c r="I1401" s="2"/>
      <c r="J1401" s="2"/>
    </row>
    <row r="1402" spans="1:10">
      <c r="A1402" s="130"/>
      <c r="C1402" s="222"/>
      <c r="I1402" s="2"/>
      <c r="J1402" s="2"/>
    </row>
    <row r="1403" spans="1:10">
      <c r="A1403" s="130"/>
      <c r="C1403" s="222"/>
      <c r="I1403" s="2"/>
      <c r="J1403" s="2"/>
    </row>
    <row r="1404" spans="1:10">
      <c r="A1404" s="130"/>
      <c r="C1404" s="222"/>
      <c r="I1404" s="2"/>
      <c r="J1404" s="2"/>
    </row>
    <row r="1405" spans="1:10">
      <c r="A1405" s="130"/>
      <c r="C1405" s="222"/>
      <c r="I1405" s="2"/>
      <c r="J1405" s="2"/>
    </row>
    <row r="1406" spans="1:10">
      <c r="A1406" s="130"/>
      <c r="C1406" s="222"/>
      <c r="I1406" s="2"/>
      <c r="J1406" s="2"/>
    </row>
    <row r="1407" spans="1:10">
      <c r="A1407" s="130"/>
      <c r="C1407" s="222"/>
      <c r="I1407" s="2"/>
      <c r="J1407" s="2"/>
    </row>
    <row r="1408" spans="1:10">
      <c r="A1408" s="130"/>
      <c r="C1408" s="222"/>
      <c r="I1408" s="2"/>
      <c r="J1408" s="2"/>
    </row>
    <row r="1409" spans="1:10">
      <c r="A1409" s="130"/>
      <c r="C1409" s="222"/>
      <c r="I1409" s="2"/>
      <c r="J1409" s="2"/>
    </row>
    <row r="1410" spans="1:10">
      <c r="A1410" s="130"/>
      <c r="C1410" s="222"/>
      <c r="I1410" s="2"/>
      <c r="J1410" s="2"/>
    </row>
    <row r="1411" spans="1:10">
      <c r="A1411" s="130"/>
      <c r="C1411" s="222"/>
      <c r="I1411" s="2"/>
      <c r="J1411" s="2"/>
    </row>
    <row r="1412" spans="1:10">
      <c r="A1412" s="130"/>
      <c r="C1412" s="222"/>
      <c r="I1412" s="2"/>
      <c r="J1412" s="2"/>
    </row>
    <row r="1413" spans="1:10">
      <c r="A1413" s="130"/>
      <c r="C1413" s="222"/>
      <c r="I1413" s="2"/>
      <c r="J1413" s="2"/>
    </row>
    <row r="1414" spans="1:10">
      <c r="A1414" s="130"/>
      <c r="C1414" s="222"/>
      <c r="I1414" s="2"/>
      <c r="J1414" s="2"/>
    </row>
    <row r="1415" spans="1:10">
      <c r="A1415" s="130"/>
      <c r="C1415" s="222"/>
      <c r="I1415" s="2"/>
      <c r="J1415" s="2"/>
    </row>
    <row r="1416" spans="1:10">
      <c r="A1416" s="130"/>
      <c r="C1416" s="222"/>
      <c r="I1416" s="2"/>
      <c r="J1416" s="2"/>
    </row>
    <row r="1417" spans="1:10">
      <c r="A1417" s="130"/>
      <c r="C1417" s="222"/>
      <c r="I1417" s="2"/>
      <c r="J1417" s="2"/>
    </row>
    <row r="1418" spans="1:10">
      <c r="A1418" s="130"/>
      <c r="C1418" s="222"/>
      <c r="I1418" s="2"/>
      <c r="J1418" s="2"/>
    </row>
    <row r="1419" spans="1:10">
      <c r="A1419" s="130"/>
      <c r="C1419" s="222"/>
      <c r="I1419" s="2"/>
      <c r="J1419" s="2"/>
    </row>
    <row r="1420" spans="1:10">
      <c r="A1420" s="130"/>
      <c r="C1420" s="222"/>
      <c r="I1420" s="2"/>
      <c r="J1420" s="2"/>
    </row>
    <row r="1421" spans="1:10">
      <c r="A1421" s="130"/>
      <c r="C1421" s="222"/>
      <c r="I1421" s="2"/>
      <c r="J1421" s="2"/>
    </row>
    <row r="1422" spans="1:10">
      <c r="A1422" s="130"/>
      <c r="C1422" s="222"/>
      <c r="I1422" s="2"/>
      <c r="J1422" s="2"/>
    </row>
    <row r="1423" spans="1:10">
      <c r="A1423" s="130"/>
      <c r="C1423" s="222"/>
      <c r="I1423" s="2"/>
      <c r="J1423" s="2"/>
    </row>
    <row r="1424" spans="1:10">
      <c r="A1424" s="130"/>
      <c r="C1424" s="222"/>
      <c r="I1424" s="2"/>
      <c r="J1424" s="2"/>
    </row>
    <row r="1425" spans="1:10">
      <c r="A1425" s="130"/>
      <c r="C1425" s="222"/>
      <c r="I1425" s="2"/>
      <c r="J1425" s="2"/>
    </row>
    <row r="1426" spans="1:10">
      <c r="A1426" s="130"/>
      <c r="C1426" s="222"/>
      <c r="I1426" s="2"/>
      <c r="J1426" s="2"/>
    </row>
    <row r="1427" spans="1:10">
      <c r="A1427" s="130"/>
      <c r="C1427" s="222"/>
      <c r="I1427" s="2"/>
      <c r="J1427" s="2"/>
    </row>
    <row r="1428" spans="1:10">
      <c r="A1428" s="130"/>
      <c r="C1428" s="222"/>
      <c r="I1428" s="2"/>
      <c r="J1428" s="2"/>
    </row>
    <row r="1429" spans="1:10">
      <c r="A1429" s="130"/>
      <c r="C1429" s="222"/>
      <c r="I1429" s="2"/>
      <c r="J1429" s="2"/>
    </row>
    <row r="1430" spans="1:10">
      <c r="A1430" s="130"/>
      <c r="C1430" s="222"/>
      <c r="I1430" s="2"/>
      <c r="J1430" s="2"/>
    </row>
    <row r="1431" spans="1:10">
      <c r="A1431" s="130"/>
      <c r="C1431" s="222"/>
      <c r="I1431" s="2"/>
      <c r="J1431" s="2"/>
    </row>
    <row r="1432" spans="1:10">
      <c r="A1432" s="130"/>
      <c r="C1432" s="222"/>
      <c r="I1432" s="2"/>
      <c r="J1432" s="2"/>
    </row>
    <row r="1433" spans="1:10">
      <c r="A1433" s="130"/>
      <c r="C1433" s="222"/>
      <c r="I1433" s="2"/>
      <c r="J1433" s="2"/>
    </row>
    <row r="1434" spans="1:10">
      <c r="A1434" s="130"/>
      <c r="C1434" s="222"/>
      <c r="I1434" s="2"/>
      <c r="J1434" s="2"/>
    </row>
    <row r="1435" spans="1:10">
      <c r="A1435" s="130"/>
      <c r="C1435" s="222"/>
      <c r="I1435" s="2"/>
      <c r="J1435" s="2"/>
    </row>
    <row r="1436" spans="1:10">
      <c r="A1436" s="130"/>
      <c r="C1436" s="222"/>
      <c r="I1436" s="2"/>
      <c r="J1436" s="2"/>
    </row>
    <row r="1437" spans="1:10">
      <c r="A1437" s="130"/>
      <c r="C1437" s="222"/>
      <c r="I1437" s="2"/>
      <c r="J1437" s="2"/>
    </row>
    <row r="1438" spans="1:10">
      <c r="A1438" s="130"/>
      <c r="C1438" s="222"/>
      <c r="I1438" s="2"/>
      <c r="J1438" s="2"/>
    </row>
    <row r="1439" spans="1:10">
      <c r="A1439" s="130"/>
      <c r="C1439" s="222"/>
      <c r="I1439" s="2"/>
      <c r="J1439" s="2"/>
    </row>
    <row r="1440" spans="1:10">
      <c r="A1440" s="130"/>
      <c r="C1440" s="222"/>
      <c r="I1440" s="2"/>
      <c r="J1440" s="2"/>
    </row>
    <row r="1441" spans="1:10">
      <c r="A1441" s="130"/>
      <c r="C1441" s="222"/>
      <c r="I1441" s="2"/>
      <c r="J1441" s="2"/>
    </row>
    <row r="1442" spans="1:10">
      <c r="A1442" s="130"/>
      <c r="C1442" s="222"/>
      <c r="I1442" s="2"/>
      <c r="J1442" s="2"/>
    </row>
    <row r="1443" spans="1:10">
      <c r="A1443" s="130"/>
      <c r="C1443" s="222"/>
      <c r="I1443" s="2"/>
      <c r="J1443" s="2"/>
    </row>
    <row r="1444" spans="1:10">
      <c r="A1444" s="130"/>
      <c r="C1444" s="222"/>
      <c r="I1444" s="2"/>
      <c r="J1444" s="2"/>
    </row>
    <row r="1445" spans="1:10">
      <c r="A1445" s="130"/>
      <c r="C1445" s="222"/>
      <c r="I1445" s="2"/>
      <c r="J1445" s="2"/>
    </row>
    <row r="1446" spans="1:10">
      <c r="A1446" s="130"/>
      <c r="C1446" s="222"/>
      <c r="I1446" s="2"/>
      <c r="J1446" s="2"/>
    </row>
    <row r="1447" spans="1:10">
      <c r="A1447" s="130"/>
      <c r="C1447" s="222"/>
      <c r="I1447" s="2"/>
      <c r="J1447" s="2"/>
    </row>
    <row r="1448" spans="1:10">
      <c r="A1448" s="130"/>
      <c r="C1448" s="222"/>
      <c r="I1448" s="2"/>
      <c r="J1448" s="2"/>
    </row>
    <row r="1449" spans="1:10">
      <c r="A1449" s="130"/>
      <c r="C1449" s="222"/>
      <c r="I1449" s="2"/>
      <c r="J1449" s="2"/>
    </row>
    <row r="1450" spans="1:10">
      <c r="A1450" s="130"/>
      <c r="C1450" s="222"/>
      <c r="I1450" s="2"/>
      <c r="J1450" s="2"/>
    </row>
    <row r="1451" spans="1:10">
      <c r="A1451" s="130"/>
      <c r="C1451" s="222"/>
      <c r="I1451" s="2"/>
      <c r="J1451" s="2"/>
    </row>
    <row r="1452" spans="1:10">
      <c r="A1452" s="130"/>
      <c r="C1452" s="222"/>
      <c r="I1452" s="2"/>
      <c r="J1452" s="2"/>
    </row>
    <row r="1453" spans="1:10">
      <c r="A1453" s="130"/>
      <c r="C1453" s="222"/>
      <c r="I1453" s="2"/>
      <c r="J1453" s="2"/>
    </row>
    <row r="1454" spans="1:10">
      <c r="A1454" s="130"/>
      <c r="C1454" s="222"/>
      <c r="I1454" s="2"/>
      <c r="J1454" s="2"/>
    </row>
    <row r="1455" spans="1:10">
      <c r="A1455" s="130"/>
      <c r="C1455" s="222"/>
      <c r="I1455" s="2"/>
      <c r="J1455" s="2"/>
    </row>
    <row r="1456" spans="1:10">
      <c r="A1456" s="130"/>
      <c r="C1456" s="222"/>
      <c r="I1456" s="2"/>
      <c r="J1456" s="2"/>
    </row>
    <row r="1457" spans="1:10">
      <c r="A1457" s="130"/>
      <c r="C1457" s="222"/>
      <c r="I1457" s="2"/>
      <c r="J1457" s="2"/>
    </row>
    <row r="1458" spans="1:10">
      <c r="A1458" s="130"/>
      <c r="C1458" s="222"/>
      <c r="I1458" s="2"/>
      <c r="J1458" s="2"/>
    </row>
    <row r="1459" spans="1:10">
      <c r="A1459" s="130"/>
      <c r="C1459" s="222"/>
      <c r="I1459" s="2"/>
      <c r="J1459" s="2"/>
    </row>
    <row r="1460" spans="1:10">
      <c r="A1460" s="130"/>
      <c r="C1460" s="222"/>
      <c r="I1460" s="2"/>
      <c r="J1460" s="2"/>
    </row>
    <row r="1461" spans="1:10">
      <c r="A1461" s="130"/>
      <c r="C1461" s="222"/>
      <c r="I1461" s="2"/>
      <c r="J1461" s="2"/>
    </row>
    <row r="1462" spans="1:10">
      <c r="A1462" s="130"/>
      <c r="C1462" s="222"/>
      <c r="I1462" s="2"/>
      <c r="J1462" s="2"/>
    </row>
    <row r="1463" spans="1:10">
      <c r="A1463" s="130"/>
      <c r="C1463" s="222"/>
      <c r="I1463" s="2"/>
      <c r="J1463" s="2"/>
    </row>
    <row r="1464" spans="1:10">
      <c r="A1464" s="130"/>
      <c r="C1464" s="222"/>
      <c r="I1464" s="2"/>
      <c r="J1464" s="2"/>
    </row>
    <row r="1465" spans="1:10">
      <c r="A1465" s="130"/>
      <c r="C1465" s="222"/>
      <c r="I1465" s="2"/>
      <c r="J1465" s="2"/>
    </row>
    <row r="1466" spans="1:10">
      <c r="A1466" s="130"/>
      <c r="C1466" s="222"/>
      <c r="I1466" s="2"/>
      <c r="J1466" s="2"/>
    </row>
    <row r="1467" spans="1:10">
      <c r="A1467" s="130"/>
      <c r="C1467" s="222"/>
      <c r="I1467" s="2"/>
      <c r="J1467" s="2"/>
    </row>
    <row r="1468" spans="1:10">
      <c r="A1468" s="130"/>
      <c r="C1468" s="222"/>
      <c r="I1468" s="2"/>
      <c r="J1468" s="2"/>
    </row>
    <row r="1469" spans="1:10">
      <c r="A1469" s="130"/>
      <c r="C1469" s="222"/>
      <c r="I1469" s="2"/>
      <c r="J1469" s="2"/>
    </row>
    <row r="1470" spans="1:10">
      <c r="A1470" s="130"/>
      <c r="C1470" s="222"/>
      <c r="I1470" s="2"/>
      <c r="J1470" s="2"/>
    </row>
    <row r="1471" spans="1:10">
      <c r="A1471" s="130"/>
      <c r="C1471" s="222"/>
      <c r="I1471" s="2"/>
      <c r="J1471" s="2"/>
    </row>
    <row r="1472" spans="1:10">
      <c r="A1472" s="130"/>
      <c r="C1472" s="222"/>
      <c r="I1472" s="2"/>
      <c r="J1472" s="2"/>
    </row>
    <row r="1473" spans="1:10">
      <c r="A1473" s="130"/>
      <c r="C1473" s="222"/>
      <c r="I1473" s="2"/>
      <c r="J1473" s="2"/>
    </row>
    <row r="1474" spans="1:10">
      <c r="A1474" s="130"/>
      <c r="C1474" s="222"/>
      <c r="I1474" s="2"/>
      <c r="J1474" s="2"/>
    </row>
    <row r="1475" spans="1:10">
      <c r="A1475" s="130"/>
      <c r="C1475" s="222"/>
      <c r="I1475" s="2"/>
      <c r="J1475" s="2"/>
    </row>
    <row r="1476" spans="1:10">
      <c r="A1476" s="130"/>
      <c r="C1476" s="222"/>
      <c r="I1476" s="2"/>
      <c r="J1476" s="2"/>
    </row>
    <row r="1477" spans="1:10">
      <c r="A1477" s="130"/>
      <c r="C1477" s="222"/>
      <c r="I1477" s="2"/>
      <c r="J1477" s="2"/>
    </row>
    <row r="1478" spans="1:10">
      <c r="A1478" s="130"/>
      <c r="C1478" s="222"/>
      <c r="I1478" s="2"/>
      <c r="J1478" s="2"/>
    </row>
    <row r="1479" spans="1:10">
      <c r="A1479" s="130"/>
      <c r="C1479" s="222"/>
      <c r="I1479" s="2"/>
      <c r="J1479" s="2"/>
    </row>
    <row r="1480" spans="1:10">
      <c r="A1480" s="130"/>
      <c r="C1480" s="222"/>
      <c r="I1480" s="2"/>
      <c r="J1480" s="2"/>
    </row>
    <row r="1481" spans="1:10">
      <c r="A1481" s="130"/>
      <c r="C1481" s="222"/>
      <c r="I1481" s="2"/>
      <c r="J1481" s="2"/>
    </row>
    <row r="1482" spans="1:10">
      <c r="A1482" s="130"/>
      <c r="C1482" s="222"/>
      <c r="I1482" s="2"/>
      <c r="J1482" s="2"/>
    </row>
    <row r="1483" spans="1:10">
      <c r="A1483" s="130"/>
      <c r="C1483" s="222"/>
      <c r="I1483" s="2"/>
      <c r="J1483" s="2"/>
    </row>
    <row r="1484" spans="1:10">
      <c r="A1484" s="130"/>
      <c r="C1484" s="222"/>
      <c r="I1484" s="2"/>
      <c r="J1484" s="2"/>
    </row>
    <row r="1485" spans="1:10">
      <c r="A1485" s="130"/>
      <c r="C1485" s="222"/>
      <c r="I1485" s="2"/>
      <c r="J1485" s="2"/>
    </row>
    <row r="1486" spans="1:10">
      <c r="A1486" s="130"/>
      <c r="C1486" s="222"/>
      <c r="I1486" s="2"/>
      <c r="J1486" s="2"/>
    </row>
    <row r="1487" spans="1:10">
      <c r="A1487" s="130"/>
      <c r="C1487" s="222"/>
      <c r="I1487" s="2"/>
      <c r="J1487" s="2"/>
    </row>
    <row r="1488" spans="1:10">
      <c r="A1488" s="130"/>
      <c r="C1488" s="222"/>
      <c r="I1488" s="2"/>
      <c r="J1488" s="2"/>
    </row>
    <row r="1489" spans="1:10">
      <c r="A1489" s="130"/>
      <c r="C1489" s="222"/>
      <c r="I1489" s="2"/>
      <c r="J1489" s="2"/>
    </row>
    <row r="1490" spans="1:10">
      <c r="A1490" s="130"/>
      <c r="C1490" s="222"/>
      <c r="I1490" s="2"/>
      <c r="J1490" s="2"/>
    </row>
    <row r="1491" spans="1:10">
      <c r="A1491" s="130"/>
      <c r="C1491" s="222"/>
      <c r="I1491" s="2"/>
      <c r="J1491" s="2"/>
    </row>
    <row r="1492" spans="1:10">
      <c r="A1492" s="130"/>
      <c r="C1492" s="222"/>
      <c r="I1492" s="2"/>
      <c r="J1492" s="2"/>
    </row>
    <row r="1493" spans="1:10">
      <c r="A1493" s="130"/>
      <c r="C1493" s="222"/>
      <c r="I1493" s="2"/>
      <c r="J1493" s="2"/>
    </row>
    <row r="1494" spans="1:10">
      <c r="A1494" s="130"/>
      <c r="C1494" s="222"/>
      <c r="I1494" s="2"/>
      <c r="J1494" s="2"/>
    </row>
    <row r="1495" spans="1:10">
      <c r="A1495" s="130"/>
      <c r="C1495" s="222"/>
      <c r="I1495" s="2"/>
      <c r="J1495" s="2"/>
    </row>
    <row r="1496" spans="1:10">
      <c r="A1496" s="130"/>
      <c r="C1496" s="222"/>
      <c r="I1496" s="2"/>
      <c r="J1496" s="2"/>
    </row>
    <row r="1497" spans="1:10">
      <c r="A1497" s="130"/>
      <c r="C1497" s="222"/>
      <c r="I1497" s="2"/>
      <c r="J1497" s="2"/>
    </row>
    <row r="1498" spans="1:10">
      <c r="A1498" s="130"/>
      <c r="C1498" s="222"/>
      <c r="I1498" s="2"/>
      <c r="J1498" s="2"/>
    </row>
    <row r="1499" spans="1:10">
      <c r="A1499" s="130"/>
      <c r="C1499" s="222"/>
      <c r="I1499" s="2"/>
      <c r="J1499" s="2"/>
    </row>
    <row r="1500" spans="1:10">
      <c r="A1500" s="130"/>
      <c r="C1500" s="222"/>
      <c r="I1500" s="2"/>
      <c r="J1500" s="2"/>
    </row>
    <row r="1501" spans="1:10">
      <c r="A1501" s="130"/>
      <c r="C1501" s="222"/>
      <c r="I1501" s="2"/>
      <c r="J1501" s="2"/>
    </row>
    <row r="1502" spans="1:10">
      <c r="A1502" s="130"/>
      <c r="C1502" s="222"/>
      <c r="I1502" s="2"/>
      <c r="J1502" s="2"/>
    </row>
    <row r="1503" spans="1:10">
      <c r="A1503" s="130"/>
      <c r="C1503" s="222"/>
      <c r="I1503" s="2"/>
      <c r="J1503" s="2"/>
    </row>
    <row r="1504" spans="1:10">
      <c r="A1504" s="130"/>
      <c r="C1504" s="222"/>
      <c r="I1504" s="2"/>
      <c r="J1504" s="2"/>
    </row>
    <row r="1505" spans="1:10">
      <c r="A1505" s="130"/>
      <c r="C1505" s="222"/>
      <c r="I1505" s="2"/>
      <c r="J1505" s="2"/>
    </row>
    <row r="1506" spans="1:10">
      <c r="A1506" s="130"/>
      <c r="C1506" s="222"/>
      <c r="I1506" s="2"/>
      <c r="J1506" s="2"/>
    </row>
    <row r="1507" spans="1:10">
      <c r="A1507" s="130"/>
      <c r="C1507" s="222"/>
      <c r="I1507" s="2"/>
      <c r="J1507" s="2"/>
    </row>
    <row r="1508" spans="1:10">
      <c r="A1508" s="130"/>
      <c r="C1508" s="222"/>
      <c r="I1508" s="2"/>
      <c r="J1508" s="2"/>
    </row>
    <row r="1509" spans="1:10">
      <c r="A1509" s="130"/>
      <c r="C1509" s="222"/>
      <c r="I1509" s="2"/>
      <c r="J1509" s="2"/>
    </row>
    <row r="1510" spans="1:10">
      <c r="A1510" s="130"/>
      <c r="C1510" s="222"/>
      <c r="I1510" s="2"/>
      <c r="J1510" s="2"/>
    </row>
    <row r="1511" spans="1:10">
      <c r="A1511" s="130"/>
      <c r="C1511" s="222"/>
      <c r="I1511" s="2"/>
      <c r="J1511" s="2"/>
    </row>
    <row r="1512" spans="1:10">
      <c r="A1512" s="130"/>
      <c r="C1512" s="222"/>
      <c r="I1512" s="2"/>
      <c r="J1512" s="2"/>
    </row>
    <row r="1513" spans="1:10">
      <c r="A1513" s="130"/>
      <c r="C1513" s="222"/>
      <c r="I1513" s="2"/>
      <c r="J1513" s="2"/>
    </row>
    <row r="1514" spans="1:10">
      <c r="A1514" s="130"/>
      <c r="C1514" s="222"/>
      <c r="I1514" s="2"/>
      <c r="J1514" s="2"/>
    </row>
    <row r="1515" spans="1:10">
      <c r="A1515" s="130"/>
      <c r="C1515" s="222"/>
      <c r="I1515" s="2"/>
      <c r="J1515" s="2"/>
    </row>
    <row r="1516" spans="1:10">
      <c r="A1516" s="130"/>
      <c r="C1516" s="222"/>
      <c r="I1516" s="2"/>
      <c r="J1516" s="2"/>
    </row>
    <row r="1517" spans="1:10">
      <c r="A1517" s="130"/>
      <c r="C1517" s="222"/>
      <c r="I1517" s="2"/>
      <c r="J1517" s="2"/>
    </row>
    <row r="1518" spans="1:10">
      <c r="A1518" s="130"/>
      <c r="C1518" s="222"/>
      <c r="I1518" s="2"/>
      <c r="J1518" s="2"/>
    </row>
    <row r="1519" spans="1:10">
      <c r="A1519" s="130"/>
      <c r="C1519" s="222"/>
      <c r="I1519" s="2"/>
      <c r="J1519" s="2"/>
    </row>
    <row r="1520" spans="1:10">
      <c r="A1520" s="130"/>
      <c r="C1520" s="222"/>
      <c r="I1520" s="2"/>
      <c r="J1520" s="2"/>
    </row>
    <row r="1521" spans="1:10">
      <c r="A1521" s="130"/>
      <c r="C1521" s="222"/>
      <c r="I1521" s="2"/>
      <c r="J1521" s="2"/>
    </row>
    <row r="1522" spans="1:10">
      <c r="A1522" s="130"/>
      <c r="C1522" s="222"/>
      <c r="I1522" s="2"/>
      <c r="J1522" s="2"/>
    </row>
    <row r="1523" spans="1:10">
      <c r="A1523" s="130"/>
      <c r="C1523" s="222"/>
      <c r="I1523" s="2"/>
      <c r="J1523" s="2"/>
    </row>
    <row r="1524" spans="1:10">
      <c r="A1524" s="130"/>
      <c r="C1524" s="222"/>
      <c r="I1524" s="2"/>
      <c r="J1524" s="2"/>
    </row>
    <row r="1525" spans="1:10">
      <c r="A1525" s="130"/>
      <c r="C1525" s="222"/>
      <c r="I1525" s="2"/>
      <c r="J1525" s="2"/>
    </row>
    <row r="1526" spans="1:10">
      <c r="A1526" s="130"/>
      <c r="C1526" s="222"/>
      <c r="I1526" s="2"/>
      <c r="J1526" s="2"/>
    </row>
    <row r="1527" spans="1:10">
      <c r="A1527" s="130"/>
      <c r="C1527" s="222"/>
      <c r="I1527" s="2"/>
      <c r="J1527" s="2"/>
    </row>
    <row r="1528" spans="1:10">
      <c r="A1528" s="130"/>
      <c r="C1528" s="222"/>
      <c r="I1528" s="2"/>
      <c r="J1528" s="2"/>
    </row>
    <row r="1529" spans="1:10">
      <c r="A1529" s="130"/>
      <c r="C1529" s="222"/>
      <c r="I1529" s="2"/>
      <c r="J1529" s="2"/>
    </row>
    <row r="1530" spans="1:10">
      <c r="A1530" s="130"/>
      <c r="C1530" s="222"/>
      <c r="I1530" s="2"/>
      <c r="J1530" s="2"/>
    </row>
    <row r="1531" spans="1:10">
      <c r="A1531" s="130"/>
      <c r="C1531" s="222"/>
      <c r="I1531" s="2"/>
      <c r="J1531" s="2"/>
    </row>
    <row r="1532" spans="1:10">
      <c r="A1532" s="130"/>
      <c r="C1532" s="222"/>
      <c r="I1532" s="2"/>
      <c r="J1532" s="2"/>
    </row>
    <row r="1533" spans="1:10">
      <c r="A1533" s="130"/>
      <c r="C1533" s="222"/>
      <c r="I1533" s="2"/>
      <c r="J1533" s="2"/>
    </row>
    <row r="1534" spans="1:10">
      <c r="A1534" s="130"/>
      <c r="C1534" s="222"/>
      <c r="I1534" s="2"/>
      <c r="J1534" s="2"/>
    </row>
    <row r="1535" spans="1:10">
      <c r="A1535" s="130"/>
      <c r="C1535" s="222"/>
      <c r="I1535" s="2"/>
      <c r="J1535" s="2"/>
    </row>
    <row r="1536" spans="1:10">
      <c r="A1536" s="130"/>
      <c r="C1536" s="222"/>
      <c r="I1536" s="2"/>
      <c r="J1536" s="2"/>
    </row>
    <row r="1537" spans="1:10">
      <c r="A1537" s="130"/>
      <c r="C1537" s="222"/>
      <c r="I1537" s="2"/>
      <c r="J1537" s="2"/>
    </row>
    <row r="1538" spans="1:10">
      <c r="A1538" s="130"/>
      <c r="C1538" s="222"/>
      <c r="I1538" s="2"/>
      <c r="J1538" s="2"/>
    </row>
    <row r="1539" spans="1:10">
      <c r="A1539" s="130"/>
      <c r="C1539" s="222"/>
      <c r="I1539" s="2"/>
      <c r="J1539" s="2"/>
    </row>
    <row r="1540" spans="1:10">
      <c r="A1540" s="130"/>
      <c r="C1540" s="222"/>
      <c r="I1540" s="2"/>
      <c r="J1540" s="2"/>
    </row>
    <row r="1541" spans="1:10">
      <c r="A1541" s="130"/>
      <c r="C1541" s="222"/>
      <c r="I1541" s="2"/>
      <c r="J1541" s="2"/>
    </row>
    <row r="1542" spans="1:10">
      <c r="A1542" s="130"/>
      <c r="C1542" s="222"/>
      <c r="I1542" s="2"/>
      <c r="J1542" s="2"/>
    </row>
    <row r="1543" spans="1:10">
      <c r="A1543" s="130"/>
      <c r="C1543" s="222"/>
      <c r="I1543" s="2"/>
      <c r="J1543" s="2"/>
    </row>
    <row r="1544" spans="1:10">
      <c r="A1544" s="130"/>
      <c r="C1544" s="222"/>
      <c r="I1544" s="2"/>
      <c r="J1544" s="2"/>
    </row>
    <row r="1545" spans="1:10">
      <c r="A1545" s="130"/>
      <c r="C1545" s="222"/>
      <c r="I1545" s="2"/>
      <c r="J1545" s="2"/>
    </row>
    <row r="1546" spans="1:10">
      <c r="A1546" s="130"/>
      <c r="C1546" s="222"/>
      <c r="I1546" s="2"/>
      <c r="J1546" s="2"/>
    </row>
    <row r="1547" spans="1:10">
      <c r="A1547" s="130"/>
      <c r="C1547" s="222"/>
      <c r="I1547" s="2"/>
      <c r="J1547" s="2"/>
    </row>
    <row r="1548" spans="1:10">
      <c r="A1548" s="130"/>
      <c r="C1548" s="222"/>
      <c r="I1548" s="2"/>
      <c r="J1548" s="2"/>
    </row>
    <row r="1549" spans="1:10">
      <c r="A1549" s="130"/>
      <c r="C1549" s="222"/>
      <c r="I1549" s="2"/>
      <c r="J1549" s="2"/>
    </row>
    <row r="1550" spans="1:10">
      <c r="A1550" s="130"/>
      <c r="C1550" s="222"/>
      <c r="I1550" s="2"/>
      <c r="J1550" s="2"/>
    </row>
    <row r="1551" spans="1:10">
      <c r="A1551" s="130"/>
      <c r="C1551" s="222"/>
      <c r="I1551" s="2"/>
      <c r="J1551" s="2"/>
    </row>
    <row r="1552" spans="1:10">
      <c r="A1552" s="130"/>
      <c r="C1552" s="222"/>
      <c r="I1552" s="2"/>
      <c r="J1552" s="2"/>
    </row>
    <row r="1553" spans="1:10">
      <c r="A1553" s="130"/>
      <c r="C1553" s="222"/>
      <c r="I1553" s="2"/>
      <c r="J1553" s="2"/>
    </row>
    <row r="1554" spans="1:10">
      <c r="A1554" s="130"/>
      <c r="C1554" s="222"/>
      <c r="I1554" s="2"/>
      <c r="J1554" s="2"/>
    </row>
    <row r="1555" spans="1:10">
      <c r="A1555" s="130"/>
      <c r="C1555" s="222"/>
      <c r="I1555" s="2"/>
      <c r="J1555" s="2"/>
    </row>
    <row r="1556" spans="1:10">
      <c r="A1556" s="130"/>
      <c r="C1556" s="222"/>
      <c r="I1556" s="2"/>
      <c r="J1556" s="2"/>
    </row>
    <row r="1557" spans="1:10">
      <c r="A1557" s="130"/>
      <c r="C1557" s="222"/>
      <c r="I1557" s="2"/>
      <c r="J1557" s="2"/>
    </row>
    <row r="1558" spans="1:10">
      <c r="A1558" s="130"/>
      <c r="C1558" s="222"/>
      <c r="I1558" s="2"/>
      <c r="J1558" s="2"/>
    </row>
    <row r="1559" spans="1:10">
      <c r="A1559" s="130"/>
      <c r="C1559" s="222"/>
      <c r="I1559" s="2"/>
      <c r="J1559" s="2"/>
    </row>
    <row r="1560" spans="1:10">
      <c r="A1560" s="130"/>
      <c r="C1560" s="222"/>
      <c r="I1560" s="2"/>
      <c r="J1560" s="2"/>
    </row>
    <row r="1561" spans="1:10">
      <c r="A1561" s="130"/>
      <c r="C1561" s="222"/>
      <c r="I1561" s="2"/>
      <c r="J1561" s="2"/>
    </row>
    <row r="1562" spans="1:10">
      <c r="A1562" s="130"/>
      <c r="C1562" s="222"/>
      <c r="I1562" s="2"/>
      <c r="J1562" s="2"/>
    </row>
    <row r="1563" spans="1:10">
      <c r="A1563" s="130"/>
      <c r="C1563" s="222"/>
      <c r="I1563" s="2"/>
      <c r="J1563" s="2"/>
    </row>
    <row r="1564" spans="1:10">
      <c r="A1564" s="130"/>
      <c r="C1564" s="222"/>
      <c r="I1564" s="2"/>
      <c r="J1564" s="2"/>
    </row>
    <row r="1565" spans="1:10">
      <c r="A1565" s="130"/>
      <c r="C1565" s="222"/>
      <c r="I1565" s="2"/>
      <c r="J1565" s="2"/>
    </row>
    <row r="1566" spans="1:10">
      <c r="A1566" s="130"/>
      <c r="C1566" s="222"/>
      <c r="I1566" s="2"/>
      <c r="J1566" s="2"/>
    </row>
    <row r="1567" spans="1:10">
      <c r="A1567" s="130"/>
      <c r="C1567" s="222"/>
      <c r="I1567" s="2"/>
      <c r="J1567" s="2"/>
    </row>
    <row r="1568" spans="1:10">
      <c r="A1568" s="130"/>
      <c r="C1568" s="222"/>
      <c r="I1568" s="2"/>
      <c r="J1568" s="2"/>
    </row>
    <row r="1569" spans="1:10">
      <c r="A1569" s="130"/>
      <c r="C1569" s="222"/>
      <c r="I1569" s="2"/>
      <c r="J1569" s="2"/>
    </row>
    <row r="1570" spans="1:10">
      <c r="A1570" s="130"/>
      <c r="C1570" s="222"/>
      <c r="I1570" s="2"/>
      <c r="J1570" s="2"/>
    </row>
    <row r="1571" spans="1:10">
      <c r="A1571" s="130"/>
      <c r="C1571" s="222"/>
      <c r="I1571" s="2"/>
      <c r="J1571" s="2"/>
    </row>
    <row r="1572" spans="1:10">
      <c r="A1572" s="130"/>
      <c r="C1572" s="222"/>
      <c r="I1572" s="2"/>
      <c r="J1572" s="2"/>
    </row>
    <row r="1573" spans="1:10">
      <c r="A1573" s="130"/>
      <c r="C1573" s="222"/>
      <c r="I1573" s="2"/>
      <c r="J1573" s="2"/>
    </row>
    <row r="1574" spans="1:10">
      <c r="A1574" s="130"/>
      <c r="C1574" s="222"/>
      <c r="I1574" s="2"/>
      <c r="J1574" s="2"/>
    </row>
    <row r="1575" spans="1:10">
      <c r="A1575" s="130"/>
      <c r="C1575" s="222"/>
      <c r="I1575" s="2"/>
      <c r="J1575" s="2"/>
    </row>
    <row r="1576" spans="1:10">
      <c r="A1576" s="130"/>
      <c r="C1576" s="222"/>
      <c r="I1576" s="2"/>
      <c r="J1576" s="2"/>
    </row>
    <row r="1577" spans="1:10">
      <c r="A1577" s="130"/>
      <c r="C1577" s="222"/>
      <c r="I1577" s="2"/>
      <c r="J1577" s="2"/>
    </row>
    <row r="1578" spans="1:10">
      <c r="A1578" s="130"/>
      <c r="C1578" s="222"/>
      <c r="I1578" s="2"/>
      <c r="J1578" s="2"/>
    </row>
    <row r="1579" spans="1:10">
      <c r="A1579" s="130"/>
      <c r="C1579" s="222"/>
      <c r="I1579" s="2"/>
      <c r="J1579" s="2"/>
    </row>
    <row r="1580" spans="1:10">
      <c r="A1580" s="130"/>
      <c r="C1580" s="222"/>
      <c r="I1580" s="2"/>
      <c r="J1580" s="2"/>
    </row>
    <row r="1581" spans="1:10">
      <c r="A1581" s="130"/>
      <c r="C1581" s="222"/>
      <c r="I1581" s="2"/>
      <c r="J1581" s="2"/>
    </row>
    <row r="1582" spans="1:10">
      <c r="A1582" s="130"/>
      <c r="C1582" s="222"/>
      <c r="I1582" s="2"/>
      <c r="J1582" s="2"/>
    </row>
    <row r="1583" spans="1:10">
      <c r="A1583" s="130"/>
      <c r="C1583" s="222"/>
      <c r="I1583" s="2"/>
      <c r="J1583" s="2"/>
    </row>
    <row r="1584" spans="1:10">
      <c r="A1584" s="130"/>
      <c r="C1584" s="222"/>
      <c r="I1584" s="2"/>
      <c r="J1584" s="2"/>
    </row>
    <row r="1585" spans="1:10">
      <c r="A1585" s="130"/>
      <c r="C1585" s="222"/>
      <c r="I1585" s="2"/>
      <c r="J1585" s="2"/>
    </row>
    <row r="1586" spans="1:10">
      <c r="A1586" s="130"/>
      <c r="C1586" s="222"/>
      <c r="I1586" s="2"/>
      <c r="J1586" s="2"/>
    </row>
    <row r="1587" spans="1:10">
      <c r="A1587" s="130"/>
      <c r="C1587" s="222"/>
      <c r="I1587" s="2"/>
      <c r="J1587" s="2"/>
    </row>
    <row r="1588" spans="1:10">
      <c r="A1588" s="130"/>
      <c r="C1588" s="222"/>
      <c r="I1588" s="2"/>
      <c r="J1588" s="2"/>
    </row>
    <row r="1589" spans="1:10">
      <c r="A1589" s="130"/>
      <c r="C1589" s="222"/>
      <c r="I1589" s="2"/>
      <c r="J1589" s="2"/>
    </row>
    <row r="1590" spans="1:10">
      <c r="A1590" s="130"/>
      <c r="C1590" s="222"/>
      <c r="I1590" s="2"/>
      <c r="J1590" s="2"/>
    </row>
    <row r="1591" spans="1:10">
      <c r="A1591" s="130"/>
      <c r="C1591" s="222"/>
      <c r="I1591" s="2"/>
      <c r="J1591" s="2"/>
    </row>
    <row r="1592" spans="1:10">
      <c r="A1592" s="130"/>
      <c r="C1592" s="222"/>
      <c r="I1592" s="2"/>
      <c r="J1592" s="2"/>
    </row>
    <row r="1593" spans="1:10">
      <c r="A1593" s="130"/>
      <c r="C1593" s="222"/>
      <c r="I1593" s="2"/>
      <c r="J1593" s="2"/>
    </row>
    <row r="1594" spans="1:10">
      <c r="A1594" s="130"/>
      <c r="C1594" s="222"/>
      <c r="I1594" s="2"/>
      <c r="J1594" s="2"/>
    </row>
    <row r="1595" spans="1:10">
      <c r="A1595" s="130"/>
      <c r="C1595" s="222"/>
      <c r="I1595" s="2"/>
      <c r="J1595" s="2"/>
    </row>
    <row r="1596" spans="1:10">
      <c r="A1596" s="130"/>
      <c r="C1596" s="222"/>
      <c r="I1596" s="2"/>
      <c r="J1596" s="2"/>
    </row>
    <row r="1597" spans="1:10">
      <c r="A1597" s="130"/>
      <c r="C1597" s="222"/>
      <c r="I1597" s="2"/>
      <c r="J1597" s="2"/>
    </row>
    <row r="1598" spans="1:10">
      <c r="A1598" s="130"/>
      <c r="C1598" s="222"/>
      <c r="I1598" s="2"/>
      <c r="J1598" s="2"/>
    </row>
    <row r="1599" spans="1:10">
      <c r="A1599" s="130"/>
      <c r="C1599" s="222"/>
      <c r="I1599" s="2"/>
      <c r="J1599" s="2"/>
    </row>
    <row r="1600" spans="1:10">
      <c r="A1600" s="130"/>
      <c r="C1600" s="222"/>
      <c r="I1600" s="2"/>
      <c r="J1600" s="2"/>
    </row>
    <row r="1601" spans="1:10">
      <c r="A1601" s="130"/>
      <c r="C1601" s="222"/>
      <c r="I1601" s="2"/>
      <c r="J1601" s="2"/>
    </row>
    <row r="1602" spans="1:10">
      <c r="A1602" s="130"/>
      <c r="C1602" s="222"/>
      <c r="I1602" s="2"/>
      <c r="J1602" s="2"/>
    </row>
    <row r="1603" spans="1:10">
      <c r="A1603" s="130"/>
      <c r="C1603" s="222"/>
      <c r="I1603" s="2"/>
      <c r="J1603" s="2"/>
    </row>
    <row r="1604" spans="1:10">
      <c r="A1604" s="130"/>
      <c r="C1604" s="222"/>
      <c r="I1604" s="2"/>
      <c r="J1604" s="2"/>
    </row>
    <row r="1605" spans="1:10">
      <c r="A1605" s="130"/>
      <c r="C1605" s="222"/>
      <c r="I1605" s="2"/>
      <c r="J1605" s="2"/>
    </row>
    <row r="1606" spans="1:10">
      <c r="A1606" s="130"/>
      <c r="C1606" s="222"/>
      <c r="I1606" s="2"/>
      <c r="J1606" s="2"/>
    </row>
    <row r="1607" spans="1:10">
      <c r="A1607" s="130"/>
      <c r="C1607" s="222"/>
      <c r="I1607" s="2"/>
      <c r="J1607" s="2"/>
    </row>
    <row r="1608" spans="1:10">
      <c r="A1608" s="130"/>
      <c r="C1608" s="222"/>
      <c r="I1608" s="2"/>
      <c r="J1608" s="2"/>
    </row>
    <row r="1609" spans="1:10">
      <c r="A1609" s="130"/>
      <c r="C1609" s="222"/>
      <c r="I1609" s="2"/>
      <c r="J1609" s="2"/>
    </row>
    <row r="1610" spans="1:10">
      <c r="A1610" s="130"/>
      <c r="C1610" s="222"/>
      <c r="I1610" s="2"/>
      <c r="J1610" s="2"/>
    </row>
    <row r="1611" spans="1:10">
      <c r="A1611" s="130"/>
      <c r="C1611" s="222"/>
      <c r="I1611" s="2"/>
      <c r="J1611" s="2"/>
    </row>
    <row r="1612" spans="1:10">
      <c r="A1612" s="130"/>
      <c r="C1612" s="222"/>
      <c r="I1612" s="2"/>
      <c r="J1612" s="2"/>
    </row>
    <row r="1613" spans="1:10">
      <c r="A1613" s="130"/>
      <c r="C1613" s="222"/>
      <c r="I1613" s="2"/>
      <c r="J1613" s="2"/>
    </row>
    <row r="1614" spans="1:10">
      <c r="A1614" s="130"/>
      <c r="C1614" s="222"/>
      <c r="I1614" s="2"/>
      <c r="J1614" s="2"/>
    </row>
    <row r="1615" spans="1:10">
      <c r="A1615" s="130"/>
      <c r="C1615" s="222"/>
      <c r="I1615" s="2"/>
      <c r="J1615" s="2"/>
    </row>
    <row r="1616" spans="1:10">
      <c r="A1616" s="130"/>
      <c r="C1616" s="222"/>
      <c r="I1616" s="2"/>
      <c r="J1616" s="2"/>
    </row>
    <row r="1617" spans="1:10">
      <c r="A1617" s="130"/>
      <c r="C1617" s="222"/>
      <c r="I1617" s="2"/>
      <c r="J1617" s="2"/>
    </row>
    <row r="1618" spans="1:10">
      <c r="A1618" s="130"/>
      <c r="C1618" s="222"/>
      <c r="I1618" s="2"/>
      <c r="J1618" s="2"/>
    </row>
    <row r="1619" spans="1:10">
      <c r="A1619" s="130"/>
      <c r="C1619" s="222"/>
      <c r="I1619" s="2"/>
      <c r="J1619" s="2"/>
    </row>
    <row r="1620" spans="1:10">
      <c r="A1620" s="130"/>
      <c r="C1620" s="222"/>
      <c r="I1620" s="2"/>
      <c r="J1620" s="2"/>
    </row>
    <row r="1621" spans="1:10">
      <c r="A1621" s="130"/>
      <c r="C1621" s="222"/>
      <c r="I1621" s="2"/>
      <c r="J1621" s="2"/>
    </row>
    <row r="1622" spans="1:10">
      <c r="A1622" s="130"/>
      <c r="C1622" s="222"/>
      <c r="I1622" s="2"/>
      <c r="J1622" s="2"/>
    </row>
    <row r="1623" spans="1:10">
      <c r="A1623" s="130"/>
      <c r="C1623" s="222"/>
      <c r="I1623" s="2"/>
      <c r="J1623" s="2"/>
    </row>
    <row r="1624" spans="1:10">
      <c r="A1624" s="130"/>
      <c r="C1624" s="222"/>
      <c r="I1624" s="2"/>
      <c r="J1624" s="2"/>
    </row>
    <row r="1625" spans="1:10">
      <c r="A1625" s="130"/>
      <c r="C1625" s="222"/>
      <c r="I1625" s="2"/>
      <c r="J1625" s="2"/>
    </row>
    <row r="1626" spans="1:10">
      <c r="A1626" s="130"/>
      <c r="C1626" s="222"/>
      <c r="I1626" s="2"/>
      <c r="J1626" s="2"/>
    </row>
    <row r="1627" spans="1:10">
      <c r="A1627" s="130"/>
      <c r="C1627" s="222"/>
      <c r="I1627" s="2"/>
      <c r="J1627" s="2"/>
    </row>
    <row r="1628" spans="1:10">
      <c r="A1628" s="130"/>
      <c r="C1628" s="222"/>
      <c r="I1628" s="2"/>
      <c r="J1628" s="2"/>
    </row>
    <row r="1629" spans="1:10">
      <c r="A1629" s="130"/>
      <c r="C1629" s="222"/>
      <c r="I1629" s="2"/>
      <c r="J1629" s="2"/>
    </row>
    <row r="1630" spans="1:10">
      <c r="A1630" s="130"/>
      <c r="C1630" s="222"/>
      <c r="I1630" s="2"/>
      <c r="J1630" s="2"/>
    </row>
    <row r="1631" spans="1:10">
      <c r="A1631" s="130"/>
      <c r="C1631" s="222"/>
      <c r="I1631" s="2"/>
      <c r="J1631" s="2"/>
    </row>
    <row r="1632" spans="1:10">
      <c r="A1632" s="130"/>
      <c r="C1632" s="222"/>
      <c r="I1632" s="2"/>
      <c r="J1632" s="2"/>
    </row>
    <row r="1633" spans="1:10">
      <c r="A1633" s="130"/>
      <c r="C1633" s="222"/>
      <c r="I1633" s="2"/>
      <c r="J1633" s="2"/>
    </row>
    <row r="1634" spans="1:10">
      <c r="A1634" s="130"/>
      <c r="C1634" s="222"/>
      <c r="I1634" s="2"/>
      <c r="J1634" s="2"/>
    </row>
    <row r="1635" spans="1:10">
      <c r="A1635" s="130"/>
      <c r="C1635" s="222"/>
      <c r="I1635" s="2"/>
      <c r="J1635" s="2"/>
    </row>
    <row r="1636" spans="1:10">
      <c r="A1636" s="130"/>
      <c r="C1636" s="222"/>
      <c r="I1636" s="2"/>
      <c r="J1636" s="2"/>
    </row>
    <row r="1637" spans="1:10">
      <c r="A1637" s="130"/>
      <c r="C1637" s="222"/>
      <c r="I1637" s="2"/>
      <c r="J1637" s="2"/>
    </row>
    <row r="1638" spans="1:10">
      <c r="A1638" s="130"/>
      <c r="C1638" s="222"/>
      <c r="I1638" s="2"/>
      <c r="J1638" s="2"/>
    </row>
    <row r="1639" spans="1:10">
      <c r="A1639" s="130"/>
      <c r="C1639" s="222"/>
      <c r="I1639" s="2"/>
      <c r="J1639" s="2"/>
    </row>
    <row r="1640" spans="1:10">
      <c r="A1640" s="130"/>
      <c r="C1640" s="222"/>
      <c r="I1640" s="2"/>
      <c r="J1640" s="2"/>
    </row>
    <row r="1641" spans="1:10">
      <c r="A1641" s="130"/>
      <c r="C1641" s="222"/>
      <c r="I1641" s="2"/>
      <c r="J1641" s="2"/>
    </row>
    <row r="1642" spans="1:10">
      <c r="A1642" s="130"/>
      <c r="C1642" s="222"/>
      <c r="I1642" s="2"/>
      <c r="J1642" s="2"/>
    </row>
    <row r="1643" spans="1:10">
      <c r="A1643" s="130"/>
      <c r="C1643" s="222"/>
      <c r="I1643" s="2"/>
      <c r="J1643" s="2"/>
    </row>
    <row r="1644" spans="1:10">
      <c r="A1644" s="130"/>
      <c r="C1644" s="222"/>
      <c r="I1644" s="2"/>
      <c r="J1644" s="2"/>
    </row>
    <row r="1645" spans="1:10">
      <c r="A1645" s="130"/>
      <c r="C1645" s="222"/>
      <c r="I1645" s="2"/>
      <c r="J1645" s="2"/>
    </row>
    <row r="1646" spans="1:10">
      <c r="A1646" s="130"/>
      <c r="C1646" s="222"/>
      <c r="I1646" s="2"/>
      <c r="J1646" s="2"/>
    </row>
    <row r="1647" spans="1:10">
      <c r="A1647" s="130"/>
      <c r="C1647" s="222"/>
      <c r="I1647" s="2"/>
      <c r="J1647" s="2"/>
    </row>
    <row r="1648" spans="1:10">
      <c r="A1648" s="130"/>
      <c r="C1648" s="222"/>
      <c r="I1648" s="2"/>
      <c r="J1648" s="2"/>
    </row>
    <row r="1649" spans="1:10">
      <c r="A1649" s="130"/>
      <c r="C1649" s="222"/>
      <c r="I1649" s="2"/>
      <c r="J1649" s="2"/>
    </row>
    <row r="1650" spans="1:10">
      <c r="A1650" s="130"/>
      <c r="C1650" s="222"/>
      <c r="I1650" s="2"/>
      <c r="J1650" s="2"/>
    </row>
    <row r="1651" spans="1:10">
      <c r="A1651" s="130"/>
      <c r="C1651" s="222"/>
      <c r="I1651" s="2"/>
      <c r="J1651" s="2"/>
    </row>
    <row r="1652" spans="1:10">
      <c r="A1652" s="130"/>
      <c r="C1652" s="222"/>
      <c r="I1652" s="2"/>
      <c r="J1652" s="2"/>
    </row>
    <row r="1653" spans="1:10">
      <c r="A1653" s="130"/>
      <c r="C1653" s="222"/>
      <c r="I1653" s="2"/>
      <c r="J1653" s="2"/>
    </row>
    <row r="1654" spans="1:10">
      <c r="A1654" s="130"/>
      <c r="C1654" s="222"/>
      <c r="I1654" s="2"/>
      <c r="J1654" s="2"/>
    </row>
    <row r="1655" spans="1:10">
      <c r="A1655" s="130"/>
      <c r="C1655" s="222"/>
      <c r="I1655" s="2"/>
      <c r="J1655" s="2"/>
    </row>
    <row r="1656" spans="1:10">
      <c r="A1656" s="130"/>
      <c r="C1656" s="222"/>
      <c r="I1656" s="2"/>
      <c r="J1656" s="2"/>
    </row>
    <row r="1657" spans="1:10">
      <c r="A1657" s="130"/>
      <c r="C1657" s="222"/>
      <c r="I1657" s="2"/>
      <c r="J1657" s="2"/>
    </row>
    <row r="1658" spans="1:10">
      <c r="A1658" s="130"/>
      <c r="C1658" s="222"/>
      <c r="I1658" s="2"/>
      <c r="J1658" s="2"/>
    </row>
    <row r="1659" spans="1:10">
      <c r="A1659" s="130"/>
      <c r="C1659" s="222"/>
      <c r="I1659" s="2"/>
      <c r="J1659" s="2"/>
    </row>
    <row r="1660" spans="1:10">
      <c r="A1660" s="130"/>
      <c r="C1660" s="222"/>
      <c r="I1660" s="2"/>
      <c r="J1660" s="2"/>
    </row>
    <row r="1661" spans="1:10">
      <c r="A1661" s="130"/>
      <c r="C1661" s="222"/>
      <c r="I1661" s="2"/>
      <c r="J1661" s="2"/>
    </row>
    <row r="1662" spans="1:10">
      <c r="A1662" s="130"/>
      <c r="C1662" s="222"/>
      <c r="I1662" s="2"/>
      <c r="J1662" s="2"/>
    </row>
    <row r="1663" spans="1:10">
      <c r="A1663" s="130"/>
      <c r="C1663" s="222"/>
      <c r="I1663" s="2"/>
      <c r="J1663" s="2"/>
    </row>
    <row r="1664" spans="1:10">
      <c r="A1664" s="130"/>
      <c r="C1664" s="222"/>
      <c r="I1664" s="2"/>
      <c r="J1664" s="2"/>
    </row>
    <row r="1665" spans="1:10">
      <c r="A1665" s="130"/>
      <c r="C1665" s="222"/>
      <c r="I1665" s="2"/>
      <c r="J1665" s="2"/>
    </row>
    <row r="1666" spans="1:10">
      <c r="A1666" s="130"/>
      <c r="C1666" s="222"/>
      <c r="I1666" s="2"/>
      <c r="J1666" s="2"/>
    </row>
    <row r="1667" spans="1:10">
      <c r="A1667" s="130"/>
      <c r="C1667" s="222"/>
      <c r="I1667" s="2"/>
      <c r="J1667" s="2"/>
    </row>
    <row r="1668" spans="1:10">
      <c r="A1668" s="130"/>
      <c r="C1668" s="222"/>
      <c r="I1668" s="2"/>
      <c r="J1668" s="2"/>
    </row>
    <row r="1669" spans="1:10">
      <c r="A1669" s="130"/>
      <c r="C1669" s="222"/>
      <c r="I1669" s="2"/>
      <c r="J1669" s="2"/>
    </row>
    <row r="1670" spans="1:10">
      <c r="A1670" s="130"/>
      <c r="C1670" s="222"/>
      <c r="I1670" s="2"/>
      <c r="J1670" s="2"/>
    </row>
    <row r="1671" spans="1:10">
      <c r="A1671" s="130"/>
      <c r="C1671" s="222"/>
      <c r="I1671" s="2"/>
      <c r="J1671" s="2"/>
    </row>
    <row r="1672" spans="1:10">
      <c r="A1672" s="130"/>
      <c r="C1672" s="222"/>
      <c r="I1672" s="2"/>
      <c r="J1672" s="2"/>
    </row>
    <row r="1673" spans="1:10">
      <c r="A1673" s="130"/>
      <c r="C1673" s="222"/>
      <c r="I1673" s="2"/>
      <c r="J1673" s="2"/>
    </row>
    <row r="1674" spans="1:10">
      <c r="A1674" s="130"/>
      <c r="C1674" s="222"/>
      <c r="I1674" s="2"/>
      <c r="J1674" s="2"/>
    </row>
    <row r="1675" spans="1:10">
      <c r="A1675" s="130"/>
      <c r="C1675" s="222"/>
      <c r="I1675" s="2"/>
      <c r="J1675" s="2"/>
    </row>
    <row r="1676" spans="1:10">
      <c r="A1676" s="130"/>
      <c r="C1676" s="222"/>
      <c r="I1676" s="2"/>
      <c r="J1676" s="2"/>
    </row>
    <row r="1677" spans="1:10">
      <c r="A1677" s="130"/>
      <c r="C1677" s="222"/>
      <c r="I1677" s="2"/>
      <c r="J1677" s="2"/>
    </row>
    <row r="1678" spans="1:10">
      <c r="A1678" s="130"/>
      <c r="C1678" s="222"/>
      <c r="I1678" s="2"/>
      <c r="J1678" s="2"/>
    </row>
    <row r="1679" spans="1:10">
      <c r="A1679" s="130"/>
      <c r="C1679" s="222"/>
      <c r="I1679" s="2"/>
      <c r="J1679" s="2"/>
    </row>
    <row r="1680" spans="1:10">
      <c r="A1680" s="130"/>
      <c r="C1680" s="222"/>
      <c r="I1680" s="2"/>
      <c r="J1680" s="2"/>
    </row>
    <row r="1681" spans="1:10">
      <c r="A1681" s="130"/>
      <c r="C1681" s="222"/>
      <c r="I1681" s="2"/>
      <c r="J1681" s="2"/>
    </row>
    <row r="1682" spans="1:10">
      <c r="A1682" s="130"/>
      <c r="C1682" s="222"/>
      <c r="I1682" s="2"/>
      <c r="J1682" s="2"/>
    </row>
    <row r="1683" spans="1:10">
      <c r="A1683" s="130"/>
      <c r="C1683" s="222"/>
      <c r="I1683" s="2"/>
      <c r="J1683" s="2"/>
    </row>
    <row r="1684" spans="1:10">
      <c r="A1684" s="130"/>
      <c r="C1684" s="222"/>
      <c r="I1684" s="2"/>
      <c r="J1684" s="2"/>
    </row>
    <row r="1685" spans="1:10">
      <c r="A1685" s="130"/>
      <c r="C1685" s="222"/>
      <c r="I1685" s="2"/>
      <c r="J1685" s="2"/>
    </row>
    <row r="1686" spans="1:10">
      <c r="A1686" s="130"/>
      <c r="C1686" s="222"/>
      <c r="I1686" s="2"/>
      <c r="J1686" s="2"/>
    </row>
    <row r="1687" spans="1:10">
      <c r="A1687" s="130"/>
      <c r="C1687" s="222"/>
      <c r="I1687" s="2"/>
      <c r="J1687" s="2"/>
    </row>
    <row r="1688" spans="1:10">
      <c r="A1688" s="130"/>
      <c r="C1688" s="222"/>
      <c r="I1688" s="2"/>
      <c r="J1688" s="2"/>
    </row>
    <row r="1689" spans="1:10">
      <c r="A1689" s="130"/>
      <c r="C1689" s="222"/>
      <c r="I1689" s="2"/>
      <c r="J1689" s="2"/>
    </row>
    <row r="1690" spans="1:10">
      <c r="A1690" s="130"/>
      <c r="C1690" s="222"/>
      <c r="I1690" s="2"/>
      <c r="J1690" s="2"/>
    </row>
    <row r="1691" spans="1:10">
      <c r="A1691" s="130"/>
      <c r="C1691" s="222"/>
      <c r="I1691" s="2"/>
      <c r="J1691" s="2"/>
    </row>
    <row r="1692" spans="1:10">
      <c r="A1692" s="130"/>
      <c r="C1692" s="222"/>
      <c r="I1692" s="2"/>
      <c r="J1692" s="2"/>
    </row>
    <row r="1693" spans="1:10">
      <c r="A1693" s="130"/>
      <c r="C1693" s="222"/>
      <c r="I1693" s="2"/>
      <c r="J1693" s="2"/>
    </row>
    <row r="1694" spans="1:10">
      <c r="A1694" s="130"/>
      <c r="C1694" s="222"/>
      <c r="I1694" s="2"/>
      <c r="J1694" s="2"/>
    </row>
    <row r="1695" spans="1:10">
      <c r="A1695" s="130"/>
      <c r="C1695" s="222"/>
      <c r="I1695" s="2"/>
      <c r="J1695" s="2"/>
    </row>
    <row r="1696" spans="1:10">
      <c r="A1696" s="130"/>
      <c r="C1696" s="222"/>
      <c r="I1696" s="2"/>
      <c r="J1696" s="2"/>
    </row>
    <row r="1697" spans="1:10">
      <c r="A1697" s="130"/>
      <c r="C1697" s="222"/>
      <c r="I1697" s="2"/>
      <c r="J1697" s="2"/>
    </row>
    <row r="1698" spans="1:10">
      <c r="A1698" s="130"/>
      <c r="C1698" s="222"/>
      <c r="I1698" s="2"/>
      <c r="J1698" s="2"/>
    </row>
    <row r="1699" spans="1:10">
      <c r="A1699" s="130"/>
      <c r="C1699" s="222"/>
      <c r="I1699" s="2"/>
      <c r="J1699" s="2"/>
    </row>
    <row r="1700" spans="1:10">
      <c r="A1700" s="130"/>
      <c r="C1700" s="222"/>
      <c r="I1700" s="2"/>
      <c r="J1700" s="2"/>
    </row>
    <row r="1701" spans="1:10">
      <c r="A1701" s="130"/>
      <c r="C1701" s="222"/>
      <c r="I1701" s="2"/>
      <c r="J1701" s="2"/>
    </row>
    <row r="1702" spans="1:10">
      <c r="A1702" s="130"/>
      <c r="C1702" s="222"/>
      <c r="I1702" s="2"/>
      <c r="J1702" s="2"/>
    </row>
    <row r="1703" spans="1:10">
      <c r="A1703" s="130"/>
      <c r="C1703" s="222"/>
      <c r="I1703" s="2"/>
      <c r="J1703" s="2"/>
    </row>
    <row r="1704" spans="1:10">
      <c r="A1704" s="130"/>
      <c r="C1704" s="222"/>
      <c r="I1704" s="2"/>
      <c r="J1704" s="2"/>
    </row>
    <row r="1705" spans="1:10">
      <c r="A1705" s="130"/>
      <c r="C1705" s="222"/>
      <c r="I1705" s="2"/>
      <c r="J1705" s="2"/>
    </row>
    <row r="1706" spans="1:10">
      <c r="A1706" s="130"/>
      <c r="C1706" s="222"/>
      <c r="I1706" s="2"/>
      <c r="J1706" s="2"/>
    </row>
    <row r="1707" spans="1:10">
      <c r="A1707" s="130"/>
      <c r="C1707" s="222"/>
      <c r="I1707" s="2"/>
      <c r="J1707" s="2"/>
    </row>
    <row r="1708" spans="1:10">
      <c r="A1708" s="130"/>
      <c r="C1708" s="222"/>
      <c r="I1708" s="2"/>
      <c r="J1708" s="2"/>
    </row>
    <row r="1709" spans="1:10">
      <c r="A1709" s="130"/>
      <c r="C1709" s="222"/>
      <c r="I1709" s="2"/>
      <c r="J1709" s="2"/>
    </row>
    <row r="1710" spans="1:10">
      <c r="A1710" s="130"/>
      <c r="C1710" s="222"/>
      <c r="I1710" s="2"/>
      <c r="J1710" s="2"/>
    </row>
    <row r="1711" spans="1:10">
      <c r="A1711" s="130"/>
      <c r="C1711" s="222"/>
      <c r="I1711" s="2"/>
      <c r="J1711" s="2"/>
    </row>
    <row r="1712" spans="1:10">
      <c r="A1712" s="130"/>
      <c r="C1712" s="222"/>
      <c r="I1712" s="2"/>
      <c r="J1712" s="2"/>
    </row>
    <row r="1713" spans="1:10">
      <c r="A1713" s="130"/>
      <c r="C1713" s="222"/>
      <c r="I1713" s="2"/>
      <c r="J1713" s="2"/>
    </row>
    <row r="1714" spans="1:10">
      <c r="A1714" s="130"/>
      <c r="C1714" s="222"/>
      <c r="I1714" s="2"/>
      <c r="J1714" s="2"/>
    </row>
    <row r="1715" spans="1:10">
      <c r="A1715" s="130"/>
      <c r="C1715" s="222"/>
      <c r="I1715" s="2"/>
      <c r="J1715" s="2"/>
    </row>
    <row r="1716" spans="1:10">
      <c r="A1716" s="130"/>
      <c r="C1716" s="222"/>
      <c r="I1716" s="2"/>
      <c r="J1716" s="2"/>
    </row>
    <row r="1717" spans="1:10">
      <c r="A1717" s="130"/>
      <c r="C1717" s="222"/>
      <c r="I1717" s="2"/>
      <c r="J1717" s="2"/>
    </row>
    <row r="1718" spans="1:10">
      <c r="A1718" s="130"/>
      <c r="C1718" s="222"/>
      <c r="I1718" s="2"/>
      <c r="J1718" s="2"/>
    </row>
    <row r="1719" spans="1:10">
      <c r="A1719" s="130"/>
      <c r="C1719" s="222"/>
      <c r="I1719" s="2"/>
      <c r="J1719" s="2"/>
    </row>
    <row r="1720" spans="1:10">
      <c r="A1720" s="130"/>
      <c r="C1720" s="222"/>
      <c r="I1720" s="2"/>
      <c r="J1720" s="2"/>
    </row>
    <row r="1721" spans="1:10">
      <c r="A1721" s="130"/>
      <c r="C1721" s="222"/>
      <c r="I1721" s="2"/>
      <c r="J1721" s="2"/>
    </row>
    <row r="1722" spans="1:10">
      <c r="A1722" s="130"/>
      <c r="C1722" s="222"/>
      <c r="I1722" s="2"/>
      <c r="J1722" s="2"/>
    </row>
    <row r="1723" spans="1:10">
      <c r="A1723" s="130"/>
      <c r="C1723" s="222"/>
      <c r="I1723" s="2"/>
      <c r="J1723" s="2"/>
    </row>
    <row r="1724" spans="1:10">
      <c r="A1724" s="130"/>
      <c r="C1724" s="222"/>
      <c r="I1724" s="2"/>
      <c r="J1724" s="2"/>
    </row>
    <row r="1725" spans="1:10">
      <c r="A1725" s="130"/>
      <c r="C1725" s="222"/>
      <c r="I1725" s="2"/>
      <c r="J1725" s="2"/>
    </row>
    <row r="1726" spans="1:10">
      <c r="A1726" s="130"/>
      <c r="C1726" s="222"/>
      <c r="I1726" s="2"/>
      <c r="J1726" s="2"/>
    </row>
    <row r="1727" spans="1:10">
      <c r="A1727" s="130"/>
      <c r="C1727" s="222"/>
      <c r="I1727" s="2"/>
      <c r="J1727" s="2"/>
    </row>
    <row r="1728" spans="1:10">
      <c r="A1728" s="130"/>
      <c r="C1728" s="222"/>
      <c r="I1728" s="2"/>
      <c r="J1728" s="2"/>
    </row>
    <row r="1729" spans="1:10">
      <c r="A1729" s="130"/>
      <c r="C1729" s="222"/>
      <c r="I1729" s="2"/>
      <c r="J1729" s="2"/>
    </row>
    <row r="1730" spans="1:10">
      <c r="A1730" s="130"/>
      <c r="C1730" s="222"/>
      <c r="I1730" s="2"/>
      <c r="J1730" s="2"/>
    </row>
    <row r="1731" spans="1:10">
      <c r="A1731" s="130"/>
      <c r="C1731" s="222"/>
      <c r="I1731" s="2"/>
      <c r="J1731" s="2"/>
    </row>
    <row r="1732" spans="1:10">
      <c r="A1732" s="130"/>
      <c r="C1732" s="222"/>
      <c r="I1732" s="2"/>
      <c r="J1732" s="2"/>
    </row>
    <row r="1733" spans="1:10">
      <c r="A1733" s="130"/>
      <c r="C1733" s="222"/>
      <c r="I1733" s="2"/>
      <c r="J1733" s="2"/>
    </row>
    <row r="1734" spans="1:10">
      <c r="A1734" s="130"/>
      <c r="C1734" s="222"/>
      <c r="I1734" s="2"/>
      <c r="J1734" s="2"/>
    </row>
    <row r="1735" spans="1:10">
      <c r="A1735" s="130"/>
      <c r="C1735" s="222"/>
      <c r="I1735" s="2"/>
      <c r="J1735" s="2"/>
    </row>
    <row r="1736" spans="1:10">
      <c r="A1736" s="130"/>
      <c r="C1736" s="222"/>
      <c r="I1736" s="2"/>
      <c r="J1736" s="2"/>
    </row>
    <row r="1737" spans="1:10">
      <c r="A1737" s="130"/>
      <c r="C1737" s="222"/>
      <c r="I1737" s="2"/>
      <c r="J1737" s="2"/>
    </row>
    <row r="1738" spans="1:10">
      <c r="A1738" s="130"/>
      <c r="C1738" s="222"/>
      <c r="I1738" s="2"/>
      <c r="J1738" s="2"/>
    </row>
    <row r="1739" spans="1:10">
      <c r="A1739" s="130"/>
      <c r="C1739" s="222"/>
      <c r="I1739" s="2"/>
      <c r="J1739" s="2"/>
    </row>
    <row r="1740" spans="1:10">
      <c r="A1740" s="130"/>
      <c r="C1740" s="222"/>
      <c r="I1740" s="2"/>
      <c r="J1740" s="2"/>
    </row>
    <row r="1741" spans="1:10">
      <c r="A1741" s="130"/>
      <c r="C1741" s="222"/>
      <c r="I1741" s="2"/>
      <c r="J1741" s="2"/>
    </row>
    <row r="1742" spans="1:10">
      <c r="A1742" s="130"/>
      <c r="C1742" s="222"/>
      <c r="I1742" s="2"/>
      <c r="J1742" s="2"/>
    </row>
    <row r="1743" spans="1:10">
      <c r="A1743" s="130"/>
      <c r="C1743" s="222"/>
      <c r="I1743" s="2"/>
      <c r="J1743" s="2"/>
    </row>
    <row r="1744" spans="1:10">
      <c r="A1744" s="130"/>
      <c r="C1744" s="222"/>
      <c r="I1744" s="2"/>
      <c r="J1744" s="2"/>
    </row>
    <row r="1745" spans="1:10">
      <c r="A1745" s="130"/>
      <c r="C1745" s="222"/>
      <c r="I1745" s="2"/>
      <c r="J1745" s="2"/>
    </row>
    <row r="1746" spans="1:10">
      <c r="A1746" s="130"/>
      <c r="C1746" s="222"/>
      <c r="I1746" s="2"/>
      <c r="J1746" s="2"/>
    </row>
    <row r="1747" spans="1:10">
      <c r="A1747" s="130"/>
      <c r="C1747" s="222"/>
      <c r="I1747" s="2"/>
      <c r="J1747" s="2"/>
    </row>
    <row r="1748" spans="1:10">
      <c r="A1748" s="130"/>
      <c r="C1748" s="222"/>
      <c r="I1748" s="2"/>
      <c r="J1748" s="2"/>
    </row>
    <row r="1749" spans="1:10">
      <c r="A1749" s="130"/>
      <c r="C1749" s="222"/>
      <c r="I1749" s="2"/>
      <c r="J1749" s="2"/>
    </row>
    <row r="1750" spans="1:10">
      <c r="A1750" s="130"/>
      <c r="C1750" s="222"/>
      <c r="I1750" s="2"/>
      <c r="J1750" s="2"/>
    </row>
    <row r="1751" spans="1:10">
      <c r="A1751" s="130"/>
      <c r="C1751" s="222"/>
      <c r="I1751" s="2"/>
      <c r="J1751" s="2"/>
    </row>
    <row r="1752" spans="1:10">
      <c r="A1752" s="130"/>
      <c r="C1752" s="222"/>
      <c r="I1752" s="2"/>
      <c r="J1752" s="2"/>
    </row>
    <row r="1753" spans="1:10">
      <c r="A1753" s="130"/>
      <c r="C1753" s="222"/>
      <c r="I1753" s="2"/>
      <c r="J1753" s="2"/>
    </row>
    <row r="1754" spans="1:10">
      <c r="A1754" s="130"/>
      <c r="C1754" s="222"/>
      <c r="I1754" s="2"/>
      <c r="J1754" s="2"/>
    </row>
    <row r="1755" spans="1:10">
      <c r="A1755" s="130"/>
      <c r="C1755" s="222"/>
      <c r="I1755" s="2"/>
      <c r="J1755" s="2"/>
    </row>
    <row r="1756" spans="1:10">
      <c r="A1756" s="130"/>
      <c r="C1756" s="222"/>
      <c r="I1756" s="2"/>
      <c r="J1756" s="2"/>
    </row>
    <row r="1757" spans="1:10">
      <c r="A1757" s="130"/>
      <c r="C1757" s="222"/>
      <c r="I1757" s="2"/>
      <c r="J1757" s="2"/>
    </row>
    <row r="1758" spans="1:10">
      <c r="A1758" s="130"/>
      <c r="C1758" s="222"/>
      <c r="I1758" s="2"/>
      <c r="J1758" s="2"/>
    </row>
    <row r="1759" spans="1:10">
      <c r="A1759" s="130"/>
      <c r="C1759" s="222"/>
      <c r="I1759" s="2"/>
      <c r="J1759" s="2"/>
    </row>
    <row r="1760" spans="1:10">
      <c r="A1760" s="130"/>
      <c r="C1760" s="222"/>
      <c r="I1760" s="2"/>
      <c r="J1760" s="2"/>
    </row>
    <row r="1761" spans="1:10">
      <c r="A1761" s="130"/>
      <c r="C1761" s="222"/>
      <c r="I1761" s="2"/>
      <c r="J1761" s="2"/>
    </row>
    <row r="1762" spans="1:10">
      <c r="A1762" s="130"/>
      <c r="C1762" s="222"/>
      <c r="I1762" s="2"/>
      <c r="J1762" s="2"/>
    </row>
    <row r="1763" spans="1:10">
      <c r="A1763" s="130"/>
      <c r="C1763" s="222"/>
      <c r="I1763" s="2"/>
      <c r="J1763" s="2"/>
    </row>
    <row r="1764" spans="1:10">
      <c r="A1764" s="130"/>
      <c r="C1764" s="222"/>
      <c r="I1764" s="2"/>
      <c r="J1764" s="2"/>
    </row>
    <row r="1765" spans="1:10">
      <c r="A1765" s="130"/>
      <c r="C1765" s="222"/>
      <c r="I1765" s="2"/>
      <c r="J1765" s="2"/>
    </row>
    <row r="1766" spans="1:10">
      <c r="A1766" s="130"/>
      <c r="C1766" s="222"/>
      <c r="I1766" s="2"/>
      <c r="J1766" s="2"/>
    </row>
    <row r="1767" spans="1:10">
      <c r="A1767" s="130"/>
      <c r="C1767" s="222"/>
      <c r="I1767" s="2"/>
      <c r="J1767" s="2"/>
    </row>
    <row r="1768" spans="1:10">
      <c r="A1768" s="130"/>
      <c r="C1768" s="222"/>
      <c r="I1768" s="2"/>
      <c r="J1768" s="2"/>
    </row>
    <row r="1769" spans="1:10">
      <c r="A1769" s="130"/>
      <c r="C1769" s="222"/>
      <c r="I1769" s="2"/>
      <c r="J1769" s="2"/>
    </row>
    <row r="1770" spans="1:10">
      <c r="A1770" s="130"/>
      <c r="C1770" s="222"/>
      <c r="I1770" s="2"/>
      <c r="J1770" s="2"/>
    </row>
    <row r="1771" spans="1:10">
      <c r="A1771" s="130"/>
      <c r="C1771" s="222"/>
      <c r="I1771" s="2"/>
      <c r="J1771" s="2"/>
    </row>
    <row r="1772" spans="1:10">
      <c r="A1772" s="130"/>
      <c r="C1772" s="222"/>
      <c r="I1772" s="2"/>
      <c r="J1772" s="2"/>
    </row>
    <row r="1773" spans="1:10">
      <c r="A1773" s="130"/>
      <c r="C1773" s="222"/>
      <c r="I1773" s="2"/>
      <c r="J1773" s="2"/>
    </row>
    <row r="1774" spans="1:10">
      <c r="A1774" s="130"/>
      <c r="C1774" s="222"/>
      <c r="I1774" s="2"/>
      <c r="J1774" s="2"/>
    </row>
    <row r="1775" spans="1:10">
      <c r="A1775" s="130"/>
      <c r="C1775" s="222"/>
      <c r="I1775" s="2"/>
      <c r="J1775" s="2"/>
    </row>
    <row r="1776" spans="1:10">
      <c r="A1776" s="130"/>
      <c r="C1776" s="222"/>
      <c r="I1776" s="2"/>
      <c r="J1776" s="2"/>
    </row>
    <row r="1777" spans="1:10">
      <c r="A1777" s="130"/>
      <c r="C1777" s="222"/>
      <c r="I1777" s="2"/>
      <c r="J1777" s="2"/>
    </row>
    <row r="1778" spans="1:10">
      <c r="A1778" s="130"/>
      <c r="C1778" s="222"/>
      <c r="I1778" s="2"/>
      <c r="J1778" s="2"/>
    </row>
    <row r="1779" spans="1:10">
      <c r="A1779" s="130"/>
      <c r="C1779" s="222"/>
      <c r="I1779" s="2"/>
      <c r="J1779" s="2"/>
    </row>
    <row r="1780" spans="1:10">
      <c r="A1780" s="130"/>
      <c r="C1780" s="222"/>
      <c r="I1780" s="2"/>
      <c r="J1780" s="2"/>
    </row>
    <row r="1781" spans="1:10">
      <c r="A1781" s="130"/>
      <c r="C1781" s="222"/>
      <c r="I1781" s="2"/>
      <c r="J1781" s="2"/>
    </row>
    <row r="1782" spans="1:10">
      <c r="A1782" s="130"/>
      <c r="C1782" s="222"/>
      <c r="I1782" s="2"/>
      <c r="J1782" s="2"/>
    </row>
    <row r="1783" spans="1:10">
      <c r="A1783" s="130"/>
      <c r="C1783" s="222"/>
      <c r="I1783" s="2"/>
      <c r="J1783" s="2"/>
    </row>
    <row r="1784" spans="1:10">
      <c r="A1784" s="130"/>
      <c r="C1784" s="222"/>
      <c r="I1784" s="2"/>
      <c r="J1784" s="2"/>
    </row>
    <row r="1785" spans="1:10">
      <c r="A1785" s="130"/>
      <c r="C1785" s="222"/>
      <c r="I1785" s="2"/>
      <c r="J1785" s="2"/>
    </row>
    <row r="1786" spans="1:10">
      <c r="A1786" s="130"/>
      <c r="C1786" s="222"/>
      <c r="I1786" s="2"/>
      <c r="J1786" s="2"/>
    </row>
    <row r="1787" spans="1:10">
      <c r="A1787" s="130"/>
      <c r="C1787" s="222"/>
      <c r="I1787" s="2"/>
      <c r="J1787" s="2"/>
    </row>
    <row r="1788" spans="1:10">
      <c r="A1788" s="130"/>
      <c r="C1788" s="222"/>
      <c r="I1788" s="2"/>
      <c r="J1788" s="2"/>
    </row>
    <row r="1789" spans="1:10">
      <c r="A1789" s="130"/>
      <c r="C1789" s="222"/>
      <c r="I1789" s="2"/>
      <c r="J1789" s="2"/>
    </row>
    <row r="1790" spans="1:10">
      <c r="A1790" s="130"/>
      <c r="C1790" s="222"/>
      <c r="I1790" s="2"/>
      <c r="J1790" s="2"/>
    </row>
    <row r="1791" spans="1:10">
      <c r="A1791" s="130"/>
      <c r="C1791" s="222"/>
      <c r="I1791" s="2"/>
      <c r="J1791" s="2"/>
    </row>
    <row r="1792" spans="1:10">
      <c r="A1792" s="130"/>
      <c r="C1792" s="222"/>
      <c r="I1792" s="2"/>
      <c r="J1792" s="2"/>
    </row>
    <row r="1793" spans="1:10">
      <c r="A1793" s="130"/>
      <c r="C1793" s="222"/>
      <c r="I1793" s="2"/>
      <c r="J1793" s="2"/>
    </row>
    <row r="1794" spans="1:10">
      <c r="A1794" s="130"/>
      <c r="C1794" s="222"/>
      <c r="I1794" s="2"/>
      <c r="J1794" s="2"/>
    </row>
    <row r="1795" spans="1:10">
      <c r="A1795" s="130"/>
      <c r="C1795" s="222"/>
      <c r="I1795" s="2"/>
      <c r="J1795" s="2"/>
    </row>
    <row r="1796" spans="1:10">
      <c r="A1796" s="130"/>
      <c r="C1796" s="222"/>
      <c r="I1796" s="2"/>
      <c r="J1796" s="2"/>
    </row>
    <row r="1797" spans="1:10">
      <c r="A1797" s="130"/>
      <c r="C1797" s="222"/>
      <c r="I1797" s="2"/>
      <c r="J1797" s="2"/>
    </row>
    <row r="1798" spans="1:10">
      <c r="A1798" s="130"/>
      <c r="C1798" s="222"/>
      <c r="I1798" s="2"/>
      <c r="J1798" s="2"/>
    </row>
    <row r="1799" spans="1:10">
      <c r="A1799" s="130"/>
      <c r="C1799" s="222"/>
      <c r="I1799" s="2"/>
      <c r="J1799" s="2"/>
    </row>
    <row r="1800" spans="1:10">
      <c r="A1800" s="130"/>
      <c r="C1800" s="222"/>
      <c r="I1800" s="2"/>
      <c r="J1800" s="2"/>
    </row>
    <row r="1801" spans="1:10">
      <c r="A1801" s="130"/>
      <c r="C1801" s="222"/>
      <c r="I1801" s="2"/>
      <c r="J1801" s="2"/>
    </row>
    <row r="1802" spans="1:10">
      <c r="A1802" s="130"/>
      <c r="C1802" s="222"/>
      <c r="I1802" s="2"/>
      <c r="J1802" s="2"/>
    </row>
    <row r="1803" spans="1:10">
      <c r="A1803" s="130"/>
      <c r="C1803" s="222"/>
      <c r="I1803" s="2"/>
      <c r="J1803" s="2"/>
    </row>
    <row r="1804" spans="1:10">
      <c r="A1804" s="130"/>
      <c r="C1804" s="222"/>
      <c r="I1804" s="2"/>
      <c r="J1804" s="2"/>
    </row>
    <row r="1805" spans="1:10">
      <c r="A1805" s="130"/>
      <c r="C1805" s="222"/>
      <c r="I1805" s="2"/>
      <c r="J1805" s="2"/>
    </row>
    <row r="1806" spans="1:10">
      <c r="A1806" s="130"/>
      <c r="C1806" s="222"/>
      <c r="I1806" s="2"/>
      <c r="J1806" s="2"/>
    </row>
    <row r="1807" spans="1:10">
      <c r="A1807" s="130"/>
      <c r="C1807" s="222"/>
      <c r="I1807" s="2"/>
      <c r="J1807" s="2"/>
    </row>
    <row r="1808" spans="1:10">
      <c r="A1808" s="130"/>
      <c r="C1808" s="222"/>
      <c r="I1808" s="2"/>
      <c r="J1808" s="2"/>
    </row>
    <row r="1809" spans="1:10">
      <c r="A1809" s="130"/>
      <c r="C1809" s="222"/>
      <c r="I1809" s="2"/>
      <c r="J1809" s="2"/>
    </row>
    <row r="1810" spans="1:10">
      <c r="A1810" s="130"/>
      <c r="C1810" s="222"/>
      <c r="I1810" s="2"/>
      <c r="J1810" s="2"/>
    </row>
    <row r="1811" spans="1:10">
      <c r="A1811" s="130"/>
      <c r="C1811" s="222"/>
      <c r="I1811" s="2"/>
      <c r="J1811" s="2"/>
    </row>
    <row r="1812" spans="1:10">
      <c r="A1812" s="130"/>
      <c r="C1812" s="222"/>
      <c r="I1812" s="2"/>
      <c r="J1812" s="2"/>
    </row>
    <row r="1813" spans="1:10">
      <c r="A1813" s="130"/>
      <c r="C1813" s="222"/>
      <c r="I1813" s="2"/>
      <c r="J1813" s="2"/>
    </row>
    <row r="1814" spans="1:10">
      <c r="A1814" s="130"/>
      <c r="C1814" s="222"/>
      <c r="I1814" s="2"/>
      <c r="J1814" s="2"/>
    </row>
    <row r="1815" spans="1:10">
      <c r="A1815" s="130"/>
      <c r="C1815" s="222"/>
      <c r="I1815" s="2"/>
      <c r="J1815" s="2"/>
    </row>
    <row r="1816" spans="1:10">
      <c r="A1816" s="130"/>
      <c r="C1816" s="222"/>
      <c r="I1816" s="2"/>
      <c r="J1816" s="2"/>
    </row>
    <row r="1817" spans="1:10">
      <c r="A1817" s="130"/>
      <c r="C1817" s="222"/>
      <c r="I1817" s="2"/>
      <c r="J1817" s="2"/>
    </row>
    <row r="1818" spans="1:10">
      <c r="A1818" s="130"/>
      <c r="C1818" s="222"/>
      <c r="I1818" s="2"/>
      <c r="J1818" s="2"/>
    </row>
    <row r="1819" spans="1:10">
      <c r="A1819" s="130"/>
      <c r="C1819" s="222"/>
      <c r="I1819" s="2"/>
      <c r="J1819" s="2"/>
    </row>
    <row r="1820" spans="1:10">
      <c r="A1820" s="130"/>
      <c r="C1820" s="222"/>
      <c r="I1820" s="2"/>
      <c r="J1820" s="2"/>
    </row>
    <row r="1821" spans="1:10">
      <c r="A1821" s="130"/>
      <c r="C1821" s="222"/>
      <c r="I1821" s="2"/>
      <c r="J1821" s="2"/>
    </row>
    <row r="1822" spans="1:10">
      <c r="A1822" s="130"/>
      <c r="C1822" s="222"/>
      <c r="I1822" s="2"/>
      <c r="J1822" s="2"/>
    </row>
    <row r="1823" spans="1:10">
      <c r="A1823" s="130"/>
      <c r="C1823" s="222"/>
      <c r="I1823" s="2"/>
      <c r="J1823" s="2"/>
    </row>
    <row r="1824" spans="1:10">
      <c r="A1824" s="130"/>
      <c r="C1824" s="222"/>
      <c r="I1824" s="2"/>
      <c r="J1824" s="2"/>
    </row>
    <row r="1825" spans="1:10">
      <c r="A1825" s="130"/>
      <c r="C1825" s="222"/>
      <c r="I1825" s="2"/>
      <c r="J1825" s="2"/>
    </row>
    <row r="1826" spans="1:10">
      <c r="A1826" s="130"/>
      <c r="C1826" s="222"/>
      <c r="I1826" s="2"/>
      <c r="J1826" s="2"/>
    </row>
    <row r="1827" spans="1:10">
      <c r="A1827" s="130"/>
      <c r="C1827" s="222"/>
      <c r="I1827" s="2"/>
      <c r="J1827" s="2"/>
    </row>
    <row r="1828" spans="1:10">
      <c r="A1828" s="130"/>
      <c r="C1828" s="222"/>
      <c r="I1828" s="2"/>
      <c r="J1828" s="2"/>
    </row>
    <row r="1829" spans="1:10">
      <c r="A1829" s="130"/>
      <c r="C1829" s="222"/>
      <c r="I1829" s="2"/>
      <c r="J1829" s="2"/>
    </row>
    <row r="1830" spans="1:10">
      <c r="A1830" s="130"/>
      <c r="C1830" s="222"/>
      <c r="I1830" s="2"/>
      <c r="J1830" s="2"/>
    </row>
    <row r="1831" spans="1:10">
      <c r="A1831" s="130"/>
      <c r="C1831" s="222"/>
      <c r="I1831" s="2"/>
      <c r="J1831" s="2"/>
    </row>
    <row r="1832" spans="1:10">
      <c r="A1832" s="130"/>
      <c r="C1832" s="222"/>
      <c r="I1832" s="2"/>
      <c r="J1832" s="2"/>
    </row>
    <row r="1833" spans="1:10">
      <c r="A1833" s="130"/>
      <c r="C1833" s="222"/>
      <c r="I1833" s="2"/>
      <c r="J1833" s="2"/>
    </row>
    <row r="1834" spans="1:10">
      <c r="A1834" s="130"/>
      <c r="C1834" s="222"/>
      <c r="I1834" s="2"/>
      <c r="J1834" s="2"/>
    </row>
    <row r="1835" spans="1:10">
      <c r="A1835" s="130"/>
      <c r="C1835" s="222"/>
      <c r="I1835" s="2"/>
      <c r="J1835" s="2"/>
    </row>
    <row r="1836" spans="1:10">
      <c r="A1836" s="130"/>
      <c r="C1836" s="222"/>
      <c r="I1836" s="2"/>
      <c r="J1836" s="2"/>
    </row>
    <row r="1837" spans="1:10">
      <c r="A1837" s="130"/>
      <c r="C1837" s="222"/>
      <c r="I1837" s="2"/>
      <c r="J1837" s="2"/>
    </row>
    <row r="1838" spans="1:10">
      <c r="A1838" s="130"/>
      <c r="C1838" s="222"/>
      <c r="I1838" s="2"/>
      <c r="J1838" s="2"/>
    </row>
    <row r="1839" spans="1:10">
      <c r="A1839" s="130"/>
      <c r="C1839" s="222"/>
      <c r="I1839" s="2"/>
      <c r="J1839" s="2"/>
    </row>
    <row r="1840" spans="1:10">
      <c r="A1840" s="130"/>
      <c r="C1840" s="222"/>
      <c r="I1840" s="2"/>
      <c r="J1840" s="2"/>
    </row>
    <row r="1841" spans="1:10">
      <c r="A1841" s="130"/>
      <c r="C1841" s="222"/>
      <c r="I1841" s="2"/>
      <c r="J1841" s="2"/>
    </row>
    <row r="1842" spans="1:10">
      <c r="A1842" s="130"/>
      <c r="C1842" s="222"/>
      <c r="I1842" s="2"/>
      <c r="J1842" s="2"/>
    </row>
    <row r="1843" spans="1:10">
      <c r="A1843" s="130"/>
      <c r="C1843" s="222"/>
      <c r="I1843" s="2"/>
      <c r="J1843" s="2"/>
    </row>
    <row r="1844" spans="1:10">
      <c r="A1844" s="130"/>
      <c r="C1844" s="222"/>
      <c r="I1844" s="2"/>
      <c r="J1844" s="2"/>
    </row>
    <row r="1845" spans="1:10">
      <c r="A1845" s="130"/>
      <c r="C1845" s="222"/>
      <c r="I1845" s="2"/>
      <c r="J1845" s="2"/>
    </row>
    <row r="1846" spans="1:10">
      <c r="A1846" s="130"/>
      <c r="C1846" s="222"/>
      <c r="I1846" s="2"/>
      <c r="J1846" s="2"/>
    </row>
    <row r="1847" spans="1:10">
      <c r="A1847" s="130"/>
      <c r="C1847" s="222"/>
      <c r="I1847" s="2"/>
      <c r="J1847" s="2"/>
    </row>
    <row r="1848" spans="1:10">
      <c r="A1848" s="130"/>
      <c r="C1848" s="222"/>
      <c r="I1848" s="2"/>
      <c r="J1848" s="2"/>
    </row>
    <row r="1849" spans="1:10">
      <c r="A1849" s="130"/>
      <c r="C1849" s="222"/>
      <c r="I1849" s="2"/>
      <c r="J1849" s="2"/>
    </row>
    <row r="1850" spans="1:10">
      <c r="A1850" s="130"/>
      <c r="C1850" s="222"/>
      <c r="I1850" s="2"/>
      <c r="J1850" s="2"/>
    </row>
    <row r="1851" spans="1:10">
      <c r="A1851" s="130"/>
      <c r="C1851" s="222"/>
      <c r="I1851" s="2"/>
      <c r="J1851" s="2"/>
    </row>
    <row r="1852" spans="1:10">
      <c r="A1852" s="130"/>
      <c r="C1852" s="222"/>
      <c r="I1852" s="2"/>
      <c r="J1852" s="2"/>
    </row>
    <row r="1853" spans="1:10">
      <c r="A1853" s="130"/>
      <c r="C1853" s="222"/>
      <c r="I1853" s="2"/>
      <c r="J1853" s="2"/>
    </row>
    <row r="1854" spans="1:10">
      <c r="A1854" s="130"/>
      <c r="C1854" s="222"/>
      <c r="I1854" s="2"/>
      <c r="J1854" s="2"/>
    </row>
    <row r="1855" spans="1:10">
      <c r="A1855" s="130"/>
      <c r="C1855" s="222"/>
      <c r="I1855" s="2"/>
      <c r="J1855" s="2"/>
    </row>
    <row r="1856" spans="1:10">
      <c r="A1856" s="130"/>
      <c r="C1856" s="222"/>
      <c r="I1856" s="2"/>
      <c r="J1856" s="2"/>
    </row>
    <row r="1857" spans="1:10">
      <c r="A1857" s="130"/>
      <c r="C1857" s="222"/>
      <c r="I1857" s="2"/>
      <c r="J1857" s="2"/>
    </row>
    <row r="1858" spans="1:10">
      <c r="A1858" s="130"/>
      <c r="C1858" s="222"/>
      <c r="I1858" s="2"/>
      <c r="J1858" s="2"/>
    </row>
    <row r="1859" spans="1:10">
      <c r="A1859" s="130"/>
      <c r="C1859" s="222"/>
      <c r="I1859" s="2"/>
      <c r="J1859" s="2"/>
    </row>
    <row r="1860" spans="1:10">
      <c r="A1860" s="130"/>
      <c r="C1860" s="222"/>
      <c r="I1860" s="2"/>
      <c r="J1860" s="2"/>
    </row>
    <row r="1861" spans="1:10">
      <c r="A1861" s="130"/>
      <c r="C1861" s="222"/>
      <c r="I1861" s="2"/>
      <c r="J1861" s="2"/>
    </row>
    <row r="1862" spans="1:10">
      <c r="A1862" s="130"/>
      <c r="C1862" s="222"/>
      <c r="I1862" s="2"/>
      <c r="J1862" s="2"/>
    </row>
    <row r="1863" spans="1:10">
      <c r="A1863" s="130"/>
      <c r="C1863" s="222"/>
      <c r="I1863" s="2"/>
      <c r="J1863" s="2"/>
    </row>
    <row r="1864" spans="1:10">
      <c r="A1864" s="130"/>
      <c r="C1864" s="222"/>
      <c r="I1864" s="2"/>
      <c r="J1864" s="2"/>
    </row>
    <row r="1865" spans="1:10">
      <c r="A1865" s="130"/>
      <c r="C1865" s="222"/>
      <c r="I1865" s="2"/>
      <c r="J1865" s="2"/>
    </row>
    <row r="1866" spans="1:10">
      <c r="A1866" s="130"/>
      <c r="C1866" s="222"/>
      <c r="I1866" s="2"/>
      <c r="J1866" s="2"/>
    </row>
    <row r="1867" spans="1:10">
      <c r="A1867" s="130"/>
      <c r="C1867" s="222"/>
      <c r="I1867" s="2"/>
      <c r="J1867" s="2"/>
    </row>
    <row r="1868" spans="1:10">
      <c r="A1868" s="130"/>
      <c r="C1868" s="222"/>
      <c r="I1868" s="2"/>
      <c r="J1868" s="2"/>
    </row>
    <row r="1869" spans="1:10">
      <c r="A1869" s="130"/>
      <c r="C1869" s="222"/>
      <c r="I1869" s="2"/>
      <c r="J1869" s="2"/>
    </row>
    <row r="1870" spans="1:10">
      <c r="A1870" s="130"/>
      <c r="C1870" s="222"/>
      <c r="I1870" s="2"/>
      <c r="J1870" s="2"/>
    </row>
    <row r="1871" spans="1:10">
      <c r="A1871" s="130"/>
      <c r="C1871" s="222"/>
      <c r="I1871" s="2"/>
      <c r="J1871" s="2"/>
    </row>
    <row r="1872" spans="1:10">
      <c r="A1872" s="130"/>
      <c r="C1872" s="222"/>
      <c r="I1872" s="2"/>
      <c r="J1872" s="2"/>
    </row>
    <row r="1873" spans="1:10">
      <c r="A1873" s="130"/>
      <c r="C1873" s="222"/>
      <c r="I1873" s="2"/>
      <c r="J1873" s="2"/>
    </row>
    <row r="1874" spans="1:10">
      <c r="A1874" s="130"/>
      <c r="C1874" s="222"/>
      <c r="I1874" s="2"/>
      <c r="J1874" s="2"/>
    </row>
    <row r="1875" spans="1:10">
      <c r="A1875" s="130"/>
      <c r="C1875" s="222"/>
      <c r="I1875" s="2"/>
      <c r="J1875" s="2"/>
    </row>
    <row r="1876" spans="1:10">
      <c r="A1876" s="130"/>
      <c r="C1876" s="222"/>
      <c r="I1876" s="2"/>
      <c r="J1876" s="2"/>
    </row>
    <row r="1877" spans="1:10">
      <c r="A1877" s="130"/>
      <c r="C1877" s="222"/>
      <c r="I1877" s="2"/>
      <c r="J1877" s="2"/>
    </row>
    <row r="1878" spans="1:10">
      <c r="A1878" s="130"/>
      <c r="C1878" s="222"/>
      <c r="I1878" s="2"/>
      <c r="J1878" s="2"/>
    </row>
    <row r="1879" spans="1:10">
      <c r="A1879" s="130"/>
      <c r="C1879" s="222"/>
      <c r="I1879" s="2"/>
      <c r="J1879" s="2"/>
    </row>
    <row r="1880" spans="1:10">
      <c r="A1880" s="130"/>
      <c r="C1880" s="222"/>
      <c r="I1880" s="2"/>
      <c r="J1880" s="2"/>
    </row>
    <row r="1881" spans="1:10">
      <c r="A1881" s="130"/>
      <c r="C1881" s="222"/>
      <c r="I1881" s="2"/>
      <c r="J1881" s="2"/>
    </row>
    <row r="1882" spans="1:10">
      <c r="A1882" s="130"/>
      <c r="C1882" s="222"/>
      <c r="I1882" s="2"/>
      <c r="J1882" s="2"/>
    </row>
    <row r="1883" spans="1:10">
      <c r="A1883" s="130"/>
      <c r="C1883" s="222"/>
      <c r="I1883" s="2"/>
      <c r="J1883" s="2"/>
    </row>
    <row r="1884" spans="1:10">
      <c r="A1884" s="130"/>
      <c r="C1884" s="222"/>
      <c r="I1884" s="2"/>
      <c r="J1884" s="2"/>
    </row>
    <row r="1885" spans="1:10">
      <c r="A1885" s="130"/>
      <c r="C1885" s="222"/>
      <c r="I1885" s="2"/>
      <c r="J1885" s="2"/>
    </row>
    <row r="1886" spans="1:10">
      <c r="A1886" s="130"/>
      <c r="C1886" s="222"/>
      <c r="I1886" s="2"/>
      <c r="J1886" s="2"/>
    </row>
    <row r="1887" spans="1:10">
      <c r="A1887" s="130"/>
      <c r="C1887" s="222"/>
      <c r="I1887" s="2"/>
      <c r="J1887" s="2"/>
    </row>
    <row r="1888" spans="1:10">
      <c r="A1888" s="130"/>
      <c r="C1888" s="222"/>
      <c r="I1888" s="2"/>
      <c r="J1888" s="2"/>
    </row>
    <row r="1889" spans="1:10">
      <c r="A1889" s="130"/>
      <c r="C1889" s="222"/>
      <c r="I1889" s="2"/>
      <c r="J1889" s="2"/>
    </row>
    <row r="1890" spans="1:10">
      <c r="A1890" s="130"/>
      <c r="C1890" s="222"/>
      <c r="I1890" s="2"/>
      <c r="J1890" s="2"/>
    </row>
    <row r="1891" spans="1:10">
      <c r="A1891" s="130"/>
      <c r="C1891" s="222"/>
      <c r="I1891" s="2"/>
      <c r="J1891" s="2"/>
    </row>
    <row r="1892" spans="1:10">
      <c r="A1892" s="130"/>
      <c r="C1892" s="222"/>
      <c r="I1892" s="2"/>
      <c r="J1892" s="2"/>
    </row>
    <row r="1893" spans="1:10">
      <c r="A1893" s="130"/>
      <c r="C1893" s="222"/>
      <c r="I1893" s="2"/>
      <c r="J1893" s="2"/>
    </row>
    <row r="1894" spans="1:10">
      <c r="A1894" s="130"/>
      <c r="C1894" s="222"/>
      <c r="I1894" s="2"/>
      <c r="J1894" s="2"/>
    </row>
    <row r="1895" spans="1:10">
      <c r="A1895" s="130"/>
      <c r="C1895" s="222"/>
      <c r="I1895" s="2"/>
      <c r="J1895" s="2"/>
    </row>
    <row r="1896" spans="1:10">
      <c r="A1896" s="130"/>
      <c r="C1896" s="222"/>
      <c r="I1896" s="2"/>
      <c r="J1896" s="2"/>
    </row>
    <row r="1897" spans="1:10">
      <c r="A1897" s="130"/>
      <c r="C1897" s="222"/>
      <c r="I1897" s="2"/>
      <c r="J1897" s="2"/>
    </row>
    <row r="1898" spans="1:10">
      <c r="A1898" s="130"/>
      <c r="C1898" s="222"/>
      <c r="I1898" s="2"/>
      <c r="J1898" s="2"/>
    </row>
    <row r="1899" spans="1:10">
      <c r="A1899" s="130"/>
      <c r="C1899" s="222"/>
      <c r="I1899" s="2"/>
      <c r="J1899" s="2"/>
    </row>
    <row r="1900" spans="1:10">
      <c r="A1900" s="130"/>
      <c r="C1900" s="222"/>
      <c r="I1900" s="2"/>
      <c r="J1900" s="2"/>
    </row>
    <row r="1901" spans="1:10">
      <c r="A1901" s="130"/>
      <c r="C1901" s="222"/>
      <c r="I1901" s="2"/>
      <c r="J1901" s="2"/>
    </row>
    <row r="1902" spans="1:10">
      <c r="A1902" s="130"/>
      <c r="C1902" s="222"/>
      <c r="I1902" s="2"/>
      <c r="J1902" s="2"/>
    </row>
    <row r="1903" spans="1:10">
      <c r="A1903" s="130"/>
      <c r="C1903" s="222"/>
      <c r="I1903" s="2"/>
      <c r="J1903" s="2"/>
    </row>
    <row r="1904" spans="1:10">
      <c r="A1904" s="130"/>
      <c r="C1904" s="222"/>
      <c r="I1904" s="2"/>
      <c r="J1904" s="2"/>
    </row>
    <row r="1905" spans="1:10">
      <c r="A1905" s="130"/>
      <c r="C1905" s="222"/>
      <c r="I1905" s="2"/>
      <c r="J1905" s="2"/>
    </row>
    <row r="1906" spans="1:10">
      <c r="A1906" s="130"/>
      <c r="C1906" s="222"/>
      <c r="I1906" s="2"/>
      <c r="J1906" s="2"/>
    </row>
    <row r="1907" spans="1:10">
      <c r="A1907" s="130"/>
      <c r="C1907" s="222"/>
      <c r="I1907" s="2"/>
      <c r="J1907" s="2"/>
    </row>
    <row r="1908" spans="1:10">
      <c r="A1908" s="130"/>
      <c r="C1908" s="222"/>
      <c r="I1908" s="2"/>
      <c r="J1908" s="2"/>
    </row>
    <row r="1909" spans="1:10">
      <c r="A1909" s="130"/>
      <c r="C1909" s="222"/>
      <c r="I1909" s="2"/>
      <c r="J1909" s="2"/>
    </row>
    <row r="1910" spans="1:10">
      <c r="A1910" s="130"/>
      <c r="C1910" s="222"/>
      <c r="I1910" s="2"/>
      <c r="J1910" s="2"/>
    </row>
    <row r="1911" spans="1:10">
      <c r="A1911" s="130"/>
      <c r="C1911" s="222"/>
      <c r="I1911" s="2"/>
      <c r="J1911" s="2"/>
    </row>
    <row r="1912" spans="1:10">
      <c r="A1912" s="130"/>
      <c r="C1912" s="222"/>
      <c r="I1912" s="2"/>
      <c r="J1912" s="2"/>
    </row>
    <row r="1913" spans="1:10">
      <c r="A1913" s="130"/>
      <c r="C1913" s="222"/>
      <c r="I1913" s="2"/>
      <c r="J1913" s="2"/>
    </row>
    <row r="1914" spans="1:10">
      <c r="A1914" s="130"/>
      <c r="C1914" s="222"/>
      <c r="I1914" s="2"/>
      <c r="J1914" s="2"/>
    </row>
    <row r="1915" spans="1:10">
      <c r="A1915" s="130"/>
      <c r="C1915" s="222"/>
      <c r="I1915" s="2"/>
      <c r="J1915" s="2"/>
    </row>
    <row r="1916" spans="1:10">
      <c r="A1916" s="130"/>
      <c r="C1916" s="222"/>
      <c r="I1916" s="2"/>
      <c r="J1916" s="2"/>
    </row>
    <row r="1917" spans="1:10">
      <c r="A1917" s="130"/>
      <c r="C1917" s="222"/>
      <c r="I1917" s="2"/>
      <c r="J1917" s="2"/>
    </row>
    <row r="1918" spans="1:10">
      <c r="A1918" s="130"/>
      <c r="C1918" s="222"/>
      <c r="I1918" s="2"/>
      <c r="J1918" s="2"/>
    </row>
    <row r="1919" spans="1:10">
      <c r="A1919" s="130"/>
      <c r="C1919" s="222"/>
      <c r="I1919" s="2"/>
      <c r="J1919" s="2"/>
    </row>
    <row r="1920" spans="1:10">
      <c r="A1920" s="130"/>
      <c r="C1920" s="222"/>
      <c r="I1920" s="2"/>
      <c r="J1920" s="2"/>
    </row>
    <row r="1921" spans="1:10">
      <c r="A1921" s="130"/>
      <c r="C1921" s="222"/>
      <c r="I1921" s="2"/>
      <c r="J1921" s="2"/>
    </row>
    <row r="1922" spans="1:10">
      <c r="A1922" s="130"/>
      <c r="C1922" s="222"/>
      <c r="I1922" s="2"/>
      <c r="J1922" s="2"/>
    </row>
    <row r="1923" spans="1:10">
      <c r="A1923" s="130"/>
      <c r="C1923" s="222"/>
      <c r="I1923" s="2"/>
      <c r="J1923" s="2"/>
    </row>
    <row r="1924" spans="1:10">
      <c r="A1924" s="130"/>
      <c r="C1924" s="222"/>
      <c r="I1924" s="2"/>
      <c r="J1924" s="2"/>
    </row>
    <row r="1925" spans="1:10">
      <c r="A1925" s="130"/>
      <c r="C1925" s="222"/>
      <c r="I1925" s="2"/>
      <c r="J1925" s="2"/>
    </row>
    <row r="1926" spans="1:10">
      <c r="A1926" s="130"/>
      <c r="C1926" s="222"/>
      <c r="I1926" s="2"/>
      <c r="J1926" s="2"/>
    </row>
    <row r="1927" spans="1:10">
      <c r="A1927" s="130"/>
      <c r="C1927" s="222"/>
      <c r="I1927" s="2"/>
      <c r="J1927" s="2"/>
    </row>
    <row r="1928" spans="1:10">
      <c r="A1928" s="130"/>
      <c r="C1928" s="222"/>
      <c r="I1928" s="2"/>
      <c r="J1928" s="2"/>
    </row>
    <row r="1929" spans="1:10">
      <c r="A1929" s="130"/>
      <c r="C1929" s="222"/>
      <c r="I1929" s="2"/>
      <c r="J1929" s="2"/>
    </row>
    <row r="1930" spans="1:10">
      <c r="A1930" s="130"/>
      <c r="C1930" s="222"/>
      <c r="I1930" s="2"/>
      <c r="J1930" s="2"/>
    </row>
    <row r="1931" spans="1:10">
      <c r="A1931" s="130"/>
      <c r="C1931" s="222"/>
      <c r="I1931" s="2"/>
      <c r="J1931" s="2"/>
    </row>
    <row r="1932" spans="1:10">
      <c r="A1932" s="130"/>
      <c r="C1932" s="222"/>
      <c r="I1932" s="2"/>
      <c r="J1932" s="2"/>
    </row>
    <row r="1933" spans="1:10">
      <c r="A1933" s="130"/>
      <c r="C1933" s="222"/>
      <c r="I1933" s="2"/>
      <c r="J1933" s="2"/>
    </row>
    <row r="1934" spans="1:10">
      <c r="A1934" s="130"/>
      <c r="C1934" s="222"/>
      <c r="I1934" s="2"/>
      <c r="J1934" s="2"/>
    </row>
    <row r="1935" spans="1:10">
      <c r="A1935" s="130"/>
      <c r="C1935" s="222"/>
      <c r="I1935" s="2"/>
      <c r="J1935" s="2"/>
    </row>
    <row r="1936" spans="1:10">
      <c r="A1936" s="130"/>
      <c r="C1936" s="222"/>
      <c r="I1936" s="2"/>
      <c r="J1936" s="2"/>
    </row>
    <row r="1937" spans="1:10">
      <c r="A1937" s="130"/>
      <c r="C1937" s="222"/>
      <c r="I1937" s="2"/>
      <c r="J1937" s="2"/>
    </row>
    <row r="1938" spans="1:10">
      <c r="A1938" s="130"/>
      <c r="C1938" s="222"/>
      <c r="I1938" s="2"/>
      <c r="J1938" s="2"/>
    </row>
    <row r="1939" spans="1:10">
      <c r="A1939" s="130"/>
      <c r="C1939" s="222"/>
      <c r="I1939" s="2"/>
      <c r="J1939" s="2"/>
    </row>
    <row r="1940" spans="1:10">
      <c r="A1940" s="130"/>
      <c r="C1940" s="222"/>
      <c r="I1940" s="2"/>
      <c r="J1940" s="2"/>
    </row>
    <row r="1941" spans="1:10">
      <c r="A1941" s="130"/>
      <c r="C1941" s="222"/>
      <c r="I1941" s="2"/>
      <c r="J1941" s="2"/>
    </row>
    <row r="1942" spans="1:10">
      <c r="A1942" s="130"/>
      <c r="C1942" s="222"/>
      <c r="I1942" s="2"/>
      <c r="J1942" s="2"/>
    </row>
    <row r="1943" spans="1:10">
      <c r="A1943" s="130"/>
      <c r="C1943" s="222"/>
      <c r="I1943" s="2"/>
      <c r="J1943" s="2"/>
    </row>
    <row r="1944" spans="1:10">
      <c r="A1944" s="130"/>
      <c r="C1944" s="222"/>
      <c r="I1944" s="2"/>
      <c r="J1944" s="2"/>
    </row>
    <row r="1945" spans="1:10">
      <c r="A1945" s="130"/>
      <c r="C1945" s="222"/>
      <c r="I1945" s="2"/>
      <c r="J1945" s="2"/>
    </row>
    <row r="1946" spans="1:10">
      <c r="A1946" s="130"/>
      <c r="C1946" s="222"/>
      <c r="I1946" s="2"/>
      <c r="J1946" s="2"/>
    </row>
    <row r="1947" spans="1:10">
      <c r="A1947" s="130"/>
      <c r="C1947" s="222"/>
      <c r="I1947" s="2"/>
      <c r="J1947" s="2"/>
    </row>
    <row r="1948" spans="1:10">
      <c r="A1948" s="130"/>
      <c r="C1948" s="222"/>
      <c r="I1948" s="2"/>
      <c r="J1948" s="2"/>
    </row>
    <row r="1949" spans="1:10">
      <c r="A1949" s="130"/>
      <c r="C1949" s="222"/>
      <c r="I1949" s="2"/>
      <c r="J1949" s="2"/>
    </row>
    <row r="1950" spans="1:10">
      <c r="A1950" s="130"/>
      <c r="C1950" s="222"/>
      <c r="I1950" s="2"/>
      <c r="J1950" s="2"/>
    </row>
    <row r="1951" spans="1:10">
      <c r="A1951" s="130"/>
      <c r="C1951" s="222"/>
      <c r="I1951" s="2"/>
      <c r="J1951" s="2"/>
    </row>
    <row r="1952" spans="1:10">
      <c r="A1952" s="130"/>
      <c r="C1952" s="222"/>
      <c r="I1952" s="2"/>
      <c r="J1952" s="2"/>
    </row>
    <row r="1953" spans="1:10">
      <c r="A1953" s="130"/>
      <c r="C1953" s="222"/>
      <c r="I1953" s="2"/>
      <c r="J1953" s="2"/>
    </row>
    <row r="1954" spans="1:10">
      <c r="A1954" s="130"/>
      <c r="C1954" s="222"/>
      <c r="I1954" s="2"/>
      <c r="J1954" s="2"/>
    </row>
    <row r="1955" spans="1:10">
      <c r="A1955" s="130"/>
      <c r="C1955" s="222"/>
      <c r="I1955" s="2"/>
      <c r="J1955" s="2"/>
    </row>
    <row r="1956" spans="1:10">
      <c r="A1956" s="130"/>
      <c r="C1956" s="222"/>
      <c r="I1956" s="2"/>
      <c r="J1956" s="2"/>
    </row>
    <row r="1957" spans="1:10">
      <c r="A1957" s="130"/>
      <c r="C1957" s="222"/>
      <c r="I1957" s="2"/>
      <c r="J1957" s="2"/>
    </row>
    <row r="1958" spans="1:10">
      <c r="A1958" s="130"/>
      <c r="C1958" s="222"/>
      <c r="I1958" s="2"/>
      <c r="J1958" s="2"/>
    </row>
    <row r="1959" spans="1:10">
      <c r="A1959" s="130"/>
      <c r="C1959" s="222"/>
      <c r="I1959" s="2"/>
      <c r="J1959" s="2"/>
    </row>
    <row r="1960" spans="1:10">
      <c r="A1960" s="130"/>
      <c r="C1960" s="222"/>
      <c r="I1960" s="2"/>
      <c r="J1960" s="2"/>
    </row>
    <row r="1961" spans="1:10">
      <c r="A1961" s="130"/>
      <c r="C1961" s="222"/>
      <c r="I1961" s="2"/>
      <c r="J1961" s="2"/>
    </row>
    <row r="1962" spans="1:10">
      <c r="A1962" s="130"/>
      <c r="C1962" s="222"/>
      <c r="I1962" s="2"/>
      <c r="J1962" s="2"/>
    </row>
    <row r="1963" spans="1:10">
      <c r="A1963" s="130"/>
      <c r="C1963" s="222"/>
      <c r="I1963" s="2"/>
      <c r="J1963" s="2"/>
    </row>
    <row r="1964" spans="1:10">
      <c r="A1964" s="130"/>
      <c r="C1964" s="222"/>
      <c r="I1964" s="2"/>
      <c r="J1964" s="2"/>
    </row>
    <row r="1965" spans="1:10">
      <c r="A1965" s="130"/>
      <c r="C1965" s="222"/>
      <c r="I1965" s="2"/>
      <c r="J1965" s="2"/>
    </row>
    <row r="1966" spans="1:10">
      <c r="A1966" s="130"/>
      <c r="C1966" s="222"/>
      <c r="I1966" s="2"/>
      <c r="J1966" s="2"/>
    </row>
    <row r="1967" spans="1:10">
      <c r="A1967" s="130"/>
      <c r="C1967" s="222"/>
      <c r="I1967" s="2"/>
      <c r="J1967" s="2"/>
    </row>
    <row r="1968" spans="1:10">
      <c r="A1968" s="130"/>
      <c r="C1968" s="222"/>
      <c r="I1968" s="2"/>
      <c r="J1968" s="2"/>
    </row>
    <row r="1969" spans="1:10">
      <c r="A1969" s="130"/>
      <c r="C1969" s="222"/>
      <c r="I1969" s="2"/>
      <c r="J1969" s="2"/>
    </row>
    <row r="1970" spans="1:10">
      <c r="A1970" s="130"/>
      <c r="C1970" s="222"/>
      <c r="I1970" s="2"/>
      <c r="J1970" s="2"/>
    </row>
    <row r="1971" spans="1:10">
      <c r="A1971" s="130"/>
      <c r="C1971" s="222"/>
      <c r="I1971" s="2"/>
      <c r="J1971" s="2"/>
    </row>
    <row r="1972" spans="1:10">
      <c r="A1972" s="130"/>
      <c r="C1972" s="222"/>
      <c r="I1972" s="2"/>
      <c r="J1972" s="2"/>
    </row>
    <row r="1973" spans="1:10">
      <c r="A1973" s="130"/>
      <c r="C1973" s="222"/>
      <c r="I1973" s="2"/>
      <c r="J1973" s="2"/>
    </row>
    <row r="1974" spans="1:10">
      <c r="A1974" s="130"/>
      <c r="C1974" s="222"/>
      <c r="I1974" s="2"/>
      <c r="J1974" s="2"/>
    </row>
    <row r="1975" spans="1:10">
      <c r="A1975" s="130"/>
      <c r="C1975" s="222"/>
      <c r="I1975" s="2"/>
      <c r="J1975" s="2"/>
    </row>
    <row r="1976" spans="1:10">
      <c r="A1976" s="130"/>
      <c r="C1976" s="222"/>
      <c r="I1976" s="2"/>
      <c r="J1976" s="2"/>
    </row>
    <row r="1977" spans="1:10">
      <c r="A1977" s="130"/>
      <c r="C1977" s="222"/>
      <c r="I1977" s="2"/>
      <c r="J1977" s="2"/>
    </row>
    <row r="1978" spans="1:10">
      <c r="A1978" s="130"/>
      <c r="C1978" s="222"/>
      <c r="I1978" s="2"/>
      <c r="J1978" s="2"/>
    </row>
    <row r="1979" spans="1:10">
      <c r="A1979" s="130"/>
      <c r="C1979" s="222"/>
      <c r="I1979" s="2"/>
      <c r="J1979" s="2"/>
    </row>
    <row r="1980" spans="1:10">
      <c r="A1980" s="130"/>
      <c r="C1980" s="222"/>
      <c r="I1980" s="2"/>
      <c r="J1980" s="2"/>
    </row>
    <row r="1981" spans="1:10">
      <c r="A1981" s="130"/>
      <c r="C1981" s="222"/>
      <c r="I1981" s="2"/>
      <c r="J1981" s="2"/>
    </row>
    <row r="1982" spans="1:10">
      <c r="A1982" s="130"/>
      <c r="C1982" s="222"/>
      <c r="I1982" s="2"/>
      <c r="J1982" s="2"/>
    </row>
    <row r="1983" spans="1:10">
      <c r="A1983" s="130"/>
      <c r="C1983" s="222"/>
      <c r="I1983" s="2"/>
      <c r="J1983" s="2"/>
    </row>
    <row r="1984" spans="1:10">
      <c r="A1984" s="130"/>
      <c r="C1984" s="222"/>
      <c r="I1984" s="2"/>
      <c r="J1984" s="2"/>
    </row>
    <row r="1985" spans="1:10">
      <c r="A1985" s="130"/>
      <c r="C1985" s="222"/>
      <c r="I1985" s="2"/>
      <c r="J1985" s="2"/>
    </row>
    <row r="1986" spans="1:10">
      <c r="A1986" s="130"/>
      <c r="C1986" s="222"/>
      <c r="I1986" s="2"/>
      <c r="J1986" s="2"/>
    </row>
    <row r="1987" spans="1:10">
      <c r="A1987" s="130"/>
      <c r="C1987" s="222"/>
      <c r="I1987" s="2"/>
      <c r="J1987" s="2"/>
    </row>
    <row r="1988" spans="1:10">
      <c r="A1988" s="130"/>
      <c r="C1988" s="222"/>
      <c r="I1988" s="2"/>
      <c r="J1988" s="2"/>
    </row>
    <row r="1989" spans="1:10">
      <c r="A1989" s="130"/>
      <c r="C1989" s="222"/>
      <c r="I1989" s="2"/>
      <c r="J1989" s="2"/>
    </row>
    <row r="1990" spans="1:10">
      <c r="A1990" s="130"/>
      <c r="C1990" s="222"/>
      <c r="I1990" s="2"/>
      <c r="J1990" s="2"/>
    </row>
    <row r="1991" spans="1:10">
      <c r="A1991" s="130"/>
      <c r="C1991" s="222"/>
      <c r="I1991" s="2"/>
      <c r="J1991" s="2"/>
    </row>
    <row r="1992" spans="1:10">
      <c r="A1992" s="130"/>
      <c r="C1992" s="222"/>
      <c r="I1992" s="2"/>
      <c r="J1992" s="2"/>
    </row>
    <row r="1993" spans="1:10">
      <c r="A1993" s="130"/>
      <c r="C1993" s="222"/>
      <c r="I1993" s="2"/>
      <c r="J1993" s="2"/>
    </row>
    <row r="1994" spans="1:10">
      <c r="A1994" s="130"/>
      <c r="C1994" s="222"/>
      <c r="I1994" s="2"/>
      <c r="J1994" s="2"/>
    </row>
    <row r="1995" spans="1:10">
      <c r="A1995" s="130"/>
      <c r="C1995" s="222"/>
      <c r="I1995" s="2"/>
      <c r="J1995" s="2"/>
    </row>
    <row r="1996" spans="1:10">
      <c r="A1996" s="130"/>
      <c r="C1996" s="222"/>
      <c r="I1996" s="2"/>
      <c r="J1996" s="2"/>
    </row>
    <row r="1997" spans="1:10">
      <c r="A1997" s="130"/>
      <c r="C1997" s="222"/>
      <c r="I1997" s="2"/>
      <c r="J1997" s="2"/>
    </row>
    <row r="1998" spans="1:10">
      <c r="A1998" s="130"/>
      <c r="C1998" s="222"/>
      <c r="I1998" s="2"/>
      <c r="J1998" s="2"/>
    </row>
    <row r="1999" spans="1:10">
      <c r="A1999" s="130"/>
      <c r="C1999" s="222"/>
      <c r="I1999" s="2"/>
      <c r="J1999" s="2"/>
    </row>
    <row r="2000" spans="1:10" ht="12.95" thickBot="1">
      <c r="A2000" s="138"/>
      <c r="B2000" s="139"/>
      <c r="C2000" s="223"/>
      <c r="I2000" s="2"/>
      <c r="J2000" s="2"/>
    </row>
  </sheetData>
  <mergeCells count="3">
    <mergeCell ref="G1:K1"/>
    <mergeCell ref="A1:E1"/>
    <mergeCell ref="I21:L2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DA7-7437-45F0-92FE-70462E958F55}">
  <dimension ref="A1:J22"/>
  <sheetViews>
    <sheetView workbookViewId="0">
      <selection activeCell="D2" sqref="C2:E2"/>
    </sheetView>
  </sheetViews>
  <sheetFormatPr defaultRowHeight="12.6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</cols>
  <sheetData>
    <row r="1" spans="1:10" ht="13.5" thickBot="1">
      <c r="A1" s="535" t="s">
        <v>452</v>
      </c>
      <c r="B1" s="536"/>
      <c r="C1" s="536"/>
      <c r="D1" s="536"/>
      <c r="E1" s="537"/>
      <c r="F1" s="439"/>
      <c r="G1" s="439"/>
      <c r="H1" s="439"/>
      <c r="I1" s="439"/>
      <c r="J1" s="439"/>
    </row>
    <row r="2" spans="1:10">
      <c r="A2" s="452"/>
      <c r="B2" s="453" t="s">
        <v>454</v>
      </c>
      <c r="C2" s="453" t="s">
        <v>366</v>
      </c>
      <c r="D2" s="453" t="s">
        <v>369</v>
      </c>
      <c r="E2" s="454" t="s">
        <v>372</v>
      </c>
      <c r="F2" s="439"/>
      <c r="G2" s="534" t="s">
        <v>472</v>
      </c>
      <c r="H2" s="534"/>
      <c r="I2" s="534"/>
      <c r="J2" s="534"/>
    </row>
    <row r="3" spans="1:10">
      <c r="A3" s="440" t="s">
        <v>455</v>
      </c>
      <c r="B3" s="441"/>
      <c r="C3" s="441">
        <v>-8.2865973840992773</v>
      </c>
      <c r="D3" s="441">
        <v>5.3073373457353066</v>
      </c>
      <c r="E3" s="442">
        <v>-18.578728787252835</v>
      </c>
      <c r="F3" s="439"/>
      <c r="G3" s="439"/>
      <c r="H3" s="439" t="s">
        <v>473</v>
      </c>
      <c r="I3" s="439" t="s">
        <v>474</v>
      </c>
      <c r="J3" s="439" t="s">
        <v>475</v>
      </c>
    </row>
    <row r="4" spans="1:10">
      <c r="A4" s="440" t="s">
        <v>456</v>
      </c>
      <c r="B4" s="441"/>
      <c r="C4" s="441">
        <v>1.8417811034680334</v>
      </c>
      <c r="D4" s="441">
        <v>1.4371554538251876</v>
      </c>
      <c r="E4" s="442">
        <v>10.259169392607509</v>
      </c>
      <c r="F4" s="439"/>
      <c r="G4" s="439"/>
      <c r="H4" s="439" t="s">
        <v>476</v>
      </c>
      <c r="I4" s="439" t="s">
        <v>477</v>
      </c>
      <c r="J4" s="439" t="s">
        <v>478</v>
      </c>
    </row>
    <row r="5" spans="1:10">
      <c r="A5" s="440" t="s">
        <v>457</v>
      </c>
      <c r="B5" s="441"/>
      <c r="C5" s="441">
        <v>8.48880756285903</v>
      </c>
      <c r="D5" s="441">
        <v>5.4984766526644515</v>
      </c>
      <c r="E5" s="442">
        <v>21.223094024588203</v>
      </c>
      <c r="F5" s="439"/>
      <c r="G5" s="439" t="s">
        <v>479</v>
      </c>
      <c r="H5" s="439">
        <f t="array" ref="H5">INDEX(C:C,COUNT($E:$E))</f>
        <v>-5.8771805763244629</v>
      </c>
      <c r="I5" s="439">
        <f t="array" ref="I5">INDEX(D:D,COUNT($E:$E))</f>
        <v>1.1754231452941895</v>
      </c>
      <c r="J5" s="439">
        <f>INDEX(E:E,COUNT($E:$E))</f>
        <v>-36.874965667724609</v>
      </c>
    </row>
    <row r="6" spans="1:10">
      <c r="A6" s="440" t="s">
        <v>458</v>
      </c>
      <c r="B6" s="441"/>
      <c r="C6" s="441">
        <v>3.6625000000000001</v>
      </c>
      <c r="D6" s="441">
        <v>2.372727272727273</v>
      </c>
      <c r="E6" s="442">
        <v>5.8000000000000007</v>
      </c>
      <c r="F6" s="439"/>
      <c r="G6" s="439" t="s">
        <v>480</v>
      </c>
      <c r="H6" s="439">
        <f t="array" ref="H6">INDEX(C:C,COUNT($E:$E)+1)</f>
        <v>-11.567791938781738</v>
      </c>
      <c r="I6" s="439">
        <f t="array" ref="I6">INDEX(D:D,COUNT($E:$E)+1)</f>
        <v>6.3507270812988281</v>
      </c>
      <c r="J6" s="439">
        <f>INDEX(E:E,COUNT($E:$E)+1)</f>
        <v>-1.3993309736251831</v>
      </c>
    </row>
    <row r="7" spans="1:10">
      <c r="A7" s="440" t="s">
        <v>460</v>
      </c>
      <c r="B7" s="441"/>
      <c r="C7" s="441">
        <v>0.47313432835820901</v>
      </c>
      <c r="D7" s="441">
        <v>0.25280000000000002</v>
      </c>
      <c r="E7" s="442">
        <v>0.68409090909090908</v>
      </c>
      <c r="F7" s="439"/>
      <c r="G7" s="439" t="s">
        <v>481</v>
      </c>
      <c r="H7" s="439">
        <f t="array" ref="H7">INDEX(C:C,COUNT($E:$E)+2)</f>
        <v>-3.6969170570373535</v>
      </c>
      <c r="I7" s="439">
        <f t="array" ref="I7">INDEX(D:D,COUNT($E:$E)+2)</f>
        <v>4.7921180725097656</v>
      </c>
      <c r="J7" s="439">
        <f>INDEX(E:E,COUNT($E:$E)+2)</f>
        <v>-43.280658721923828</v>
      </c>
    </row>
    <row r="8" spans="1:10">
      <c r="A8" s="440" t="s">
        <v>461</v>
      </c>
      <c r="B8" s="441"/>
      <c r="C8" s="441">
        <v>3.3921576330919265</v>
      </c>
      <c r="D8" s="441">
        <v>2.065415798459481</v>
      </c>
      <c r="E8" s="442">
        <v>105.25055662621473</v>
      </c>
      <c r="F8" s="439"/>
      <c r="G8" s="439"/>
      <c r="H8" s="439"/>
      <c r="I8" s="439"/>
      <c r="J8" s="439"/>
    </row>
    <row r="9" spans="1:10">
      <c r="A9" s="440" t="s">
        <v>462</v>
      </c>
      <c r="B9" s="441"/>
      <c r="C9" s="441">
        <v>0.25288365446060324</v>
      </c>
      <c r="D9" s="441">
        <v>0.36686970480996628</v>
      </c>
      <c r="E9" s="442">
        <v>3.1287323610646465</v>
      </c>
      <c r="F9" s="439"/>
      <c r="G9" s="439"/>
      <c r="H9" s="439"/>
      <c r="I9" s="439"/>
      <c r="J9" s="439"/>
    </row>
    <row r="10" spans="1:10">
      <c r="A10" s="440" t="s">
        <v>463</v>
      </c>
      <c r="B10" s="441"/>
      <c r="C10" s="441">
        <v>1.1296706354662178</v>
      </c>
      <c r="D10" s="441">
        <v>5.7406056097337395</v>
      </c>
      <c r="E10" s="442">
        <v>6.685605954703763</v>
      </c>
      <c r="F10" s="439"/>
      <c r="G10" s="439"/>
      <c r="H10" s="439"/>
      <c r="I10" s="439"/>
      <c r="J10" s="439"/>
    </row>
    <row r="11" spans="1:10">
      <c r="A11" s="440" t="s">
        <v>464</v>
      </c>
      <c r="B11" s="441"/>
      <c r="C11" s="441">
        <v>0.99162071392539897</v>
      </c>
      <c r="D11" s="441">
        <v>0.99430798196591497</v>
      </c>
      <c r="E11" s="442">
        <v>0.99301992626659819</v>
      </c>
      <c r="F11" s="439"/>
      <c r="G11" s="439"/>
      <c r="H11" s="439"/>
      <c r="I11" s="439"/>
      <c r="J11" s="439"/>
    </row>
    <row r="12" spans="1:10" ht="12.95">
      <c r="A12" s="443" t="s">
        <v>465</v>
      </c>
      <c r="B12" s="441">
        <v>3</v>
      </c>
      <c r="C12" s="444">
        <v>-2.8597044944763184</v>
      </c>
      <c r="D12" s="441">
        <v>7.3740053176879883</v>
      </c>
      <c r="E12" s="442">
        <v>-39.814811706542969</v>
      </c>
      <c r="F12" s="439"/>
      <c r="G12" s="439"/>
      <c r="H12" s="439"/>
      <c r="I12" s="439"/>
      <c r="J12" s="439"/>
    </row>
    <row r="13" spans="1:10" ht="12.95">
      <c r="A13" s="443" t="s">
        <v>466</v>
      </c>
      <c r="B13" s="441">
        <v>7.2000000000000011</v>
      </c>
      <c r="C13" s="444">
        <v>-11.567791938781738</v>
      </c>
      <c r="D13" s="441">
        <v>6.3507270812988281</v>
      </c>
      <c r="E13" s="442">
        <v>-1.3993309736251831</v>
      </c>
      <c r="F13" s="439"/>
      <c r="G13" s="439"/>
      <c r="H13" s="439"/>
      <c r="I13" s="439"/>
      <c r="J13" s="439"/>
    </row>
    <row r="14" spans="1:10" ht="12.95">
      <c r="A14" s="443" t="s">
        <v>465</v>
      </c>
      <c r="B14" s="441">
        <v>2.5</v>
      </c>
      <c r="C14" s="445">
        <v>-7.4293923377990723</v>
      </c>
      <c r="D14" s="446">
        <v>9.2025537490844727</v>
      </c>
      <c r="E14" s="324">
        <v>-21.905210494995117</v>
      </c>
      <c r="F14" s="439"/>
      <c r="G14" s="439"/>
      <c r="H14" s="439"/>
      <c r="I14" s="439"/>
      <c r="J14" s="439"/>
    </row>
    <row r="15" spans="1:10" ht="12.95">
      <c r="A15" s="443" t="s">
        <v>466</v>
      </c>
      <c r="B15" s="441">
        <v>3.7000000000000011</v>
      </c>
      <c r="C15" s="445">
        <v>-5.8771805763244629</v>
      </c>
      <c r="D15" s="446">
        <v>1.1754231452941895</v>
      </c>
      <c r="E15" s="324">
        <v>-36.874965667724609</v>
      </c>
      <c r="F15" s="439"/>
      <c r="G15" s="439"/>
      <c r="H15" s="439"/>
      <c r="I15" s="439"/>
      <c r="J15" s="439"/>
    </row>
    <row r="16" spans="1:10" ht="12.95">
      <c r="A16" s="443" t="s">
        <v>465</v>
      </c>
      <c r="B16" s="441">
        <v>7.2000000000000011</v>
      </c>
      <c r="C16" s="445">
        <v>-11.567791938781738</v>
      </c>
      <c r="D16" s="445">
        <v>6.3507270812988281</v>
      </c>
      <c r="E16" s="455">
        <v>-1.3993309736251831</v>
      </c>
      <c r="F16" s="439"/>
      <c r="G16" s="439"/>
      <c r="H16" s="439"/>
      <c r="I16" s="439"/>
      <c r="J16" s="439"/>
    </row>
    <row r="17" spans="1:10" ht="13.5" thickBot="1">
      <c r="A17" s="447" t="s">
        <v>466</v>
      </c>
      <c r="B17" s="448">
        <v>3.6000000000000014</v>
      </c>
      <c r="C17" s="449">
        <v>-3.6969170570373535</v>
      </c>
      <c r="D17" s="449">
        <v>4.7921180725097656</v>
      </c>
      <c r="E17" s="450">
        <v>-43.280658721923828</v>
      </c>
      <c r="F17" s="439"/>
      <c r="G17" s="534"/>
      <c r="H17" s="534"/>
      <c r="I17" s="534"/>
      <c r="J17" s="534"/>
    </row>
    <row r="18" spans="1:10" ht="12.95">
      <c r="D18" s="439"/>
      <c r="E18" s="451"/>
      <c r="F18" s="439"/>
      <c r="G18" s="439"/>
      <c r="H18" s="439"/>
      <c r="I18" s="439"/>
      <c r="J18" s="439"/>
    </row>
    <row r="19" spans="1:10" ht="12.95">
      <c r="D19" s="439"/>
      <c r="E19" s="451"/>
      <c r="F19" s="439"/>
      <c r="G19" s="439"/>
      <c r="H19" s="439"/>
      <c r="I19" s="439"/>
      <c r="J19" s="439"/>
    </row>
    <row r="20" spans="1:10">
      <c r="D20" s="439"/>
      <c r="E20" s="439"/>
      <c r="F20" s="439"/>
      <c r="G20" s="439"/>
      <c r="H20" s="439"/>
      <c r="I20" s="439"/>
      <c r="J20" s="439"/>
    </row>
    <row r="21" spans="1:10">
      <c r="D21" s="439"/>
      <c r="E21" s="439"/>
      <c r="F21" s="439"/>
      <c r="G21" s="439"/>
      <c r="H21" s="439"/>
      <c r="I21" s="439"/>
      <c r="J21" s="439"/>
    </row>
    <row r="22" spans="1:10">
      <c r="D22" s="439"/>
      <c r="E22" s="439"/>
      <c r="F22" s="439"/>
      <c r="G22" s="439"/>
      <c r="H22" s="439"/>
      <c r="I22" s="439"/>
      <c r="J22" s="439"/>
    </row>
  </sheetData>
  <mergeCells count="3">
    <mergeCell ref="A1:E1"/>
    <mergeCell ref="G17:J17"/>
    <mergeCell ref="G2:J2"/>
  </mergeCells>
  <pageMargins left="0.7" right="0.7" top="0.75" bottom="0.75" header="0.3" footer="0.3"/>
  <pageSetup paperSize="9"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9"/>
  <sheetViews>
    <sheetView workbookViewId="0"/>
  </sheetViews>
  <sheetFormatPr defaultRowHeight="12.6"/>
  <cols>
    <col min="1" max="1" width="3" customWidth="1"/>
    <col min="2" max="2" width="15.85546875" bestFit="1" customWidth="1"/>
    <col min="3" max="5" width="14.42578125" bestFit="1" customWidth="1"/>
    <col min="6" max="6" width="15" bestFit="1" customWidth="1"/>
    <col min="7" max="7" width="26" bestFit="1" customWidth="1"/>
    <col min="8" max="8" width="22.42578125" customWidth="1"/>
    <col min="9" max="9" width="26" customWidth="1"/>
    <col min="10" max="10" width="22.42578125" customWidth="1"/>
    <col min="11" max="11" width="12.28515625" style="132" customWidth="1"/>
    <col min="12" max="12" width="7.42578125" style="132" customWidth="1"/>
    <col min="13" max="14" width="12" style="132" bestFit="1" customWidth="1"/>
    <col min="15" max="15" width="5.42578125" customWidth="1"/>
    <col min="16" max="16" width="20" bestFit="1" customWidth="1"/>
    <col min="17" max="18" width="16.28515625" customWidth="1"/>
    <col min="19" max="20" width="13.42578125" bestFit="1" customWidth="1"/>
    <col min="22" max="23" width="16.28515625" customWidth="1"/>
    <col min="24" max="24" width="14.85546875" customWidth="1"/>
    <col min="25" max="25" width="16.28515625" customWidth="1"/>
    <col min="26" max="26" width="19" bestFit="1" customWidth="1"/>
    <col min="27" max="27" width="16.42578125" bestFit="1" customWidth="1"/>
    <col min="28" max="28" width="14.140625" bestFit="1" customWidth="1"/>
    <col min="29" max="29" width="14.140625" customWidth="1"/>
    <col min="30" max="30" width="10.42578125" bestFit="1" customWidth="1"/>
    <col min="37" max="37" width="16.42578125" bestFit="1" customWidth="1"/>
    <col min="38" max="38" width="10.42578125" bestFit="1" customWidth="1"/>
    <col min="39" max="41" width="9.140625" customWidth="1"/>
  </cols>
  <sheetData>
    <row r="1" spans="1:38" ht="13.5" thickBot="1">
      <c r="A1" s="131"/>
      <c r="C1" s="131"/>
      <c r="Z1" s="235" t="s">
        <v>482</v>
      </c>
      <c r="AA1" s="214" t="s">
        <v>483</v>
      </c>
      <c r="AB1" s="404" t="s">
        <v>484</v>
      </c>
      <c r="AC1" s="403" t="s">
        <v>485</v>
      </c>
      <c r="AD1" s="547" t="s">
        <v>486</v>
      </c>
      <c r="AE1" s="548"/>
      <c r="AF1" s="548"/>
      <c r="AG1" s="548"/>
      <c r="AH1" s="548"/>
      <c r="AI1" s="548"/>
      <c r="AJ1" s="549"/>
      <c r="AK1" s="214" t="s">
        <v>483</v>
      </c>
      <c r="AL1" s="404" t="s">
        <v>484</v>
      </c>
    </row>
    <row r="2" spans="1:38" ht="13.5" thickBot="1">
      <c r="B2" s="538" t="s">
        <v>487</v>
      </c>
      <c r="C2" s="539"/>
      <c r="D2" s="538" t="s">
        <v>488</v>
      </c>
      <c r="E2" s="539"/>
      <c r="F2" s="538" t="s">
        <v>489</v>
      </c>
      <c r="G2" s="540"/>
      <c r="H2" s="538" t="s">
        <v>490</v>
      </c>
      <c r="I2" s="539"/>
      <c r="J2" s="545" t="s">
        <v>491</v>
      </c>
      <c r="K2" s="545" t="s">
        <v>492</v>
      </c>
      <c r="L2" s="541" t="s">
        <v>471</v>
      </c>
      <c r="M2" s="543" t="s">
        <v>493</v>
      </c>
      <c r="N2" s="544"/>
      <c r="Z2" s="163" t="str">
        <f>IF(COUNTIF(AA:AA,"*Peso*")&gt;0,"Peso","Boia")</f>
        <v>Boia</v>
      </c>
      <c r="AA2" s="220" t="s">
        <v>494</v>
      </c>
      <c r="AB2" s="228">
        <v>3</v>
      </c>
      <c r="AC2" s="2">
        <f>IFERROR(VALUE(RIGHT(AA2,LEN(AA2)-MIN(FIND({0;1;2;3;4;5;6;7;8;9},AA2&amp;"0123456789"))+1)),"")</f>
        <v>1320</v>
      </c>
      <c r="AD2" s="130">
        <v>1</v>
      </c>
      <c r="AE2">
        <f t="shared" ref="AE2:AE33" si="0">SMALL(AB:AB,AD2)</f>
        <v>3</v>
      </c>
      <c r="AF2">
        <f>SUMIF(AB:AB,AE2,AC:AC)</f>
        <v>1980</v>
      </c>
      <c r="AG2">
        <f>IFERROR(IF(AF2=0,"",IF(AND(AE2=AE1,AF2=AF1),"",AE2)),"")</f>
        <v>3</v>
      </c>
      <c r="AH2">
        <f>IF(AF2=0,"",AF2)</f>
        <v>1980</v>
      </c>
      <c r="AI2">
        <v>1</v>
      </c>
      <c r="AJ2" s="222">
        <v>1</v>
      </c>
      <c r="AK2" s="130">
        <f>IF($Z$2="Peso",SUM(AC:AC),IFERROR(INDEX(AG2:AI51,MATCH(AJ2,AI2:AI51,0),2),""))</f>
        <v>1980</v>
      </c>
      <c r="AL2" s="222">
        <f>IF($Z$2="Peso",_xlfn.CONCAT(MIN(AG2:AG51)," : ",MAX(AG2:AG51)+0.2),IFERROR(INDEX(AG2:AI51,MATCH(AJ2,AI2:AI51,0),1),""))</f>
        <v>3</v>
      </c>
    </row>
    <row r="3" spans="1:38" ht="13.5" thickBot="1">
      <c r="B3" s="134" t="s">
        <v>495</v>
      </c>
      <c r="C3" s="135" t="s">
        <v>376</v>
      </c>
      <c r="D3" s="134" t="s">
        <v>495</v>
      </c>
      <c r="E3" s="135" t="s">
        <v>361</v>
      </c>
      <c r="F3" s="134" t="s">
        <v>495</v>
      </c>
      <c r="G3" s="244" t="s">
        <v>496</v>
      </c>
      <c r="H3" s="134" t="s">
        <v>495</v>
      </c>
      <c r="I3" s="135" t="s">
        <v>496</v>
      </c>
      <c r="J3" s="546"/>
      <c r="K3" s="546"/>
      <c r="L3" s="542"/>
      <c r="M3" s="488" t="s">
        <v>495</v>
      </c>
      <c r="N3" s="151" t="s">
        <v>385</v>
      </c>
      <c r="AA3" s="220" t="s">
        <v>497</v>
      </c>
      <c r="AB3" s="228">
        <v>3</v>
      </c>
      <c r="AC3" s="2">
        <f>IFERROR(VALUE(RIGHT(AA3,LEN(AA3)-MIN(FIND({0;1;2;3;4;5;6;7;8;9},AA3&amp;"0123456789"))+1)),"")</f>
        <v>660</v>
      </c>
      <c r="AD3" s="130">
        <v>2</v>
      </c>
      <c r="AE3">
        <f t="shared" si="0"/>
        <v>3</v>
      </c>
      <c r="AF3">
        <f t="shared" ref="AF3:AF51" si="1">SUMIF(AB:AB,AE3,AC:AC)</f>
        <v>1980</v>
      </c>
      <c r="AG3" t="str">
        <f>IFERROR(IF(AF3=0,"",IF(AND(AE3=AE2,AF3=AF2),"",AE3)),"")</f>
        <v/>
      </c>
      <c r="AH3" t="str">
        <f t="shared" ref="AH3:AH34" si="2">IFERROR(IF(AND($AE3=$AE2,$AF3=$AF2),"",AF3),"")</f>
        <v/>
      </c>
      <c r="AI3" t="str">
        <f>IF(AG3="","",MAX($AI$2:AI2)+1)</f>
        <v/>
      </c>
      <c r="AJ3" s="222">
        <v>2</v>
      </c>
      <c r="AK3" s="130">
        <f>IF($Z$2="Peso","",IFERROR(INDEX(AG3:AI52,MATCH(AJ3,AI3:AI52,0),2),""))</f>
        <v>1482</v>
      </c>
      <c r="AL3" s="222">
        <f>IF($Z$2="Peso","",IFERROR(INDEX(AG3:AI52,MATCH(AJ3,AI3:AI52,0),1),""))</f>
        <v>6</v>
      </c>
    </row>
    <row r="4" spans="1:38" ht="12.95">
      <c r="B4" s="130">
        <v>0</v>
      </c>
      <c r="C4">
        <v>24.650523284620256</v>
      </c>
      <c r="D4">
        <v>0</v>
      </c>
      <c r="E4">
        <v>-1397.8127649294186</v>
      </c>
      <c r="F4">
        <v>0</v>
      </c>
      <c r="G4">
        <v>842.04156507058133</v>
      </c>
      <c r="H4">
        <v>0</v>
      </c>
      <c r="I4">
        <v>0.55921169677003491</v>
      </c>
      <c r="J4">
        <f>IF(H4="","",$P$6-'Script Table'!$E$15-'Script Table'!$E$19+H4)</f>
        <v>844.2190000000071</v>
      </c>
      <c r="K4" s="132">
        <f t="shared" ref="K4:K67" si="3">F4</f>
        <v>0</v>
      </c>
      <c r="L4" s="149">
        <v>4</v>
      </c>
      <c r="M4" s="132">
        <v>0</v>
      </c>
      <c r="N4" s="143">
        <v>179.98574110183671</v>
      </c>
      <c r="P4" s="547" t="s">
        <v>360</v>
      </c>
      <c r="Q4" s="548"/>
      <c r="R4" s="548"/>
      <c r="S4" s="548"/>
      <c r="T4" s="549"/>
      <c r="AA4" s="220" t="s">
        <v>498</v>
      </c>
      <c r="AB4" s="228">
        <v>6</v>
      </c>
      <c r="AC4" s="2">
        <f>IFERROR(VALUE(RIGHT(AA4,LEN(AA4)-MIN(FIND({0;1;2;3;4;5;6;7;8;9},AA4&amp;"0123456789"))+1)),"")</f>
        <v>741</v>
      </c>
      <c r="AD4" s="130">
        <v>3</v>
      </c>
      <c r="AE4">
        <f t="shared" si="0"/>
        <v>6</v>
      </c>
      <c r="AF4">
        <f t="shared" si="1"/>
        <v>1482</v>
      </c>
      <c r="AG4">
        <f t="shared" ref="AG4:AG51" si="4">IFERROR(IF(AF4=0,"",IF(AND(AE4=AE3,AF4=AF3),"",AE4)),"")</f>
        <v>6</v>
      </c>
      <c r="AH4">
        <f t="shared" si="2"/>
        <v>1482</v>
      </c>
      <c r="AI4">
        <f>IF(AG4="","",MAX($AI$2:AI3)+1)</f>
        <v>2</v>
      </c>
      <c r="AJ4" s="222">
        <v>3</v>
      </c>
      <c r="AK4" s="130" t="str">
        <f t="shared" ref="AK4:AK51" si="5">IF($Z$2="Peso","",IFERROR(INDEX(AG4:AI53,MATCH(AJ4,AI4:AI53,0),2),""))</f>
        <v/>
      </c>
      <c r="AL4" s="222" t="str">
        <f t="shared" ref="AL4:AL51" si="6">IF($Z$2="Peso","",IFERROR(INDEX(AG4:AI53,MATCH(AJ4,AI4:AI53,0),1),""))</f>
        <v/>
      </c>
    </row>
    <row r="5" spans="1:38" ht="12.95">
      <c r="B5" s="130">
        <v>4.0016717557251908</v>
      </c>
      <c r="C5">
        <v>24.649525680562185</v>
      </c>
      <c r="D5">
        <v>4.0016717557251908</v>
      </c>
      <c r="E5">
        <v>-1401.8213846921744</v>
      </c>
      <c r="F5">
        <v>4.0016717557251908</v>
      </c>
      <c r="G5">
        <v>838.03294530782546</v>
      </c>
      <c r="H5">
        <v>0.19934482758620689</v>
      </c>
      <c r="I5">
        <v>0.58470874547037965</v>
      </c>
      <c r="J5">
        <f>IF(H5="","",$P$6-'Script Table'!$E$15-'Script Table'!$E$19+H5)</f>
        <v>844.41834482759327</v>
      </c>
      <c r="K5" s="132">
        <f t="shared" si="3"/>
        <v>4.0016717557251908</v>
      </c>
      <c r="L5" s="132">
        <f>L4+1</f>
        <v>5</v>
      </c>
      <c r="M5" s="132">
        <v>2.0008358778625954</v>
      </c>
      <c r="N5" s="143">
        <v>179.98574110183668</v>
      </c>
      <c r="P5" s="136" t="s">
        <v>499</v>
      </c>
      <c r="Q5" s="133" t="s">
        <v>376</v>
      </c>
      <c r="R5" s="133" t="s">
        <v>361</v>
      </c>
      <c r="S5" s="162" t="s">
        <v>500</v>
      </c>
      <c r="T5" s="137" t="s">
        <v>471</v>
      </c>
      <c r="AA5" s="220" t="s">
        <v>498</v>
      </c>
      <c r="AB5" s="228">
        <v>6</v>
      </c>
      <c r="AC5" s="2">
        <f>IFERROR(VALUE(RIGHT(AA5,LEN(AA5)-MIN(FIND({0;1;2;3;4;5;6;7;8;9},AA5&amp;"0123456789"))+1)),"")</f>
        <v>741</v>
      </c>
      <c r="AD5" s="130">
        <v>4</v>
      </c>
      <c r="AE5">
        <f t="shared" si="0"/>
        <v>6</v>
      </c>
      <c r="AF5">
        <f t="shared" si="1"/>
        <v>1482</v>
      </c>
      <c r="AG5" t="str">
        <f t="shared" si="4"/>
        <v/>
      </c>
      <c r="AH5" t="str">
        <f t="shared" si="2"/>
        <v/>
      </c>
      <c r="AI5" t="str">
        <f>IF(AG5="","",MAX($AI$2:AI4)+1)</f>
        <v/>
      </c>
      <c r="AJ5" s="222">
        <v>4</v>
      </c>
      <c r="AK5" s="130" t="str">
        <f t="shared" si="5"/>
        <v/>
      </c>
      <c r="AL5" s="222" t="str">
        <f t="shared" si="6"/>
        <v/>
      </c>
    </row>
    <row r="6" spans="1:38" ht="12.95" thickBot="1">
      <c r="B6" s="130">
        <v>8.0033435114503817</v>
      </c>
      <c r="C6">
        <v>24.648523436309286</v>
      </c>
      <c r="D6">
        <v>8.0033435114503817</v>
      </c>
      <c r="E6">
        <v>-1405.8299713559663</v>
      </c>
      <c r="F6">
        <v>8.0033435114503817</v>
      </c>
      <c r="G6">
        <v>834.02435864403355</v>
      </c>
      <c r="H6">
        <v>0.39868965517241378</v>
      </c>
      <c r="I6">
        <v>0.61686720140551188</v>
      </c>
      <c r="J6">
        <f>IF(H6="","",$P$6-'Script Table'!$E$15-'Script Table'!$E$19+H6)</f>
        <v>844.61768965517956</v>
      </c>
      <c r="K6" s="132">
        <f t="shared" si="3"/>
        <v>8.0033435114503817</v>
      </c>
      <c r="L6" s="132">
        <f t="shared" ref="L6:L69" si="7">L5+1</f>
        <v>6</v>
      </c>
      <c r="M6" s="132">
        <v>6.0025076335877863</v>
      </c>
      <c r="N6" s="143">
        <v>179.98567466058438</v>
      </c>
      <c r="P6" s="140">
        <f>MAX(B4:B999)</f>
        <v>852.2190000000071</v>
      </c>
      <c r="Q6" s="141">
        <f>VLOOKUP(P6,B:C,2,FALSE)</f>
        <v>9.9526576534674316</v>
      </c>
      <c r="R6" s="141">
        <f>VLOOKUP(P6,D:E,2,FALSE)</f>
        <v>-2236.1900683441818</v>
      </c>
      <c r="S6" s="141">
        <f>VLOOKUP(P6,F:G,2,FALSE)</f>
        <v>3.5149316558181454</v>
      </c>
      <c r="T6" s="142">
        <f>VLOOKUP(P6,F:L,7,FALSE)</f>
        <v>585</v>
      </c>
      <c r="AA6" s="220"/>
      <c r="AB6" s="228"/>
      <c r="AC6" s="2" t="str">
        <f>IFERROR(VALUE(RIGHT(AA6,LEN(AA6)-MIN(FIND({0;1;2;3;4;5;6;7;8;9},AA6&amp;"0123456789"))+1)),"")</f>
        <v/>
      </c>
      <c r="AD6" s="130">
        <v>5</v>
      </c>
      <c r="AE6" t="e">
        <f t="shared" si="0"/>
        <v>#NUM!</v>
      </c>
      <c r="AF6">
        <f t="shared" si="1"/>
        <v>0</v>
      </c>
      <c r="AG6" t="str">
        <f t="shared" si="4"/>
        <v/>
      </c>
      <c r="AH6" t="str">
        <f t="shared" si="2"/>
        <v/>
      </c>
      <c r="AI6" t="str">
        <f>IF(AG6="","",MAX($AI$2:AI5)+1)</f>
        <v/>
      </c>
      <c r="AJ6" s="222">
        <v>5</v>
      </c>
      <c r="AK6" s="130" t="str">
        <f t="shared" si="5"/>
        <v/>
      </c>
      <c r="AL6" s="222" t="str">
        <f t="shared" si="6"/>
        <v/>
      </c>
    </row>
    <row r="7" spans="1:38" ht="12.95" thickBot="1">
      <c r="B7" s="130">
        <v>12.005015267175573</v>
      </c>
      <c r="C7">
        <v>24.647516383563694</v>
      </c>
      <c r="D7">
        <v>12.005015267175573</v>
      </c>
      <c r="E7">
        <v>-1409.8385249207458</v>
      </c>
      <c r="F7">
        <v>12.005015267175573</v>
      </c>
      <c r="G7">
        <v>830.01580507925405</v>
      </c>
      <c r="H7">
        <v>0.5980344827586207</v>
      </c>
      <c r="I7">
        <v>0.65523467306138627</v>
      </c>
      <c r="J7">
        <f>IF(H7="","",$P$6-'Script Table'!$E$15-'Script Table'!$E$19+H7)</f>
        <v>844.81703448276573</v>
      </c>
      <c r="K7" s="132">
        <f t="shared" si="3"/>
        <v>12.005015267175573</v>
      </c>
      <c r="L7" s="132">
        <f t="shared" si="7"/>
        <v>7</v>
      </c>
      <c r="M7" s="132">
        <v>10.004179389312977</v>
      </c>
      <c r="N7" s="143">
        <v>179.9856058126895</v>
      </c>
      <c r="AA7" s="220"/>
      <c r="AB7" s="146"/>
      <c r="AC7" s="2" t="str">
        <f>IFERROR(VALUE(RIGHT(AA7,LEN(AA7)-MIN(FIND({0;1;2;3;4;5;6;7;8;9},AA7&amp;"0123456789"))+1)),"")</f>
        <v/>
      </c>
      <c r="AD7" s="130">
        <v>6</v>
      </c>
      <c r="AE7" t="e">
        <f t="shared" si="0"/>
        <v>#NUM!</v>
      </c>
      <c r="AF7">
        <f t="shared" si="1"/>
        <v>0</v>
      </c>
      <c r="AG7" t="str">
        <f t="shared" si="4"/>
        <v/>
      </c>
      <c r="AH7" t="str">
        <f t="shared" si="2"/>
        <v/>
      </c>
      <c r="AI7" t="str">
        <f>IF(AG7="","",MAX($AI$2:AI6)+1)</f>
        <v/>
      </c>
      <c r="AJ7" s="222">
        <v>6</v>
      </c>
      <c r="AK7" s="130" t="str">
        <f t="shared" si="5"/>
        <v/>
      </c>
      <c r="AL7" s="222" t="str">
        <f t="shared" si="6"/>
        <v/>
      </c>
    </row>
    <row r="8" spans="1:38" ht="12.95">
      <c r="B8" s="130">
        <v>16.006687022900763</v>
      </c>
      <c r="C8">
        <v>24.646504472545029</v>
      </c>
      <c r="D8">
        <v>16.006687022900763</v>
      </c>
      <c r="E8">
        <v>-1413.847045386495</v>
      </c>
      <c r="F8">
        <v>16.006687022900763</v>
      </c>
      <c r="G8">
        <v>826.00728461350491</v>
      </c>
      <c r="H8">
        <v>0.79737931034482756</v>
      </c>
      <c r="I8">
        <v>0.6992617903692917</v>
      </c>
      <c r="J8">
        <f>IF(H8="","",$P$6-'Script Table'!$E$15-'Script Table'!$E$19+H8)</f>
        <v>845.01637931035191</v>
      </c>
      <c r="K8" s="132">
        <f t="shared" si="3"/>
        <v>16.006687022900763</v>
      </c>
      <c r="L8" s="132">
        <f t="shared" si="7"/>
        <v>8</v>
      </c>
      <c r="M8" s="132">
        <v>14.005851145038168</v>
      </c>
      <c r="N8" s="143">
        <v>179.9855362521219</v>
      </c>
      <c r="P8" s="547" t="s">
        <v>501</v>
      </c>
      <c r="Q8" s="548"/>
      <c r="R8" s="548"/>
      <c r="S8" s="548"/>
      <c r="T8" s="549"/>
      <c r="AA8" s="220"/>
      <c r="AB8" s="146"/>
      <c r="AC8" s="2" t="str">
        <f>IFERROR(VALUE(RIGHT(AA8,LEN(AA8)-MIN(FIND({0;1;2;3;4;5;6;7;8;9},AA8&amp;"0123456789"))+1)),"")</f>
        <v/>
      </c>
      <c r="AD8" s="130">
        <v>7</v>
      </c>
      <c r="AE8" t="e">
        <f t="shared" si="0"/>
        <v>#NUM!</v>
      </c>
      <c r="AF8">
        <f t="shared" si="1"/>
        <v>0</v>
      </c>
      <c r="AG8" t="str">
        <f t="shared" si="4"/>
        <v/>
      </c>
      <c r="AH8" t="str">
        <f t="shared" si="2"/>
        <v/>
      </c>
      <c r="AI8" t="str">
        <f>IF(AG8="","",MAX($AI$2:AI7)+1)</f>
        <v/>
      </c>
      <c r="AJ8" s="222">
        <v>7</v>
      </c>
      <c r="AK8" s="130" t="str">
        <f t="shared" si="5"/>
        <v/>
      </c>
      <c r="AL8" s="222" t="str">
        <f t="shared" si="6"/>
        <v/>
      </c>
    </row>
    <row r="9" spans="1:38" ht="12.95">
      <c r="B9" s="130">
        <v>20.008358778625954</v>
      </c>
      <c r="C9">
        <v>24.645487655979842</v>
      </c>
      <c r="D9">
        <v>20.008358778625954</v>
      </c>
      <c r="E9">
        <v>-1417.8555327531958</v>
      </c>
      <c r="F9">
        <v>20.008358778625954</v>
      </c>
      <c r="G9">
        <v>821.99879724680409</v>
      </c>
      <c r="H9">
        <v>0.99672413793103443</v>
      </c>
      <c r="I9">
        <v>0.74838244002421561</v>
      </c>
      <c r="J9">
        <f>IF(H9="","",$P$6-'Script Table'!$E$15-'Script Table'!$E$19+H9)</f>
        <v>845.21572413793808</v>
      </c>
      <c r="K9" s="132">
        <f t="shared" si="3"/>
        <v>20.008358778625954</v>
      </c>
      <c r="L9" s="132">
        <f t="shared" si="7"/>
        <v>9</v>
      </c>
      <c r="M9" s="132">
        <v>18.007522900763359</v>
      </c>
      <c r="N9" s="143">
        <v>179.98546601469707</v>
      </c>
      <c r="P9" s="136" t="s">
        <v>499</v>
      </c>
      <c r="Q9" s="133" t="s">
        <v>376</v>
      </c>
      <c r="R9" s="133" t="s">
        <v>361</v>
      </c>
      <c r="S9" s="162" t="s">
        <v>500</v>
      </c>
      <c r="T9" s="137" t="s">
        <v>471</v>
      </c>
      <c r="AA9" s="220"/>
      <c r="AB9" s="146"/>
      <c r="AC9" s="2" t="str">
        <f>IFERROR(VALUE(RIGHT(AA9,LEN(AA9)-MIN(FIND({0;1;2;3;4;5;6;7;8;9},AA9&amp;"0123456789"))+1)),"")</f>
        <v/>
      </c>
      <c r="AD9" s="130">
        <v>8</v>
      </c>
      <c r="AE9" t="e">
        <f t="shared" si="0"/>
        <v>#NUM!</v>
      </c>
      <c r="AF9">
        <f t="shared" si="1"/>
        <v>0</v>
      </c>
      <c r="AG9" t="str">
        <f t="shared" si="4"/>
        <v/>
      </c>
      <c r="AH9" t="str">
        <f t="shared" si="2"/>
        <v/>
      </c>
      <c r="AI9" t="str">
        <f>IF(AG9="","",MAX($AI$2:AI8)+1)</f>
        <v/>
      </c>
      <c r="AJ9" s="222">
        <v>8</v>
      </c>
      <c r="AK9" s="130" t="str">
        <f t="shared" si="5"/>
        <v/>
      </c>
      <c r="AL9" s="222" t="str">
        <f t="shared" si="6"/>
        <v/>
      </c>
    </row>
    <row r="10" spans="1:38" ht="12.95" thickBot="1">
      <c r="B10" s="130">
        <v>24.010030534351145</v>
      </c>
      <c r="C10">
        <v>24.644465885989359</v>
      </c>
      <c r="D10">
        <v>24.010030534351145</v>
      </c>
      <c r="E10">
        <v>-1421.8639870208303</v>
      </c>
      <c r="F10">
        <v>24.010030534351145</v>
      </c>
      <c r="G10">
        <v>817.99034297916955</v>
      </c>
      <c r="H10">
        <v>1.1960689655172414</v>
      </c>
      <c r="I10">
        <v>0.80193409181811148</v>
      </c>
      <c r="J10">
        <f>IF(H10="","",$P$6-'Script Table'!$E$15-'Script Table'!$E$19+H10)</f>
        <v>845.41506896552437</v>
      </c>
      <c r="K10" s="132">
        <f t="shared" si="3"/>
        <v>24.010030534351145</v>
      </c>
      <c r="L10" s="132">
        <f t="shared" si="7"/>
        <v>10</v>
      </c>
      <c r="M10" s="132">
        <v>22.00919465648855</v>
      </c>
      <c r="N10" s="143">
        <v>179.98539509174583</v>
      </c>
      <c r="P10" s="140">
        <f>IF($P$22&lt;$R$22,VLOOKUP(P22,G:K,5,FALSE),VLOOKUP(R22,I:J,2,FALSE))</f>
        <v>843.61900000000787</v>
      </c>
      <c r="Q10" s="140">
        <f ca="1">IF($P$22&lt;$R$22,VLOOKUP(P10,B:C,2,FALSE),TREND(INDIRECT("C"&amp;T10&amp;":C"&amp;T10+1),INDIRECT("B"&amp;T10&amp;":B"&amp;T10+1),P10))</f>
        <v>17.881151235340692</v>
      </c>
      <c r="R10" s="140">
        <f ca="1">IF($P$22&lt;$R$22,VLOOKUP(P10,D:E,2,FALSE),TREND(INDIRECT("E"&amp;T10&amp;":E"&amp;T10+1),INDIRECT("D"&amp;T10&amp;":D"&amp;T10+1),P10))</f>
        <v>-2239.30493511961</v>
      </c>
      <c r="S10" s="140">
        <f>IF(P22&lt;R22,P22,R22)</f>
        <v>0.54939488039008211</v>
      </c>
      <c r="T10" s="142">
        <f>IF(P22&lt;R22,MATCH(P10,B1:B2000,0),MATCH(P10,B1:B2000,1))</f>
        <v>552</v>
      </c>
      <c r="AA10" s="220"/>
      <c r="AB10" s="146"/>
      <c r="AC10" s="2" t="str">
        <f>IFERROR(VALUE(RIGHT(AA10,LEN(AA10)-MIN(FIND({0;1;2;3;4;5;6;7;8;9},AA10&amp;"0123456789"))+1)),"")</f>
        <v/>
      </c>
      <c r="AD10" s="130">
        <v>9</v>
      </c>
      <c r="AE10" t="e">
        <f t="shared" si="0"/>
        <v>#NUM!</v>
      </c>
      <c r="AF10">
        <f t="shared" si="1"/>
        <v>0</v>
      </c>
      <c r="AG10" t="str">
        <f t="shared" si="4"/>
        <v/>
      </c>
      <c r="AH10" t="str">
        <f t="shared" si="2"/>
        <v/>
      </c>
      <c r="AI10" t="str">
        <f>IF(AG10="","",MAX($AI$2:AI9)+1)</f>
        <v/>
      </c>
      <c r="AJ10" s="222">
        <v>9</v>
      </c>
      <c r="AK10" s="130" t="str">
        <f t="shared" si="5"/>
        <v/>
      </c>
      <c r="AL10" s="222" t="str">
        <f t="shared" si="6"/>
        <v/>
      </c>
    </row>
    <row r="11" spans="1:38" ht="12.95" thickBot="1">
      <c r="B11" s="130">
        <v>28.011702290076336</v>
      </c>
      <c r="C11">
        <v>24.643439113992791</v>
      </c>
      <c r="D11">
        <v>28.011702290076336</v>
      </c>
      <c r="E11">
        <v>-1425.8724081893793</v>
      </c>
      <c r="F11">
        <v>28.011702290076336</v>
      </c>
      <c r="G11">
        <v>813.98192181062063</v>
      </c>
      <c r="H11">
        <v>1.3954137931034483</v>
      </c>
      <c r="I11">
        <v>0.85918409843816335</v>
      </c>
      <c r="J11">
        <f>IF(H11="","",$P$6-'Script Table'!$E$15-'Script Table'!$E$19+H11)</f>
        <v>845.61441379311054</v>
      </c>
      <c r="K11" s="132">
        <f t="shared" si="3"/>
        <v>28.011702290076336</v>
      </c>
      <c r="L11" s="132">
        <f t="shared" si="7"/>
        <v>11</v>
      </c>
      <c r="M11" s="132">
        <v>26.010866412213741</v>
      </c>
      <c r="N11" s="143">
        <v>179.98532347321674</v>
      </c>
      <c r="AA11" s="220"/>
      <c r="AB11" s="146"/>
      <c r="AC11" s="2" t="str">
        <f>IFERROR(VALUE(RIGHT(AA11,LEN(AA11)-MIN(FIND({0;1;2;3;4;5;6;7;8;9},AA11&amp;"0123456789"))+1)),"")</f>
        <v/>
      </c>
      <c r="AD11" s="130">
        <v>10</v>
      </c>
      <c r="AE11" t="e">
        <f t="shared" si="0"/>
        <v>#NUM!</v>
      </c>
      <c r="AF11">
        <f t="shared" si="1"/>
        <v>0</v>
      </c>
      <c r="AG11" t="str">
        <f t="shared" si="4"/>
        <v/>
      </c>
      <c r="AH11" t="str">
        <f t="shared" si="2"/>
        <v/>
      </c>
      <c r="AI11" t="str">
        <f>IF(AG11="","",MAX($AI$2:AI10)+1)</f>
        <v/>
      </c>
      <c r="AJ11" s="222">
        <v>10</v>
      </c>
      <c r="AK11" s="130" t="str">
        <f t="shared" si="5"/>
        <v/>
      </c>
      <c r="AL11" s="222" t="str">
        <f t="shared" si="6"/>
        <v/>
      </c>
    </row>
    <row r="12" spans="1:38" ht="12.95">
      <c r="B12" s="130">
        <v>32.013374045801527</v>
      </c>
      <c r="C12">
        <v>24.642407290691221</v>
      </c>
      <c r="D12">
        <v>32.013374045801527</v>
      </c>
      <c r="E12">
        <v>-1429.8807962588246</v>
      </c>
      <c r="F12">
        <v>32.013374045801527</v>
      </c>
      <c r="G12">
        <v>809.97353374117529</v>
      </c>
      <c r="H12">
        <v>1.5947586206896551</v>
      </c>
      <c r="I12">
        <v>0.91936116571514503</v>
      </c>
      <c r="J12">
        <f>IF(H12="","",$P$6-'Script Table'!$E$15-'Script Table'!$E$19+H12)</f>
        <v>845.81375862069672</v>
      </c>
      <c r="K12" s="132">
        <f t="shared" si="3"/>
        <v>32.013374045801527</v>
      </c>
      <c r="L12" s="132">
        <f t="shared" si="7"/>
        <v>12</v>
      </c>
      <c r="M12" s="132">
        <v>30.012538167938931</v>
      </c>
      <c r="N12" s="143">
        <v>179.98525114882761</v>
      </c>
      <c r="P12" s="547" t="s">
        <v>502</v>
      </c>
      <c r="Q12" s="548"/>
      <c r="R12" s="548"/>
      <c r="S12" s="548"/>
      <c r="T12" s="549"/>
      <c r="AA12" s="220"/>
      <c r="AB12" s="146"/>
      <c r="AC12" s="2" t="str">
        <f>IFERROR(VALUE(RIGHT(AA12,LEN(AA12)-MIN(FIND({0;1;2;3;4;5;6;7;8;9},AA12&amp;"0123456789"))+1)),"")</f>
        <v/>
      </c>
      <c r="AD12" s="130">
        <v>11</v>
      </c>
      <c r="AE12" t="e">
        <f t="shared" si="0"/>
        <v>#NUM!</v>
      </c>
      <c r="AF12">
        <f t="shared" si="1"/>
        <v>0</v>
      </c>
      <c r="AG12" t="str">
        <f t="shared" si="4"/>
        <v/>
      </c>
      <c r="AH12" t="str">
        <f t="shared" si="2"/>
        <v/>
      </c>
      <c r="AI12" t="str">
        <f>IF(AG12="","",MAX($AI$2:AI11)+1)</f>
        <v/>
      </c>
      <c r="AJ12" s="222">
        <v>11</v>
      </c>
      <c r="AK12" s="130" t="str">
        <f t="shared" si="5"/>
        <v/>
      </c>
      <c r="AL12" s="222" t="str">
        <f t="shared" si="6"/>
        <v/>
      </c>
    </row>
    <row r="13" spans="1:38" ht="12.95">
      <c r="B13" s="130">
        <v>36.015045801526718</v>
      </c>
      <c r="C13">
        <v>24.64137036605327</v>
      </c>
      <c r="D13">
        <v>36.015045801526718</v>
      </c>
      <c r="E13">
        <v>-1433.8891512291466</v>
      </c>
      <c r="F13">
        <v>36.015045801526718</v>
      </c>
      <c r="G13">
        <v>805.9651787708533</v>
      </c>
      <c r="H13">
        <v>1.794103448275862</v>
      </c>
      <c r="I13">
        <v>0.98159295094865229</v>
      </c>
      <c r="J13">
        <f>IF(H13="","",$P$6-'Script Table'!$E$15-'Script Table'!$E$19+H13)</f>
        <v>846.013103448283</v>
      </c>
      <c r="K13" s="132">
        <f t="shared" si="3"/>
        <v>36.015045801526718</v>
      </c>
      <c r="L13" s="132">
        <f t="shared" si="7"/>
        <v>13</v>
      </c>
      <c r="M13" s="132">
        <v>34.014209923664126</v>
      </c>
      <c r="N13" s="143">
        <v>179.98517810809113</v>
      </c>
      <c r="P13" s="136" t="s">
        <v>499</v>
      </c>
      <c r="Q13" s="133" t="s">
        <v>376</v>
      </c>
      <c r="R13" s="133" t="s">
        <v>361</v>
      </c>
      <c r="S13" s="162" t="s">
        <v>500</v>
      </c>
      <c r="T13" s="137" t="s">
        <v>471</v>
      </c>
      <c r="AA13" s="220"/>
      <c r="AB13" s="146"/>
      <c r="AC13" s="2" t="str">
        <f>IFERROR(VALUE(RIGHT(AA13,LEN(AA13)-MIN(FIND({0;1;2;3;4;5;6;7;8;9},AA13&amp;"0123456789"))+1)),"")</f>
        <v/>
      </c>
      <c r="AD13" s="130">
        <v>12</v>
      </c>
      <c r="AE13" t="e">
        <f t="shared" si="0"/>
        <v>#NUM!</v>
      </c>
      <c r="AF13">
        <f t="shared" si="1"/>
        <v>0</v>
      </c>
      <c r="AG13" t="str">
        <f t="shared" si="4"/>
        <v/>
      </c>
      <c r="AH13" t="str">
        <f t="shared" si="2"/>
        <v/>
      </c>
      <c r="AI13" t="str">
        <f>IF(AG13="","",MAX($AI$2:AI12)+1)</f>
        <v/>
      </c>
      <c r="AJ13" s="222">
        <v>12</v>
      </c>
      <c r="AK13" s="130" t="str">
        <f t="shared" si="5"/>
        <v/>
      </c>
      <c r="AL13" s="222" t="str">
        <f t="shared" si="6"/>
        <v/>
      </c>
    </row>
    <row r="14" spans="1:38" ht="12.95" thickBot="1">
      <c r="B14" s="130">
        <v>40.016717557251908</v>
      </c>
      <c r="C14">
        <v>24.64032828930057</v>
      </c>
      <c r="D14">
        <v>40.016717557251908</v>
      </c>
      <c r="E14">
        <v>-1437.897473100325</v>
      </c>
      <c r="F14">
        <v>40.016717557251908</v>
      </c>
      <c r="G14">
        <v>801.9568568996749</v>
      </c>
      <c r="H14">
        <v>1.9934482758620689</v>
      </c>
      <c r="I14">
        <v>1.0449813177265241</v>
      </c>
      <c r="J14">
        <f>IF(H14="","",$P$6-'Script Table'!$E$15-'Script Table'!$E$19+H14)</f>
        <v>846.21244827586918</v>
      </c>
      <c r="K14" s="132">
        <f t="shared" si="3"/>
        <v>40.016717557251908</v>
      </c>
      <c r="L14" s="132">
        <f t="shared" si="7"/>
        <v>14</v>
      </c>
      <c r="M14" s="132">
        <v>38.01588167938931</v>
      </c>
      <c r="N14" s="143">
        <v>179.98510434031195</v>
      </c>
      <c r="P14" s="140">
        <f ca="1">TREND((INDIRECT("D"&amp;T14&amp;":D"&amp;T14+1)),INDIRECT("E"&amp;T14&amp;":E"&amp;(T14+1)),R14)</f>
        <v>837.80325363985366</v>
      </c>
      <c r="Q14" s="152">
        <f ca="1">TREND((INDIRECT("C"&amp;T14&amp;":C"&amp;T14+1)),INDIRECT("E"&amp;T14&amp;":E"&amp;(T14+1)),R14)</f>
        <v>22.409243194613737</v>
      </c>
      <c r="R14" s="141">
        <f>R6</f>
        <v>-2236.1900683441818</v>
      </c>
      <c r="S14" s="152">
        <f ca="1">TREND(INDIRECT("G"&amp;T14&amp;":G"&amp;(T14+1)),INDIRECT("F"&amp;T14&amp;":F"&amp;(T14+1)),P14)</f>
        <v>3.6642616558183363</v>
      </c>
      <c r="T14" s="142">
        <f ca="1">MATCH(R14,INDIRECT("E1:E"&amp;T10),-1)</f>
        <v>522</v>
      </c>
      <c r="AA14" s="220"/>
      <c r="AB14" s="146"/>
      <c r="AC14" s="2" t="str">
        <f>IFERROR(VALUE(RIGHT(AA14,LEN(AA14)-MIN(FIND({0;1;2;3;4;5;6;7;8;9},AA14&amp;"0123456789"))+1)),"")</f>
        <v/>
      </c>
      <c r="AD14" s="130">
        <v>13</v>
      </c>
      <c r="AE14" t="e">
        <f t="shared" si="0"/>
        <v>#NUM!</v>
      </c>
      <c r="AF14">
        <f t="shared" si="1"/>
        <v>0</v>
      </c>
      <c r="AG14" t="str">
        <f t="shared" si="4"/>
        <v/>
      </c>
      <c r="AH14" t="str">
        <f t="shared" si="2"/>
        <v/>
      </c>
      <c r="AI14" t="str">
        <f>IF(AG14="","",MAX($AI$2:AI13)+1)</f>
        <v/>
      </c>
      <c r="AJ14" s="222">
        <v>13</v>
      </c>
      <c r="AK14" s="130" t="str">
        <f t="shared" si="5"/>
        <v/>
      </c>
      <c r="AL14" s="222" t="str">
        <f t="shared" si="6"/>
        <v/>
      </c>
    </row>
    <row r="15" spans="1:38" ht="12.95" thickBot="1">
      <c r="B15" s="130">
        <v>44.018389312977099</v>
      </c>
      <c r="C15">
        <v>24.639281008892748</v>
      </c>
      <c r="D15">
        <v>44.018389312977099</v>
      </c>
      <c r="E15">
        <v>-1441.9057618723405</v>
      </c>
      <c r="F15">
        <v>44.018389312977099</v>
      </c>
      <c r="G15">
        <v>797.94856812765943</v>
      </c>
      <c r="H15">
        <v>2.1927931034482757</v>
      </c>
      <c r="I15">
        <v>1.1085613001910133</v>
      </c>
      <c r="J15">
        <f>IF(H15="","",$P$6-'Script Table'!$E$15-'Script Table'!$E$19+H15)</f>
        <v>846.41179310345535</v>
      </c>
      <c r="K15" s="132">
        <f t="shared" si="3"/>
        <v>44.018389312977099</v>
      </c>
      <c r="L15" s="132">
        <f t="shared" si="7"/>
        <v>15</v>
      </c>
      <c r="M15" s="132">
        <v>42.017553435114507</v>
      </c>
      <c r="N15" s="143">
        <v>179.98502983457971</v>
      </c>
      <c r="AA15" s="220"/>
      <c r="AB15" s="146"/>
      <c r="AC15" s="2" t="str">
        <f>IFERROR(VALUE(RIGHT(AA15,LEN(AA15)-MIN(FIND({0;1;2;3;4;5;6;7;8;9},AA15&amp;"0123456789"))+1)),"")</f>
        <v/>
      </c>
      <c r="AD15" s="130">
        <v>14</v>
      </c>
      <c r="AE15" t="e">
        <f t="shared" si="0"/>
        <v>#NUM!</v>
      </c>
      <c r="AF15">
        <f t="shared" si="1"/>
        <v>0</v>
      </c>
      <c r="AG15" t="str">
        <f t="shared" si="4"/>
        <v/>
      </c>
      <c r="AH15" t="str">
        <f t="shared" si="2"/>
        <v/>
      </c>
      <c r="AI15" t="str">
        <f>IF(AG15="","",MAX($AI$2:AI14)+1)</f>
        <v/>
      </c>
      <c r="AJ15" s="222">
        <v>14</v>
      </c>
      <c r="AK15" s="130" t="str">
        <f t="shared" si="5"/>
        <v/>
      </c>
      <c r="AL15" s="222" t="str">
        <f t="shared" si="6"/>
        <v/>
      </c>
    </row>
    <row r="16" spans="1:38" ht="12.95">
      <c r="B16" s="130">
        <v>48.02006106870229</v>
      </c>
      <c r="C16">
        <v>24.638228472512193</v>
      </c>
      <c r="D16">
        <v>48.02006106870229</v>
      </c>
      <c r="E16">
        <v>-1445.9140175451726</v>
      </c>
      <c r="F16">
        <v>48.02006106870229</v>
      </c>
      <c r="G16">
        <v>793.94031245482734</v>
      </c>
      <c r="H16">
        <v>2.3921379310344828</v>
      </c>
      <c r="I16">
        <v>1.1728596842995103</v>
      </c>
      <c r="J16">
        <f>IF(H16="","",$P$6-'Script Table'!$E$15-'Script Table'!$E$19+H16)</f>
        <v>846.61113793104153</v>
      </c>
      <c r="K16" s="132">
        <f t="shared" si="3"/>
        <v>48.02006106870229</v>
      </c>
      <c r="L16" s="132">
        <f t="shared" si="7"/>
        <v>16</v>
      </c>
      <c r="M16" s="132">
        <v>46.019225190839691</v>
      </c>
      <c r="N16" s="143">
        <v>179.98495457976585</v>
      </c>
      <c r="P16" s="547" t="s">
        <v>503</v>
      </c>
      <c r="Q16" s="548"/>
      <c r="R16" s="548"/>
      <c r="S16" s="548"/>
      <c r="T16" s="549"/>
      <c r="AA16" s="220"/>
      <c r="AB16" s="146"/>
      <c r="AC16" s="2" t="str">
        <f>IFERROR(VALUE(RIGHT(AA16,LEN(AA16)-MIN(FIND({0;1;2;3;4;5;6;7;8;9},AA16&amp;"0123456789"))+1)),"")</f>
        <v/>
      </c>
      <c r="AD16" s="130">
        <v>15</v>
      </c>
      <c r="AE16" t="e">
        <f t="shared" si="0"/>
        <v>#NUM!</v>
      </c>
      <c r="AF16">
        <f t="shared" si="1"/>
        <v>0</v>
      </c>
      <c r="AG16" t="str">
        <f t="shared" si="4"/>
        <v/>
      </c>
      <c r="AH16" t="str">
        <f t="shared" si="2"/>
        <v/>
      </c>
      <c r="AI16" t="str">
        <f>IF(AG16="","",MAX($AI$2:AI15)+1)</f>
        <v/>
      </c>
      <c r="AJ16" s="222">
        <v>15</v>
      </c>
      <c r="AK16" s="130" t="str">
        <f t="shared" si="5"/>
        <v/>
      </c>
      <c r="AL16" s="222" t="str">
        <f t="shared" si="6"/>
        <v/>
      </c>
    </row>
    <row r="17" spans="2:38" ht="12.95">
      <c r="B17" s="130">
        <v>52.021732824427481</v>
      </c>
      <c r="C17">
        <v>24.637170627048274</v>
      </c>
      <c r="D17">
        <v>52.021732824427481</v>
      </c>
      <c r="E17">
        <v>-1449.9222401187997</v>
      </c>
      <c r="F17">
        <v>52.021732824427481</v>
      </c>
      <c r="G17">
        <v>789.93208988120023</v>
      </c>
      <c r="H17">
        <v>2.5914827586206899</v>
      </c>
      <c r="I17">
        <v>1.2383173869543498</v>
      </c>
      <c r="J17">
        <f>IF(H17="","",$P$6-'Script Table'!$E$15-'Script Table'!$E$19+H17)</f>
        <v>846.81048275862781</v>
      </c>
      <c r="K17" s="132">
        <f t="shared" si="3"/>
        <v>52.021732824427481</v>
      </c>
      <c r="L17" s="132">
        <f t="shared" si="7"/>
        <v>17</v>
      </c>
      <c r="M17" s="132">
        <v>50.020896946564889</v>
      </c>
      <c r="N17" s="143">
        <v>179.98487856451607</v>
      </c>
      <c r="P17" s="136" t="s">
        <v>499</v>
      </c>
      <c r="Q17" s="133" t="s">
        <v>376</v>
      </c>
      <c r="R17" s="133" t="s">
        <v>361</v>
      </c>
      <c r="S17" s="162" t="s">
        <v>500</v>
      </c>
      <c r="T17" s="137" t="s">
        <v>471</v>
      </c>
      <c r="AA17" s="220"/>
      <c r="AB17" s="146"/>
      <c r="AC17" s="2" t="str">
        <f>IFERROR(VALUE(RIGHT(AA17,LEN(AA17)-MIN(FIND({0;1;2;3;4;5;6;7;8;9},AA17&amp;"0123456789"))+1)),"")</f>
        <v/>
      </c>
      <c r="AD17" s="130">
        <v>16</v>
      </c>
      <c r="AE17" t="e">
        <f t="shared" si="0"/>
        <v>#NUM!</v>
      </c>
      <c r="AF17">
        <f t="shared" si="1"/>
        <v>0</v>
      </c>
      <c r="AG17" t="str">
        <f t="shared" si="4"/>
        <v/>
      </c>
      <c r="AH17" t="str">
        <f t="shared" si="2"/>
        <v/>
      </c>
      <c r="AI17" t="str">
        <f>IF(AG17="","",MAX($AI$2:AI16)+1)</f>
        <v/>
      </c>
      <c r="AJ17" s="222">
        <v>16</v>
      </c>
      <c r="AK17" s="130" t="str">
        <f t="shared" si="5"/>
        <v/>
      </c>
      <c r="AL17" s="222" t="str">
        <f t="shared" si="6"/>
        <v/>
      </c>
    </row>
    <row r="18" spans="2:38" ht="12.95" thickBot="1">
      <c r="B18" s="130">
        <v>56.023404580152672</v>
      </c>
      <c r="C18">
        <v>24.636107418581254</v>
      </c>
      <c r="D18">
        <v>56.023404580152672</v>
      </c>
      <c r="E18">
        <v>-1453.9304295932006</v>
      </c>
      <c r="F18">
        <v>56.023404580152672</v>
      </c>
      <c r="G18">
        <v>785.92390040679925</v>
      </c>
      <c r="H18">
        <v>2.790827586206897</v>
      </c>
      <c r="I18">
        <v>1.3053128207670852</v>
      </c>
      <c r="J18">
        <f>IF(H18="","",$P$6-'Script Table'!$E$15-'Script Table'!$E$19+H18)</f>
        <v>847.00982758621399</v>
      </c>
      <c r="K18" s="132">
        <f t="shared" si="3"/>
        <v>56.023404580152672</v>
      </c>
      <c r="L18" s="132">
        <f t="shared" si="7"/>
        <v>18</v>
      </c>
      <c r="M18" s="132">
        <v>54.022568702290073</v>
      </c>
      <c r="N18" s="143">
        <v>179.98480177724554</v>
      </c>
      <c r="P18" s="140">
        <f ca="1">TREND((INDIRECT("D"&amp;T18&amp;":D"&amp;T18+1)),INDIRECT("E"&amp;T18&amp;":E"&amp;(T18+1)),R18)</f>
        <v>834.69830908578979</v>
      </c>
      <c r="Q18" s="152">
        <f ca="1">TREND((INDIRECT("C"&amp;T18&amp;":C"&amp;T18+1)),INDIRECT("E"&amp;T18&amp;":E"&amp;(T18+1)),R18)</f>
        <v>23.281992226493969</v>
      </c>
      <c r="R18" s="153">
        <f ca="1">R14+Q25</f>
        <v>-2233.2208715687534</v>
      </c>
      <c r="S18" s="153">
        <f ca="1">TREND(INDIRECT("G"&amp;T18&amp;":G"&amp;(T18+1)),INDIRECT("F"&amp;T18&amp;":F"&amp;(T18+1)),P18)</f>
        <v>6.6334584312468223</v>
      </c>
      <c r="T18" s="142">
        <f ca="1">MATCH(R18,INDIRECT("E1:E"&amp;T14),-1)</f>
        <v>507</v>
      </c>
      <c r="AA18" s="220"/>
      <c r="AB18" s="146"/>
      <c r="AC18" s="2" t="str">
        <f>IFERROR(VALUE(RIGHT(AA18,LEN(AA18)-MIN(FIND({0;1;2;3;4;5;6;7;8;9},AA18&amp;"0123456789"))+1)),"")</f>
        <v/>
      </c>
      <c r="AD18" s="130">
        <v>17</v>
      </c>
      <c r="AE18" t="e">
        <f t="shared" si="0"/>
        <v>#NUM!</v>
      </c>
      <c r="AF18">
        <f t="shared" si="1"/>
        <v>0</v>
      </c>
      <c r="AG18" t="str">
        <f t="shared" si="4"/>
        <v/>
      </c>
      <c r="AH18" t="str">
        <f t="shared" si="2"/>
        <v/>
      </c>
      <c r="AI18" t="str">
        <f>IF(AG18="","",MAX($AI$2:AI17)+1)</f>
        <v/>
      </c>
      <c r="AJ18" s="222">
        <v>17</v>
      </c>
      <c r="AK18" s="130" t="str">
        <f t="shared" si="5"/>
        <v/>
      </c>
      <c r="AL18" s="222" t="str">
        <f t="shared" si="6"/>
        <v/>
      </c>
    </row>
    <row r="19" spans="2:38" ht="12.95" thickBot="1">
      <c r="B19" s="130">
        <v>60.025076335877863</v>
      </c>
      <c r="C19">
        <v>24.635038792365783</v>
      </c>
      <c r="D19">
        <v>60.025076335877863</v>
      </c>
      <c r="E19">
        <v>-1457.9385859683543</v>
      </c>
      <c r="F19">
        <v>60.025076335877863</v>
      </c>
      <c r="G19">
        <v>781.91574403164554</v>
      </c>
      <c r="H19">
        <v>2.9901724137931041</v>
      </c>
      <c r="I19">
        <v>1.3741372992731158</v>
      </c>
      <c r="J19">
        <f>IF(H19="","",$P$6-'Script Table'!$E$15-'Script Table'!$E$19+H19)</f>
        <v>847.20917241380016</v>
      </c>
      <c r="K19" s="132">
        <f t="shared" si="3"/>
        <v>60.025076335877863</v>
      </c>
      <c r="L19" s="132">
        <f t="shared" si="7"/>
        <v>19</v>
      </c>
      <c r="M19" s="132">
        <v>58.024240458015271</v>
      </c>
      <c r="N19" s="143">
        <v>179.98472420613319</v>
      </c>
      <c r="AA19" s="220"/>
      <c r="AB19" s="146"/>
      <c r="AC19" s="2" t="str">
        <f>IFERROR(VALUE(RIGHT(AA19,LEN(AA19)-MIN(FIND({0;1;2;3;4;5;6;7;8;9},AA19&amp;"0123456789"))+1)),"")</f>
        <v/>
      </c>
      <c r="AD19" s="130">
        <v>18</v>
      </c>
      <c r="AE19" t="e">
        <f t="shared" si="0"/>
        <v>#NUM!</v>
      </c>
      <c r="AF19">
        <f t="shared" si="1"/>
        <v>0</v>
      </c>
      <c r="AG19" t="str">
        <f t="shared" si="4"/>
        <v/>
      </c>
      <c r="AH19" t="str">
        <f t="shared" si="2"/>
        <v/>
      </c>
      <c r="AI19" t="str">
        <f>IF(AG19="","",MAX($AI$2:AI18)+1)</f>
        <v/>
      </c>
      <c r="AJ19" s="222">
        <v>18</v>
      </c>
      <c r="AK19" s="130" t="str">
        <f t="shared" si="5"/>
        <v/>
      </c>
      <c r="AL19" s="222" t="str">
        <f t="shared" si="6"/>
        <v/>
      </c>
    </row>
    <row r="20" spans="2:38" ht="12.95">
      <c r="B20" s="130">
        <v>64.026748091603054</v>
      </c>
      <c r="C20">
        <v>24.633964692813951</v>
      </c>
      <c r="D20">
        <v>64.026748091603054</v>
      </c>
      <c r="E20">
        <v>-1461.9467092442378</v>
      </c>
      <c r="F20">
        <v>64.026748091603054</v>
      </c>
      <c r="G20">
        <v>777.90762075576208</v>
      </c>
      <c r="H20">
        <v>3.1895172413793111</v>
      </c>
      <c r="I20">
        <v>1.4449987063321714</v>
      </c>
      <c r="J20">
        <f>IF(H20="","",$P$6-'Script Table'!$E$15-'Script Table'!$E$19+H20)</f>
        <v>847.40851724138645</v>
      </c>
      <c r="K20" s="132">
        <f t="shared" si="3"/>
        <v>64.026748091603054</v>
      </c>
      <c r="L20" s="132">
        <f t="shared" si="7"/>
        <v>20</v>
      </c>
      <c r="M20" s="132">
        <v>62.025912213740455</v>
      </c>
      <c r="N20" s="143">
        <v>179.98464583911527</v>
      </c>
      <c r="P20" s="538" t="s">
        <v>471</v>
      </c>
      <c r="Q20" s="540"/>
      <c r="R20" s="547" t="s">
        <v>253</v>
      </c>
      <c r="S20" s="550"/>
      <c r="AA20" s="220"/>
      <c r="AB20" s="146"/>
      <c r="AC20" s="2" t="str">
        <f>IFERROR(VALUE(RIGHT(AA20,LEN(AA20)-MIN(FIND({0;1;2;3;4;5;6;7;8;9},AA20&amp;"0123456789"))+1)),"")</f>
        <v/>
      </c>
      <c r="AD20" s="130">
        <v>19</v>
      </c>
      <c r="AE20" t="e">
        <f t="shared" si="0"/>
        <v>#NUM!</v>
      </c>
      <c r="AF20">
        <f t="shared" si="1"/>
        <v>0</v>
      </c>
      <c r="AG20" t="str">
        <f t="shared" si="4"/>
        <v/>
      </c>
      <c r="AH20" t="str">
        <f t="shared" si="2"/>
        <v/>
      </c>
      <c r="AI20" t="str">
        <f>IF(AG20="","",MAX($AI$2:AI19)+1)</f>
        <v/>
      </c>
      <c r="AJ20" s="222">
        <v>19</v>
      </c>
      <c r="AK20" s="130" t="str">
        <f t="shared" si="5"/>
        <v/>
      </c>
      <c r="AL20" s="222" t="str">
        <f t="shared" si="6"/>
        <v/>
      </c>
    </row>
    <row r="21" spans="2:38" ht="12.95">
      <c r="B21" s="130">
        <v>68.028419847328252</v>
      </c>
      <c r="C21">
        <v>24.632885063477893</v>
      </c>
      <c r="D21">
        <v>68.028419847328252</v>
      </c>
      <c r="E21">
        <v>-1465.9547994208285</v>
      </c>
      <c r="F21">
        <v>68.028419847328252</v>
      </c>
      <c r="G21">
        <v>773.89953057917137</v>
      </c>
      <c r="H21">
        <v>3.3888620689655182</v>
      </c>
      <c r="I21">
        <v>1.5180358188786158</v>
      </c>
      <c r="J21">
        <f>IF(H21="","",$P$6-'Script Table'!$E$15-'Script Table'!$E$19+H21)</f>
        <v>847.60786206897262</v>
      </c>
      <c r="K21" s="132">
        <f t="shared" si="3"/>
        <v>68.028419847328252</v>
      </c>
      <c r="L21" s="132">
        <f t="shared" si="7"/>
        <v>21</v>
      </c>
      <c r="M21" s="132">
        <v>66.027583969465653</v>
      </c>
      <c r="N21" s="143">
        <v>179.98456666387901</v>
      </c>
      <c r="P21" s="136" t="s">
        <v>500</v>
      </c>
      <c r="Q21" s="162" t="s">
        <v>504</v>
      </c>
      <c r="R21" s="136" t="s">
        <v>500</v>
      </c>
      <c r="S21" s="133" t="s">
        <v>504</v>
      </c>
      <c r="AA21" s="220"/>
      <c r="AB21" s="146"/>
      <c r="AC21" s="2" t="str">
        <f>IFERROR(VALUE(RIGHT(AA21,LEN(AA21)-MIN(FIND({0;1;2;3;4;5;6;7;8;9},AA21&amp;"0123456789"))+1)),"")</f>
        <v/>
      </c>
      <c r="AD21" s="130">
        <v>20</v>
      </c>
      <c r="AE21" t="e">
        <f t="shared" si="0"/>
        <v>#NUM!</v>
      </c>
      <c r="AF21">
        <f t="shared" si="1"/>
        <v>0</v>
      </c>
      <c r="AG21" t="str">
        <f t="shared" si="4"/>
        <v/>
      </c>
      <c r="AH21" t="str">
        <f t="shared" si="2"/>
        <v/>
      </c>
      <c r="AI21" t="str">
        <f>IF(AG21="","",MAX($AI$2:AI20)+1)</f>
        <v/>
      </c>
      <c r="AJ21" s="222">
        <v>20</v>
      </c>
      <c r="AK21" s="130" t="str">
        <f t="shared" si="5"/>
        <v/>
      </c>
      <c r="AL21" s="222" t="str">
        <f t="shared" si="6"/>
        <v/>
      </c>
    </row>
    <row r="22" spans="2:38" ht="12.95" thickBot="1">
      <c r="B22" s="130">
        <v>72.030091603053449</v>
      </c>
      <c r="C22">
        <v>24.631799847031978</v>
      </c>
      <c r="D22">
        <v>72.030091603053449</v>
      </c>
      <c r="E22">
        <v>-1469.9628564981037</v>
      </c>
      <c r="F22">
        <v>72.030091603053449</v>
      </c>
      <c r="G22">
        <v>769.89147350189614</v>
      </c>
      <c r="H22">
        <v>3.5882068965517253</v>
      </c>
      <c r="I22">
        <v>1.593318377434116</v>
      </c>
      <c r="J22">
        <f>IF(H22="","",$P$6-'Script Table'!$E$15-'Script Table'!$E$19+H22)</f>
        <v>847.8072068965588</v>
      </c>
      <c r="K22" s="132">
        <f t="shared" si="3"/>
        <v>72.030091603053449</v>
      </c>
      <c r="L22" s="132">
        <f t="shared" si="7"/>
        <v>22</v>
      </c>
      <c r="M22" s="132">
        <v>70.029255725190851</v>
      </c>
      <c r="N22" s="143">
        <v>179.98448666785657</v>
      </c>
      <c r="P22" s="140">
        <f>Results!B16</f>
        <v>0.54939488039008211</v>
      </c>
      <c r="Q22" s="153">
        <f>'Script Table'!E11</f>
        <v>0.29133999999999999</v>
      </c>
      <c r="R22" s="140">
        <f>Results!B17</f>
        <v>0.55921169677003491</v>
      </c>
      <c r="S22" s="141">
        <f>'Script Table'!E34</f>
        <v>0.33800000000000002</v>
      </c>
      <c r="AA22" s="220"/>
      <c r="AB22" s="146"/>
      <c r="AC22" s="2" t="str">
        <f>IFERROR(VALUE(RIGHT(AA22,LEN(AA22)-MIN(FIND({0;1;2;3;4;5;6;7;8;9},AA22&amp;"0123456789"))+1)),"")</f>
        <v/>
      </c>
      <c r="AD22" s="130">
        <v>21</v>
      </c>
      <c r="AE22" t="e">
        <f t="shared" si="0"/>
        <v>#NUM!</v>
      </c>
      <c r="AF22">
        <f t="shared" si="1"/>
        <v>0</v>
      </c>
      <c r="AG22" t="str">
        <f t="shared" si="4"/>
        <v/>
      </c>
      <c r="AH22" t="str">
        <f t="shared" si="2"/>
        <v/>
      </c>
      <c r="AI22" t="str">
        <f>IF(AG22="","",MAX($AI$2:AI21)+1)</f>
        <v/>
      </c>
      <c r="AJ22" s="222">
        <v>21</v>
      </c>
      <c r="AK22" s="130" t="str">
        <f t="shared" si="5"/>
        <v/>
      </c>
      <c r="AL22" s="222" t="str">
        <f t="shared" si="6"/>
        <v/>
      </c>
    </row>
    <row r="23" spans="2:38" ht="12.95" thickBot="1">
      <c r="B23" s="130">
        <v>76.031763358778647</v>
      </c>
      <c r="C23">
        <v>24.630708985254508</v>
      </c>
      <c r="D23">
        <v>76.031763358778647</v>
      </c>
      <c r="E23">
        <v>-1473.9708804760392</v>
      </c>
      <c r="F23">
        <v>76.031763358778647</v>
      </c>
      <c r="G23">
        <v>765.88344952396073</v>
      </c>
      <c r="H23">
        <v>3.7875517241379324</v>
      </c>
      <c r="I23">
        <v>1.6708423683921865</v>
      </c>
      <c r="J23">
        <f>IF(H23="","",$P$6-'Script Table'!$E$15-'Script Table'!$E$19+H23)</f>
        <v>848.00655172414508</v>
      </c>
      <c r="K23" s="132">
        <f t="shared" si="3"/>
        <v>76.031763358778647</v>
      </c>
      <c r="L23" s="132">
        <f t="shared" si="7"/>
        <v>23</v>
      </c>
      <c r="M23" s="132">
        <v>74.030927480916048</v>
      </c>
      <c r="N23" s="143">
        <v>179.98440583821804</v>
      </c>
      <c r="AA23" s="220"/>
      <c r="AB23" s="146"/>
      <c r="AC23" s="2" t="str">
        <f>IFERROR(VALUE(RIGHT(AA23,LEN(AA23)-MIN(FIND({0;1;2;3;4;5;6;7;8;9},AA23&amp;"0123456789"))+1)),"")</f>
        <v/>
      </c>
      <c r="AD23" s="130">
        <v>22</v>
      </c>
      <c r="AE23" t="e">
        <f t="shared" si="0"/>
        <v>#NUM!</v>
      </c>
      <c r="AF23">
        <f t="shared" si="1"/>
        <v>0</v>
      </c>
      <c r="AG23" t="str">
        <f t="shared" si="4"/>
        <v/>
      </c>
      <c r="AH23" t="str">
        <f t="shared" si="2"/>
        <v/>
      </c>
      <c r="AI23" t="str">
        <f>IF(AG23="","",MAX($AI$2:AI22)+1)</f>
        <v/>
      </c>
      <c r="AJ23" s="222">
        <v>22</v>
      </c>
      <c r="AK23" s="130" t="str">
        <f t="shared" si="5"/>
        <v/>
      </c>
      <c r="AL23" s="222" t="str">
        <f t="shared" si="6"/>
        <v/>
      </c>
    </row>
    <row r="24" spans="2:38" ht="13.5" thickBot="1">
      <c r="B24" s="130">
        <v>80.033435114503845</v>
      </c>
      <c r="C24">
        <v>24.62961241900895</v>
      </c>
      <c r="D24">
        <v>80.033435114503845</v>
      </c>
      <c r="E24">
        <v>-1477.9788713546113</v>
      </c>
      <c r="F24">
        <v>80.033435114503845</v>
      </c>
      <c r="G24">
        <v>761.87545864538856</v>
      </c>
      <c r="H24">
        <v>3.9868965517241395</v>
      </c>
      <c r="I24">
        <v>1.7505316057759046</v>
      </c>
      <c r="J24">
        <f>IF(H24="","",$P$6-'Script Table'!$E$15-'Script Table'!$E$19+H24)</f>
        <v>848.20589655173126</v>
      </c>
      <c r="K24" s="132">
        <f t="shared" si="3"/>
        <v>80.033435114503845</v>
      </c>
      <c r="L24" s="132">
        <f t="shared" si="7"/>
        <v>24</v>
      </c>
      <c r="M24" s="132">
        <v>78.032599236641246</v>
      </c>
      <c r="N24" s="143">
        <v>179.98432416186495</v>
      </c>
      <c r="P24" s="147" t="s">
        <v>505</v>
      </c>
      <c r="Q24" s="145">
        <f>Results!C19</f>
        <v>3.8099316558182181</v>
      </c>
      <c r="AA24" s="220"/>
      <c r="AB24" s="146"/>
      <c r="AC24" s="2" t="str">
        <f>IFERROR(VALUE(RIGHT(AA24,LEN(AA24)-MIN(FIND({0;1;2;3;4;5;6;7;8;9},AA24&amp;"0123456789"))+1)),"")</f>
        <v/>
      </c>
      <c r="AD24" s="130">
        <v>23</v>
      </c>
      <c r="AE24" t="e">
        <f t="shared" si="0"/>
        <v>#NUM!</v>
      </c>
      <c r="AF24">
        <f t="shared" si="1"/>
        <v>0</v>
      </c>
      <c r="AG24" t="str">
        <f t="shared" si="4"/>
        <v/>
      </c>
      <c r="AH24" t="str">
        <f t="shared" si="2"/>
        <v/>
      </c>
      <c r="AI24" t="str">
        <f>IF(AG24="","",MAX($AI$2:AI23)+1)</f>
        <v/>
      </c>
      <c r="AJ24" s="222">
        <v>23</v>
      </c>
      <c r="AK24" s="130" t="str">
        <f t="shared" si="5"/>
        <v/>
      </c>
      <c r="AL24" s="222" t="str">
        <f t="shared" si="6"/>
        <v/>
      </c>
    </row>
    <row r="25" spans="2:38" ht="13.5" thickBot="1">
      <c r="B25" s="130">
        <v>84.035106870229043</v>
      </c>
      <c r="C25">
        <v>24.628510088224644</v>
      </c>
      <c r="D25">
        <v>84.035106870229043</v>
      </c>
      <c r="E25">
        <v>-1481.9868291337953</v>
      </c>
      <c r="F25">
        <v>84.035106870229043</v>
      </c>
      <c r="G25">
        <v>757.86750086620464</v>
      </c>
      <c r="H25">
        <v>4.1862413793103466</v>
      </c>
      <c r="I25">
        <v>1.8322461393695448</v>
      </c>
      <c r="J25">
        <f>IF(H25="","",$P$6-'Script Table'!$E$15-'Script Table'!$E$19+H25)</f>
        <v>848.40524137931743</v>
      </c>
      <c r="K25" s="132">
        <f t="shared" si="3"/>
        <v>84.035106870229043</v>
      </c>
      <c r="L25" s="132">
        <f t="shared" si="7"/>
        <v>25</v>
      </c>
      <c r="M25" s="132">
        <v>82.034270992366444</v>
      </c>
      <c r="N25" s="143">
        <v>179.98424162542241</v>
      </c>
      <c r="P25" s="148" t="s">
        <v>506</v>
      </c>
      <c r="Q25" s="146">
        <f ca="1">R6-R10-IF(P22&lt;R22,Q22/2,S22/2)</f>
        <v>2.9691967754282542</v>
      </c>
      <c r="T25" s="2"/>
      <c r="AA25" s="220"/>
      <c r="AB25" s="146"/>
      <c r="AC25" s="2" t="str">
        <f>IFERROR(VALUE(RIGHT(AA25,LEN(AA25)-MIN(FIND({0;1;2;3;4;5;6;7;8;9},AA25&amp;"0123456789"))+1)),"")</f>
        <v/>
      </c>
      <c r="AD25" s="130">
        <v>24</v>
      </c>
      <c r="AE25" t="e">
        <f t="shared" si="0"/>
        <v>#NUM!</v>
      </c>
      <c r="AF25">
        <f t="shared" si="1"/>
        <v>0</v>
      </c>
      <c r="AG25" t="str">
        <f t="shared" si="4"/>
        <v/>
      </c>
      <c r="AH25" t="str">
        <f t="shared" si="2"/>
        <v/>
      </c>
      <c r="AI25" t="str">
        <f>IF(AG25="","",MAX($AI$2:AI24)+1)</f>
        <v/>
      </c>
      <c r="AJ25" s="222">
        <v>24</v>
      </c>
      <c r="AK25" s="130" t="str">
        <f t="shared" si="5"/>
        <v/>
      </c>
      <c r="AL25" s="222" t="str">
        <f t="shared" si="6"/>
        <v/>
      </c>
    </row>
    <row r="26" spans="2:38" ht="13.5" thickBot="1">
      <c r="B26" s="130">
        <v>88.036778625954241</v>
      </c>
      <c r="C26">
        <v>24.627401931877074</v>
      </c>
      <c r="D26">
        <v>88.036778625954241</v>
      </c>
      <c r="E26">
        <v>-1485.9947538135655</v>
      </c>
      <c r="F26">
        <v>88.036778625954241</v>
      </c>
      <c r="G26">
        <v>753.85957618643442</v>
      </c>
      <c r="H26">
        <v>4.3855862068965532</v>
      </c>
      <c r="I26">
        <v>1.9157833888461937</v>
      </c>
      <c r="J26">
        <f>IF(H26="","",$P$6-'Script Table'!$E$15-'Script Table'!$E$19+H26)</f>
        <v>848.6045862069036</v>
      </c>
      <c r="K26" s="132">
        <f t="shared" si="3"/>
        <v>88.036778625954241</v>
      </c>
      <c r="L26" s="132">
        <f t="shared" si="7"/>
        <v>26</v>
      </c>
      <c r="M26" s="132">
        <v>86.035942748091642</v>
      </c>
      <c r="N26" s="143">
        <v>179.98415821523321</v>
      </c>
      <c r="P26" s="147" t="s">
        <v>507</v>
      </c>
      <c r="Q26" s="145">
        <f>P6-P10</f>
        <v>8.5999999999992269</v>
      </c>
      <c r="AA26" s="220"/>
      <c r="AB26" s="146"/>
      <c r="AC26" s="2" t="str">
        <f>IFERROR(VALUE(RIGHT(AA26,LEN(AA26)-MIN(FIND({0;1;2;3;4;5;6;7;8;9},AA26&amp;"0123456789"))+1)),"")</f>
        <v/>
      </c>
      <c r="AD26" s="130">
        <v>25</v>
      </c>
      <c r="AE26" t="e">
        <f t="shared" si="0"/>
        <v>#NUM!</v>
      </c>
      <c r="AF26">
        <f t="shared" si="1"/>
        <v>0</v>
      </c>
      <c r="AG26" t="str">
        <f t="shared" si="4"/>
        <v/>
      </c>
      <c r="AH26" t="str">
        <f t="shared" si="2"/>
        <v/>
      </c>
      <c r="AI26" t="str">
        <f>IF(AG26="","",MAX($AI$2:AI25)+1)</f>
        <v/>
      </c>
      <c r="AJ26" s="222">
        <v>25</v>
      </c>
      <c r="AK26" s="130" t="str">
        <f t="shared" si="5"/>
        <v/>
      </c>
      <c r="AL26" s="222" t="str">
        <f t="shared" si="6"/>
        <v/>
      </c>
    </row>
    <row r="27" spans="2:38" ht="13.5" thickBot="1">
      <c r="B27" s="130">
        <v>92.038450381679439</v>
      </c>
      <c r="C27">
        <v>24.626287887967504</v>
      </c>
      <c r="D27">
        <v>92.038450381679439</v>
      </c>
      <c r="E27">
        <v>-1490.0026453938967</v>
      </c>
      <c r="F27">
        <v>92.038450381679439</v>
      </c>
      <c r="G27">
        <v>749.85168460610316</v>
      </c>
      <c r="H27">
        <v>4.5849310344827598</v>
      </c>
      <c r="I27">
        <v>2.000889025118795</v>
      </c>
      <c r="J27">
        <f>IF(H27="","",$P$6-'Script Table'!$E$15-'Script Table'!$E$19+H27)</f>
        <v>848.80393103448989</v>
      </c>
      <c r="K27" s="132">
        <f t="shared" si="3"/>
        <v>92.038450381679439</v>
      </c>
      <c r="L27" s="132">
        <f t="shared" si="7"/>
        <v>27</v>
      </c>
      <c r="M27" s="132">
        <v>90.03761450381684</v>
      </c>
      <c r="N27" s="143">
        <v>179.98407391734847</v>
      </c>
      <c r="P27" s="147" t="s">
        <v>508</v>
      </c>
      <c r="Q27" s="145">
        <f ca="1">P10-P14</f>
        <v>5.8157463601542077</v>
      </c>
      <c r="AA27" s="220"/>
      <c r="AB27" s="146"/>
      <c r="AC27" s="2" t="str">
        <f>IFERROR(VALUE(RIGHT(AA27,LEN(AA27)-MIN(FIND({0;1;2;3;4;5;6;7;8;9},AA27&amp;"0123456789"))+1)),"")</f>
        <v/>
      </c>
      <c r="AD27" s="130">
        <v>26</v>
      </c>
      <c r="AE27" t="e">
        <f t="shared" si="0"/>
        <v>#NUM!</v>
      </c>
      <c r="AF27">
        <f t="shared" si="1"/>
        <v>0</v>
      </c>
      <c r="AG27" t="str">
        <f t="shared" si="4"/>
        <v/>
      </c>
      <c r="AH27" t="str">
        <f t="shared" si="2"/>
        <v/>
      </c>
      <c r="AI27" t="str">
        <f>IF(AG27="","",MAX($AI$2:AI26)+1)</f>
        <v/>
      </c>
      <c r="AJ27" s="222">
        <v>26</v>
      </c>
      <c r="AK27" s="130" t="str">
        <f t="shared" si="5"/>
        <v/>
      </c>
      <c r="AL27" s="222" t="str">
        <f t="shared" si="6"/>
        <v/>
      </c>
    </row>
    <row r="28" spans="2:38" ht="13.5" thickBot="1">
      <c r="B28" s="130">
        <v>96.040122137404637</v>
      </c>
      <c r="C28">
        <v>24.625167893502184</v>
      </c>
      <c r="D28">
        <v>96.040122137404637</v>
      </c>
      <c r="E28">
        <v>-1494.0105038747624</v>
      </c>
      <c r="F28">
        <v>96.040122137404637</v>
      </c>
      <c r="G28">
        <v>745.84382612523746</v>
      </c>
      <c r="H28">
        <v>4.7842758620689665</v>
      </c>
      <c r="I28">
        <v>2.0872019766816265</v>
      </c>
      <c r="J28">
        <f>IF(H28="","",$P$6-'Script Table'!$E$15-'Script Table'!$E$19+H28)</f>
        <v>849.00327586207607</v>
      </c>
      <c r="K28" s="132">
        <f t="shared" si="3"/>
        <v>96.040122137404637</v>
      </c>
      <c r="L28" s="132">
        <f t="shared" si="7"/>
        <v>28</v>
      </c>
      <c r="M28" s="132">
        <v>94.039286259542038</v>
      </c>
      <c r="N28" s="143">
        <v>179.98398871752164</v>
      </c>
      <c r="P28" s="147" t="s">
        <v>509</v>
      </c>
      <c r="Q28" s="145">
        <f ca="1">P14-P18</f>
        <v>3.1049445540638771</v>
      </c>
      <c r="AA28" s="220"/>
      <c r="AB28" s="146"/>
      <c r="AC28" s="2" t="str">
        <f>IFERROR(VALUE(RIGHT(AA28,LEN(AA28)-MIN(FIND({0;1;2;3;4;5;6;7;8;9},AA28&amp;"0123456789"))+1)),"")</f>
        <v/>
      </c>
      <c r="AD28" s="130">
        <v>27</v>
      </c>
      <c r="AE28" t="e">
        <f t="shared" si="0"/>
        <v>#NUM!</v>
      </c>
      <c r="AF28">
        <f t="shared" si="1"/>
        <v>0</v>
      </c>
      <c r="AG28" t="str">
        <f t="shared" si="4"/>
        <v/>
      </c>
      <c r="AH28" t="str">
        <f t="shared" si="2"/>
        <v/>
      </c>
      <c r="AI28" t="str">
        <f>IF(AG28="","",MAX($AI$2:AI27)+1)</f>
        <v/>
      </c>
      <c r="AJ28" s="222">
        <v>27</v>
      </c>
      <c r="AK28" s="130" t="str">
        <f t="shared" si="5"/>
        <v/>
      </c>
      <c r="AL28" s="222" t="str">
        <f t="shared" si="6"/>
        <v/>
      </c>
    </row>
    <row r="29" spans="2:38" ht="13.5" thickBot="1">
      <c r="B29" s="130">
        <v>100.04179389312984</v>
      </c>
      <c r="C29">
        <v>24.624041884470895</v>
      </c>
      <c r="D29">
        <v>100.04179389312984</v>
      </c>
      <c r="E29">
        <v>-1498.0183292561362</v>
      </c>
      <c r="F29">
        <v>100.04179389312984</v>
      </c>
      <c r="G29">
        <v>741.83600074386368</v>
      </c>
      <c r="H29">
        <v>4.9836206896551731</v>
      </c>
      <c r="I29">
        <v>2.1743335748606114</v>
      </c>
      <c r="J29">
        <f>IF(H29="","",$P$6-'Script Table'!$E$15-'Script Table'!$E$19+H29)</f>
        <v>849.20262068966224</v>
      </c>
      <c r="K29" s="132">
        <f t="shared" si="3"/>
        <v>100.04179389312984</v>
      </c>
      <c r="L29" s="132">
        <f t="shared" si="7"/>
        <v>29</v>
      </c>
      <c r="M29" s="132">
        <v>98.040958015267236</v>
      </c>
      <c r="N29" s="143">
        <v>179.98390260119896</v>
      </c>
      <c r="P29" s="147" t="s">
        <v>510</v>
      </c>
      <c r="Q29" s="154">
        <f ca="1">Q18-Q6-R29</f>
        <v>13.185428121058946</v>
      </c>
      <c r="R29" s="155">
        <f ca="1">0.5*Q22*COS(RADIANS(180-VLOOKUP(P18,M:N,2)))</f>
        <v>0.14390645196759172</v>
      </c>
      <c r="AA29" s="220"/>
      <c r="AB29" s="146"/>
      <c r="AC29" s="2" t="str">
        <f>IFERROR(VALUE(RIGHT(AA29,LEN(AA29)-MIN(FIND({0;1;2;3;4;5;6;7;8;9},AA29&amp;"0123456789"))+1)),"")</f>
        <v/>
      </c>
      <c r="AD29" s="130">
        <v>28</v>
      </c>
      <c r="AE29" t="e">
        <f t="shared" si="0"/>
        <v>#NUM!</v>
      </c>
      <c r="AF29">
        <f t="shared" si="1"/>
        <v>0</v>
      </c>
      <c r="AG29" t="str">
        <f t="shared" si="4"/>
        <v/>
      </c>
      <c r="AH29" t="str">
        <f t="shared" si="2"/>
        <v/>
      </c>
      <c r="AI29" t="str">
        <f>IF(AG29="","",MAX($AI$2:AI28)+1)</f>
        <v/>
      </c>
      <c r="AJ29" s="222">
        <v>28</v>
      </c>
      <c r="AK29" s="130" t="str">
        <f t="shared" si="5"/>
        <v/>
      </c>
      <c r="AL29" s="222" t="str">
        <f t="shared" si="6"/>
        <v/>
      </c>
    </row>
    <row r="30" spans="2:38" ht="13.5" thickBot="1">
      <c r="B30" s="130">
        <v>104.04346564885503</v>
      </c>
      <c r="C30">
        <v>24.622909795825013</v>
      </c>
      <c r="D30">
        <v>104.04346564885503</v>
      </c>
      <c r="E30">
        <v>-1502.0261215379894</v>
      </c>
      <c r="F30">
        <v>104.04346564885503</v>
      </c>
      <c r="G30">
        <v>737.82820846201048</v>
      </c>
      <c r="H30">
        <v>5.1829655172413798</v>
      </c>
      <c r="I30">
        <v>2.261801606771769</v>
      </c>
      <c r="J30">
        <f>IF(H30="","",$P$6-'Script Table'!$E$15-'Script Table'!$E$19+H30)</f>
        <v>849.40196551724853</v>
      </c>
      <c r="K30" s="132">
        <f t="shared" si="3"/>
        <v>104.04346564885503</v>
      </c>
      <c r="L30" s="132">
        <f t="shared" si="7"/>
        <v>30</v>
      </c>
      <c r="M30" s="132">
        <v>102.04262977099243</v>
      </c>
      <c r="N30" s="143">
        <v>179.98381555351253</v>
      </c>
      <c r="P30" s="147" t="s">
        <v>511</v>
      </c>
      <c r="Q30" s="154">
        <f ca="1">Q14-Q6-R30</f>
        <v>12.324489622377707</v>
      </c>
      <c r="R30" s="156">
        <f ca="1">0.5*Q22*COS(RADIANS(180-VLOOKUP(P14,M:N,2)))</f>
        <v>0.13209591876859864</v>
      </c>
      <c r="AA30" s="220"/>
      <c r="AB30" s="146"/>
      <c r="AC30" s="2" t="str">
        <f>IFERROR(VALUE(RIGHT(AA30,LEN(AA30)-MIN(FIND({0;1;2;3;4;5;6;7;8;9},AA30&amp;"0123456789"))+1)),"")</f>
        <v/>
      </c>
      <c r="AD30" s="130">
        <v>29</v>
      </c>
      <c r="AE30" t="e">
        <f t="shared" si="0"/>
        <v>#NUM!</v>
      </c>
      <c r="AF30">
        <f t="shared" si="1"/>
        <v>0</v>
      </c>
      <c r="AG30" t="str">
        <f t="shared" si="4"/>
        <v/>
      </c>
      <c r="AH30" t="str">
        <f t="shared" si="2"/>
        <v/>
      </c>
      <c r="AI30" t="str">
        <f>IF(AG30="","",MAX($AI$2:AI29)+1)</f>
        <v/>
      </c>
      <c r="AJ30" s="222">
        <v>29</v>
      </c>
      <c r="AK30" s="130" t="str">
        <f t="shared" si="5"/>
        <v/>
      </c>
      <c r="AL30" s="222" t="str">
        <f t="shared" si="6"/>
        <v/>
      </c>
    </row>
    <row r="31" spans="2:38" ht="13.5" thickBot="1">
      <c r="B31" s="130">
        <v>108.04513740458023</v>
      </c>
      <c r="C31">
        <v>24.621771561454889</v>
      </c>
      <c r="D31">
        <v>108.04513740458023</v>
      </c>
      <c r="E31">
        <v>-1506.0338807202961</v>
      </c>
      <c r="F31">
        <v>108.04513740458023</v>
      </c>
      <c r="G31">
        <v>733.82044927970378</v>
      </c>
      <c r="H31">
        <v>5.3823103448275864</v>
      </c>
      <c r="I31">
        <v>2.3509856752002634</v>
      </c>
      <c r="J31">
        <f>IF(H31="","",$P$6-'Script Table'!$E$15-'Script Table'!$E$19+H31)</f>
        <v>849.6013103448347</v>
      </c>
      <c r="K31" s="132">
        <f t="shared" si="3"/>
        <v>108.04513740458023</v>
      </c>
      <c r="L31" s="132">
        <f t="shared" si="7"/>
        <v>31</v>
      </c>
      <c r="M31" s="132">
        <v>106.04430152671763</v>
      </c>
      <c r="N31" s="143">
        <v>179.9837275592707</v>
      </c>
      <c r="P31" s="147" t="s">
        <v>512</v>
      </c>
      <c r="Q31" s="145">
        <f>IF(P22&lt;R22,P22,R22)</f>
        <v>0.54939488039008211</v>
      </c>
      <c r="AA31" s="220"/>
      <c r="AB31" s="146"/>
      <c r="AC31" s="2" t="str">
        <f>IFERROR(VALUE(RIGHT(AA31,LEN(AA31)-MIN(FIND({0;1;2;3;4;5;6;7;8;9},AA31&amp;"0123456789"))+1)),"")</f>
        <v/>
      </c>
      <c r="AD31" s="130">
        <v>30</v>
      </c>
      <c r="AE31" t="e">
        <f t="shared" si="0"/>
        <v>#NUM!</v>
      </c>
      <c r="AF31">
        <f t="shared" si="1"/>
        <v>0</v>
      </c>
      <c r="AG31" t="str">
        <f t="shared" si="4"/>
        <v/>
      </c>
      <c r="AH31" t="str">
        <f t="shared" si="2"/>
        <v/>
      </c>
      <c r="AI31" t="str">
        <f>IF(AG31="","",MAX($AI$2:AI30)+1)</f>
        <v/>
      </c>
      <c r="AJ31" s="222">
        <v>30</v>
      </c>
      <c r="AK31" s="130" t="str">
        <f t="shared" si="5"/>
        <v/>
      </c>
      <c r="AL31" s="222" t="str">
        <f t="shared" si="6"/>
        <v/>
      </c>
    </row>
    <row r="32" spans="2:38">
      <c r="B32" s="130">
        <v>112.04680916030543</v>
      </c>
      <c r="C32">
        <v>24.620627114166659</v>
      </c>
      <c r="D32">
        <v>112.04680916030543</v>
      </c>
      <c r="E32">
        <v>-1510.0416068030258</v>
      </c>
      <c r="F32">
        <v>112.04680916030543</v>
      </c>
      <c r="G32">
        <v>729.81272319697405</v>
      </c>
      <c r="H32">
        <v>5.5816551724137931</v>
      </c>
      <c r="I32">
        <v>2.443148537189245</v>
      </c>
      <c r="J32">
        <f>IF(H32="","",$P$6-'Script Table'!$E$15-'Script Table'!$E$19+H32)</f>
        <v>849.80065517242087</v>
      </c>
      <c r="K32" s="132">
        <f t="shared" si="3"/>
        <v>112.04680916030543</v>
      </c>
      <c r="L32" s="132">
        <f t="shared" si="7"/>
        <v>32</v>
      </c>
      <c r="M32" s="132">
        <v>110.04597328244283</v>
      </c>
      <c r="N32" s="143">
        <v>179.9836386029497</v>
      </c>
      <c r="AA32" s="220"/>
      <c r="AB32" s="146"/>
      <c r="AC32" s="2" t="str">
        <f>IFERROR(VALUE(RIGHT(AA32,LEN(AA32)-MIN(FIND({0;1;2;3;4;5;6;7;8;9},AA32&amp;"0123456789"))+1)),"")</f>
        <v/>
      </c>
      <c r="AD32" s="130">
        <v>31</v>
      </c>
      <c r="AE32" t="e">
        <f t="shared" si="0"/>
        <v>#NUM!</v>
      </c>
      <c r="AF32">
        <f t="shared" si="1"/>
        <v>0</v>
      </c>
      <c r="AG32" t="str">
        <f t="shared" si="4"/>
        <v/>
      </c>
      <c r="AH32" t="str">
        <f t="shared" si="2"/>
        <v/>
      </c>
      <c r="AI32" t="str">
        <f>IF(AG32="","",MAX($AI$2:AI31)+1)</f>
        <v/>
      </c>
      <c r="AJ32" s="222">
        <v>31</v>
      </c>
      <c r="AK32" s="130" t="str">
        <f t="shared" si="5"/>
        <v/>
      </c>
      <c r="AL32" s="222" t="str">
        <f t="shared" si="6"/>
        <v/>
      </c>
    </row>
    <row r="33" spans="2:38">
      <c r="B33" s="130">
        <v>116.04848091603063</v>
      </c>
      <c r="C33">
        <v>24.619476385658384</v>
      </c>
      <c r="D33">
        <v>116.04848091603063</v>
      </c>
      <c r="E33">
        <v>-1514.04929978615</v>
      </c>
      <c r="F33">
        <v>116.04848091603063</v>
      </c>
      <c r="G33">
        <v>725.80503021384993</v>
      </c>
      <c r="H33">
        <v>5.7809999999999997</v>
      </c>
      <c r="I33">
        <v>2.5394710411551387</v>
      </c>
      <c r="J33">
        <f>IF(H33="","",$P$6-'Script Table'!$E$15-'Script Table'!$E$19+H33)</f>
        <v>850.00000000000705</v>
      </c>
      <c r="K33" s="132">
        <f t="shared" si="3"/>
        <v>116.04848091603063</v>
      </c>
      <c r="L33" s="132">
        <f t="shared" si="7"/>
        <v>33</v>
      </c>
      <c r="M33" s="132">
        <v>114.04764503816803</v>
      </c>
      <c r="N33" s="143">
        <v>179.98354866868411</v>
      </c>
      <c r="AA33" s="220"/>
      <c r="AB33" s="146"/>
      <c r="AC33" s="2" t="str">
        <f>IFERROR(VALUE(RIGHT(AA33,LEN(AA33)-MIN(FIND({0;1;2;3;4;5;6;7;8;9},AA33&amp;"0123456789"))+1)),"")</f>
        <v/>
      </c>
      <c r="AD33" s="130">
        <v>32</v>
      </c>
      <c r="AE33" t="e">
        <f t="shared" si="0"/>
        <v>#NUM!</v>
      </c>
      <c r="AF33">
        <f t="shared" si="1"/>
        <v>0</v>
      </c>
      <c r="AG33" t="str">
        <f t="shared" si="4"/>
        <v/>
      </c>
      <c r="AH33" t="str">
        <f t="shared" si="2"/>
        <v/>
      </c>
      <c r="AI33" t="str">
        <f>IF(AG33="","",MAX($AI$2:AI32)+1)</f>
        <v/>
      </c>
      <c r="AJ33" s="222">
        <v>32</v>
      </c>
      <c r="AK33" s="130" t="str">
        <f t="shared" si="5"/>
        <v/>
      </c>
      <c r="AL33" s="222" t="str">
        <f t="shared" si="6"/>
        <v/>
      </c>
    </row>
    <row r="34" spans="2:38">
      <c r="B34" s="130">
        <v>120.05015267175582</v>
      </c>
      <c r="C34">
        <v>24.618319306495607</v>
      </c>
      <c r="D34">
        <v>120.05015267175582</v>
      </c>
      <c r="E34">
        <v>-1518.0569596696391</v>
      </c>
      <c r="F34">
        <v>120.05015267175582</v>
      </c>
      <c r="G34">
        <v>721.79737033036076</v>
      </c>
      <c r="J34" t="str">
        <f>IF(H34="","",$P$6-'Script Table'!$E$15-'Script Table'!$E$19+H34)</f>
        <v/>
      </c>
      <c r="K34" s="132">
        <f t="shared" si="3"/>
        <v>120.05015267175582</v>
      </c>
      <c r="L34" s="132">
        <f t="shared" si="7"/>
        <v>34</v>
      </c>
      <c r="M34" s="132">
        <v>118.04931679389323</v>
      </c>
      <c r="N34" s="143">
        <v>179.98345774025867</v>
      </c>
      <c r="AA34" s="220"/>
      <c r="AB34" s="146"/>
      <c r="AC34" s="2" t="str">
        <f>IFERROR(VALUE(RIGHT(AA34,LEN(AA34)-MIN(FIND({0;1;2;3;4;5;6;7;8;9},AA34&amp;"0123456789"))+1)),"")</f>
        <v/>
      </c>
      <c r="AD34" s="130">
        <v>33</v>
      </c>
      <c r="AE34" t="e">
        <f t="shared" ref="AE34:AE51" si="8">SMALL(AB:AB,AD34)</f>
        <v>#NUM!</v>
      </c>
      <c r="AF34">
        <f t="shared" si="1"/>
        <v>0</v>
      </c>
      <c r="AG34" t="str">
        <f t="shared" si="4"/>
        <v/>
      </c>
      <c r="AH34" t="str">
        <f t="shared" si="2"/>
        <v/>
      </c>
      <c r="AI34" t="str">
        <f>IF(AG34="","",MAX($AI$2:AI33)+1)</f>
        <v/>
      </c>
      <c r="AJ34" s="222">
        <v>33</v>
      </c>
      <c r="AK34" s="130" t="str">
        <f t="shared" si="5"/>
        <v/>
      </c>
      <c r="AL34" s="222" t="str">
        <f t="shared" si="6"/>
        <v/>
      </c>
    </row>
    <row r="35" spans="2:38">
      <c r="B35" s="130">
        <v>124.05182442748102</v>
      </c>
      <c r="C35">
        <v>24.617155806086124</v>
      </c>
      <c r="D35">
        <v>124.05182442748102</v>
      </c>
      <c r="E35">
        <v>-1522.0645864534617</v>
      </c>
      <c r="F35">
        <v>124.05182442748102</v>
      </c>
      <c r="G35">
        <v>717.78974354653815</v>
      </c>
      <c r="J35" t="str">
        <f>IF(H35="","",$P$6-'Script Table'!$E$15-'Script Table'!$E$19+H35)</f>
        <v/>
      </c>
      <c r="K35" s="132">
        <f t="shared" si="3"/>
        <v>124.05182442748102</v>
      </c>
      <c r="L35" s="132">
        <f t="shared" si="7"/>
        <v>35</v>
      </c>
      <c r="M35" s="132">
        <v>122.05098854961842</v>
      </c>
      <c r="N35" s="143">
        <v>179.98336580109674</v>
      </c>
      <c r="AA35" s="220"/>
      <c r="AB35" s="146"/>
      <c r="AC35" s="2" t="str">
        <f>IFERROR(VALUE(RIGHT(AA35,LEN(AA35)-MIN(FIND({0;1;2;3;4;5;6;7;8;9},AA35&amp;"0123456789"))+1)),"")</f>
        <v/>
      </c>
      <c r="AD35" s="130">
        <v>34</v>
      </c>
      <c r="AE35" t="e">
        <f t="shared" si="8"/>
        <v>#NUM!</v>
      </c>
      <c r="AF35">
        <f t="shared" si="1"/>
        <v>0</v>
      </c>
      <c r="AG35" t="str">
        <f t="shared" si="4"/>
        <v/>
      </c>
      <c r="AH35" t="str">
        <f t="shared" ref="AH35:AH51" si="9">IFERROR(IF(AND($AE35=$AE34,$AF35=$AF34),"",AF35),"")</f>
        <v/>
      </c>
      <c r="AI35" t="str">
        <f>IF(AG35="","",MAX($AI$2:AI34)+1)</f>
        <v/>
      </c>
      <c r="AJ35" s="222">
        <v>34</v>
      </c>
      <c r="AK35" s="130" t="str">
        <f t="shared" si="5"/>
        <v/>
      </c>
      <c r="AL35" s="222" t="str">
        <f t="shared" si="6"/>
        <v/>
      </c>
    </row>
    <row r="36" spans="2:38">
      <c r="B36" s="130">
        <v>128.05349618320622</v>
      </c>
      <c r="C36">
        <v>24.615985812654106</v>
      </c>
      <c r="D36">
        <v>128.05349618320622</v>
      </c>
      <c r="E36">
        <v>-1526.0721801375871</v>
      </c>
      <c r="F36">
        <v>128.05349618320622</v>
      </c>
      <c r="G36">
        <v>713.78214986241278</v>
      </c>
      <c r="J36" t="str">
        <f>IF(H36="","",$P$6-'Script Table'!$E$15-'Script Table'!$E$19+H36)</f>
        <v/>
      </c>
      <c r="K36" s="132">
        <f t="shared" si="3"/>
        <v>128.05349618320622</v>
      </c>
      <c r="L36" s="132">
        <f t="shared" si="7"/>
        <v>36</v>
      </c>
      <c r="M36" s="132">
        <v>126.05266030534362</v>
      </c>
      <c r="N36" s="143">
        <v>179.98327283425121</v>
      </c>
      <c r="AA36" s="220"/>
      <c r="AB36" s="146"/>
      <c r="AC36" s="2" t="str">
        <f>IFERROR(VALUE(RIGHT(AA36,LEN(AA36)-MIN(FIND({0;1;2;3;4;5;6;7;8;9},AA36&amp;"0123456789"))+1)),"")</f>
        <v/>
      </c>
      <c r="AD36" s="130">
        <v>35</v>
      </c>
      <c r="AE36" t="e">
        <f t="shared" si="8"/>
        <v>#NUM!</v>
      </c>
      <c r="AF36">
        <f t="shared" si="1"/>
        <v>0</v>
      </c>
      <c r="AG36" t="str">
        <f t="shared" si="4"/>
        <v/>
      </c>
      <c r="AH36" t="str">
        <f t="shared" si="9"/>
        <v/>
      </c>
      <c r="AI36" t="str">
        <f>IF(AG36="","",MAX($AI$2:AI35)+1)</f>
        <v/>
      </c>
      <c r="AJ36" s="222">
        <v>35</v>
      </c>
      <c r="AK36" s="130" t="str">
        <f t="shared" si="5"/>
        <v/>
      </c>
      <c r="AL36" s="222" t="str">
        <f t="shared" si="6"/>
        <v/>
      </c>
    </row>
    <row r="37" spans="2:38">
      <c r="B37" s="130">
        <v>132.05516793893142</v>
      </c>
      <c r="C37">
        <v>24.614809253213508</v>
      </c>
      <c r="D37">
        <v>132.05516793893142</v>
      </c>
      <c r="E37">
        <v>-1530.0797407219834</v>
      </c>
      <c r="F37">
        <v>132.05516793893142</v>
      </c>
      <c r="G37">
        <v>709.77458927801649</v>
      </c>
      <c r="J37" t="str">
        <f>IF(H37="","",$P$6-'Script Table'!$E$15-'Script Table'!$E$19+H37)</f>
        <v/>
      </c>
      <c r="K37" s="132">
        <f t="shared" si="3"/>
        <v>132.05516793893142</v>
      </c>
      <c r="L37" s="132">
        <f t="shared" si="7"/>
        <v>37</v>
      </c>
      <c r="M37" s="132">
        <v>130.05433206106881</v>
      </c>
      <c r="N37" s="143">
        <v>179.98317882239431</v>
      </c>
      <c r="AA37" s="220"/>
      <c r="AB37" s="146"/>
      <c r="AC37" s="2" t="str">
        <f>IFERROR(VALUE(RIGHT(AA37,LEN(AA37)-MIN(FIND({0;1;2;3;4;5;6;7;8;9},AA37&amp;"0123456789"))+1)),"")</f>
        <v/>
      </c>
      <c r="AD37" s="130">
        <v>36</v>
      </c>
      <c r="AE37" t="e">
        <f t="shared" si="8"/>
        <v>#NUM!</v>
      </c>
      <c r="AF37">
        <f t="shared" si="1"/>
        <v>0</v>
      </c>
      <c r="AG37" t="str">
        <f t="shared" si="4"/>
        <v/>
      </c>
      <c r="AH37" t="str">
        <f t="shared" si="9"/>
        <v/>
      </c>
      <c r="AI37" t="str">
        <f>IF(AG37="","",MAX($AI$2:AI36)+1)</f>
        <v/>
      </c>
      <c r="AJ37" s="222">
        <v>36</v>
      </c>
      <c r="AK37" s="130" t="str">
        <f t="shared" si="5"/>
        <v/>
      </c>
      <c r="AL37" s="222" t="str">
        <f t="shared" si="6"/>
        <v/>
      </c>
    </row>
    <row r="38" spans="2:38">
      <c r="B38" s="130">
        <v>136.05683969465662</v>
      </c>
      <c r="C38">
        <v>24.613626053540692</v>
      </c>
      <c r="D38">
        <v>136.05683969465662</v>
      </c>
      <c r="E38">
        <v>-1534.0872682066176</v>
      </c>
      <c r="F38">
        <v>136.05683969465662</v>
      </c>
      <c r="G38">
        <v>705.76706179338225</v>
      </c>
      <c r="J38" t="str">
        <f>IF(H38="","",$P$6-'Script Table'!$E$15-'Script Table'!$E$19+H38)</f>
        <v/>
      </c>
      <c r="K38" s="132">
        <f t="shared" si="3"/>
        <v>136.05683969465662</v>
      </c>
      <c r="L38" s="132">
        <f t="shared" si="7"/>
        <v>38</v>
      </c>
      <c r="M38" s="132">
        <v>134.05600381679403</v>
      </c>
      <c r="N38" s="143">
        <v>179.98308374780615</v>
      </c>
      <c r="AA38" s="220"/>
      <c r="AB38" s="146"/>
      <c r="AC38" s="2" t="str">
        <f>IFERROR(VALUE(RIGHT(AA38,LEN(AA38)-MIN(FIND({0;1;2;3;4;5;6;7;8;9},AA38&amp;"0123456789"))+1)),"")</f>
        <v/>
      </c>
      <c r="AD38" s="130">
        <v>37</v>
      </c>
      <c r="AE38" t="e">
        <f t="shared" si="8"/>
        <v>#NUM!</v>
      </c>
      <c r="AF38">
        <f t="shared" si="1"/>
        <v>0</v>
      </c>
      <c r="AG38" t="str">
        <f t="shared" si="4"/>
        <v/>
      </c>
      <c r="AH38" t="str">
        <f t="shared" si="9"/>
        <v/>
      </c>
      <c r="AI38" t="str">
        <f>IF(AG38="","",MAX($AI$2:AI37)+1)</f>
        <v/>
      </c>
      <c r="AJ38" s="222">
        <v>37</v>
      </c>
      <c r="AK38" s="130" t="str">
        <f t="shared" si="5"/>
        <v/>
      </c>
      <c r="AL38" s="222" t="str">
        <f t="shared" si="6"/>
        <v/>
      </c>
    </row>
    <row r="39" spans="2:38">
      <c r="B39" s="130">
        <v>140.05851145038181</v>
      </c>
      <c r="C39">
        <v>24.612436138146311</v>
      </c>
      <c r="D39">
        <v>140.05851145038181</v>
      </c>
      <c r="E39">
        <v>-1538.0947625914564</v>
      </c>
      <c r="F39">
        <v>140.05851145038181</v>
      </c>
      <c r="G39">
        <v>701.75956740854349</v>
      </c>
      <c r="J39" t="str">
        <f>IF(H39="","",$P$6-'Script Table'!$E$15-'Script Table'!$E$19+H39)</f>
        <v/>
      </c>
      <c r="K39" s="132">
        <f t="shared" si="3"/>
        <v>140.05851145038181</v>
      </c>
      <c r="L39" s="132">
        <f t="shared" si="7"/>
        <v>39</v>
      </c>
      <c r="M39" s="132">
        <v>138.0576755725192</v>
      </c>
      <c r="N39" s="143">
        <v>179.98298759236445</v>
      </c>
      <c r="AA39" s="220"/>
      <c r="AB39" s="146"/>
      <c r="AC39" s="2" t="str">
        <f>IFERROR(VALUE(RIGHT(AA39,LEN(AA39)-MIN(FIND({0;1;2;3;4;5;6;7;8;9},AA39&amp;"0123456789"))+1)),"")</f>
        <v/>
      </c>
      <c r="AD39" s="130">
        <v>38</v>
      </c>
      <c r="AE39" t="e">
        <f t="shared" si="8"/>
        <v>#NUM!</v>
      </c>
      <c r="AF39">
        <f t="shared" si="1"/>
        <v>0</v>
      </c>
      <c r="AG39" t="str">
        <f t="shared" si="4"/>
        <v/>
      </c>
      <c r="AH39" t="str">
        <f t="shared" si="9"/>
        <v/>
      </c>
      <c r="AI39" t="str">
        <f>IF(AG39="","",MAX($AI$2:AI38)+1)</f>
        <v/>
      </c>
      <c r="AJ39" s="222">
        <v>38</v>
      </c>
      <c r="AK39" s="130" t="str">
        <f t="shared" si="5"/>
        <v/>
      </c>
      <c r="AL39" s="222" t="str">
        <f t="shared" si="6"/>
        <v/>
      </c>
    </row>
    <row r="40" spans="2:38">
      <c r="B40" s="130">
        <v>144.06018320610701</v>
      </c>
      <c r="C40">
        <v>24.611239430246332</v>
      </c>
      <c r="D40">
        <v>144.06018320610701</v>
      </c>
      <c r="E40">
        <v>-1542.102223876466</v>
      </c>
      <c r="F40">
        <v>144.06018320610701</v>
      </c>
      <c r="G40">
        <v>697.75210612353385</v>
      </c>
      <c r="J40" t="str">
        <f>IF(H40="","",$P$6-'Script Table'!$E$15-'Script Table'!$E$19+H40)</f>
        <v/>
      </c>
      <c r="K40" s="132">
        <f t="shared" si="3"/>
        <v>144.06018320610701</v>
      </c>
      <c r="L40" s="132">
        <f t="shared" si="7"/>
        <v>40</v>
      </c>
      <c r="M40" s="132">
        <v>142.05934732824443</v>
      </c>
      <c r="N40" s="143">
        <v>179.98289033753187</v>
      </c>
      <c r="AA40" s="220"/>
      <c r="AB40" s="146"/>
      <c r="AC40" s="2" t="str">
        <f>IFERROR(VALUE(RIGHT(AA40,LEN(AA40)-MIN(FIND({0;1;2;3;4;5;6;7;8;9},AA40&amp;"0123456789"))+1)),"")</f>
        <v/>
      </c>
      <c r="AD40" s="130">
        <v>39</v>
      </c>
      <c r="AE40" t="e">
        <f t="shared" si="8"/>
        <v>#NUM!</v>
      </c>
      <c r="AF40">
        <f t="shared" si="1"/>
        <v>0</v>
      </c>
      <c r="AG40" t="str">
        <f t="shared" si="4"/>
        <v/>
      </c>
      <c r="AH40" t="str">
        <f t="shared" si="9"/>
        <v/>
      </c>
      <c r="AI40" t="str">
        <f>IF(AG40="","",MAX($AI$2:AI39)+1)</f>
        <v/>
      </c>
      <c r="AJ40" s="222">
        <v>39</v>
      </c>
      <c r="AK40" s="130" t="str">
        <f t="shared" si="5"/>
        <v/>
      </c>
      <c r="AL40" s="222" t="str">
        <f t="shared" si="6"/>
        <v/>
      </c>
    </row>
    <row r="41" spans="2:38">
      <c r="B41" s="130">
        <v>148.06185496183221</v>
      </c>
      <c r="C41">
        <v>24.610035851732285</v>
      </c>
      <c r="D41">
        <v>148.06185496183221</v>
      </c>
      <c r="E41">
        <v>-1546.1096520616111</v>
      </c>
      <c r="F41">
        <v>148.06185496183221</v>
      </c>
      <c r="G41">
        <v>693.7446779383888</v>
      </c>
      <c r="J41" t="str">
        <f>IF(H41="","",$P$6-'Script Table'!$E$15-'Script Table'!$E$19+H41)</f>
        <v/>
      </c>
      <c r="K41" s="132">
        <f t="shared" si="3"/>
        <v>148.06185496183221</v>
      </c>
      <c r="L41" s="132">
        <f t="shared" si="7"/>
        <v>41</v>
      </c>
      <c r="M41" s="132">
        <v>146.0610190839696</v>
      </c>
      <c r="N41" s="143">
        <v>179.98279196434518</v>
      </c>
      <c r="AA41" s="220"/>
      <c r="AB41" s="146"/>
      <c r="AC41" s="2" t="str">
        <f>IFERROR(VALUE(RIGHT(AA41,LEN(AA41)-MIN(FIND({0;1;2;3;4;5;6;7;8;9},AA41&amp;"0123456789"))+1)),"")</f>
        <v/>
      </c>
      <c r="AD41" s="130">
        <v>40</v>
      </c>
      <c r="AE41" t="e">
        <f t="shared" si="8"/>
        <v>#NUM!</v>
      </c>
      <c r="AF41">
        <f t="shared" si="1"/>
        <v>0</v>
      </c>
      <c r="AG41" t="str">
        <f t="shared" si="4"/>
        <v/>
      </c>
      <c r="AH41" t="str">
        <f t="shared" si="9"/>
        <v/>
      </c>
      <c r="AI41" t="str">
        <f>IF(AG41="","",MAX($AI$2:AI40)+1)</f>
        <v/>
      </c>
      <c r="AJ41" s="222">
        <v>40</v>
      </c>
      <c r="AK41" s="130" t="str">
        <f t="shared" si="5"/>
        <v/>
      </c>
      <c r="AL41" s="222" t="str">
        <f t="shared" si="6"/>
        <v/>
      </c>
    </row>
    <row r="42" spans="2:38">
      <c r="B42" s="130">
        <v>152.06352671755741</v>
      </c>
      <c r="C42">
        <v>24.608825323140614</v>
      </c>
      <c r="D42">
        <v>152.06352671755741</v>
      </c>
      <c r="E42">
        <v>-1550.1170471468554</v>
      </c>
      <c r="F42">
        <v>152.06352671755741</v>
      </c>
      <c r="G42">
        <v>689.73728285314451</v>
      </c>
      <c r="J42" t="str">
        <f>IF(H42="","",$P$6-'Script Table'!$E$15-'Script Table'!$E$19+H42)</f>
        <v/>
      </c>
      <c r="K42" s="132">
        <f t="shared" si="3"/>
        <v>152.06352671755741</v>
      </c>
      <c r="L42" s="132">
        <f t="shared" si="7"/>
        <v>42</v>
      </c>
      <c r="M42" s="132">
        <v>150.06269083969482</v>
      </c>
      <c r="N42" s="143">
        <v>179.98269245340236</v>
      </c>
      <c r="AA42" s="220"/>
      <c r="AB42" s="146"/>
      <c r="AC42" s="2" t="str">
        <f>IFERROR(VALUE(RIGHT(AA42,LEN(AA42)-MIN(FIND({0;1;2;3;4;5;6;7;8;9},AA42&amp;"0123456789"))+1)),"")</f>
        <v/>
      </c>
      <c r="AD42" s="130">
        <v>41</v>
      </c>
      <c r="AE42" t="e">
        <f t="shared" si="8"/>
        <v>#NUM!</v>
      </c>
      <c r="AF42">
        <f t="shared" si="1"/>
        <v>0</v>
      </c>
      <c r="AG42" t="str">
        <f t="shared" si="4"/>
        <v/>
      </c>
      <c r="AH42" t="str">
        <f t="shared" si="9"/>
        <v/>
      </c>
      <c r="AI42" t="str">
        <f>IF(AG42="","",MAX($AI$2:AI41)+1)</f>
        <v/>
      </c>
      <c r="AJ42" s="222">
        <v>41</v>
      </c>
      <c r="AK42" s="130" t="str">
        <f t="shared" si="5"/>
        <v/>
      </c>
      <c r="AL42" s="222" t="str">
        <f t="shared" si="6"/>
        <v/>
      </c>
    </row>
    <row r="43" spans="2:38">
      <c r="B43" s="130">
        <v>156.06519847328261</v>
      </c>
      <c r="C43">
        <v>24.607607763621154</v>
      </c>
      <c r="D43">
        <v>156.06519847328261</v>
      </c>
      <c r="E43">
        <v>-1554.1244091321628</v>
      </c>
      <c r="F43">
        <v>156.06519847328261</v>
      </c>
      <c r="G43">
        <v>685.72992086783711</v>
      </c>
      <c r="J43" t="str">
        <f>IF(H43="","",$P$6-'Script Table'!$E$15-'Script Table'!$E$19+H43)</f>
        <v/>
      </c>
      <c r="K43" s="132">
        <f t="shared" si="3"/>
        <v>156.06519847328261</v>
      </c>
      <c r="L43" s="132">
        <f t="shared" si="7"/>
        <v>43</v>
      </c>
      <c r="M43" s="132">
        <v>154.06436259541999</v>
      </c>
      <c r="N43" s="143">
        <v>179.98259178484992</v>
      </c>
      <c r="AA43" s="220"/>
      <c r="AB43" s="146"/>
      <c r="AC43" s="2" t="str">
        <f>IFERROR(VALUE(RIGHT(AA43,LEN(AA43)-MIN(FIND({0;1;2;3;4;5;6;7;8;9},AA43&amp;"0123456789"))+1)),"")</f>
        <v/>
      </c>
      <c r="AD43" s="130">
        <v>42</v>
      </c>
      <c r="AE43" t="e">
        <f t="shared" si="8"/>
        <v>#NUM!</v>
      </c>
      <c r="AF43">
        <f t="shared" si="1"/>
        <v>0</v>
      </c>
      <c r="AG43" t="str">
        <f t="shared" si="4"/>
        <v/>
      </c>
      <c r="AH43" t="str">
        <f t="shared" si="9"/>
        <v/>
      </c>
      <c r="AI43" t="str">
        <f>IF(AG43="","",MAX($AI$2:AI42)+1)</f>
        <v/>
      </c>
      <c r="AJ43" s="222">
        <v>42</v>
      </c>
      <c r="AK43" s="130" t="str">
        <f t="shared" si="5"/>
        <v/>
      </c>
      <c r="AL43" s="222" t="str">
        <f t="shared" si="6"/>
        <v/>
      </c>
    </row>
    <row r="44" spans="2:38">
      <c r="B44" s="130">
        <v>160.0668702290078</v>
      </c>
      <c r="C44">
        <v>24.606383090904679</v>
      </c>
      <c r="D44">
        <v>160.0668702290078</v>
      </c>
      <c r="E44">
        <v>-1558.1317380174958</v>
      </c>
      <c r="F44">
        <v>160.0668702290078</v>
      </c>
      <c r="G44">
        <v>681.72259198250413</v>
      </c>
      <c r="J44" t="str">
        <f>IF(H44="","",$P$6-'Script Table'!$E$15-'Script Table'!$E$19+H44)</f>
        <v/>
      </c>
      <c r="K44" s="132">
        <f t="shared" si="3"/>
        <v>160.0668702290078</v>
      </c>
      <c r="L44" s="132">
        <f t="shared" si="7"/>
        <v>44</v>
      </c>
      <c r="M44" s="132">
        <v>158.06603435114522</v>
      </c>
      <c r="N44" s="143">
        <v>179.98248993836987</v>
      </c>
      <c r="AA44" s="220"/>
      <c r="AB44" s="146"/>
      <c r="AC44" s="2" t="str">
        <f>IFERROR(VALUE(RIGHT(AA44,LEN(AA44)-MIN(FIND({0;1;2;3;4;5;6;7;8;9},AA44&amp;"0123456789"))+1)),"")</f>
        <v/>
      </c>
      <c r="AD44" s="130">
        <v>43</v>
      </c>
      <c r="AE44" t="e">
        <f t="shared" si="8"/>
        <v>#NUM!</v>
      </c>
      <c r="AF44">
        <f t="shared" si="1"/>
        <v>0</v>
      </c>
      <c r="AG44" t="str">
        <f t="shared" si="4"/>
        <v/>
      </c>
      <c r="AH44" t="str">
        <f t="shared" si="9"/>
        <v/>
      </c>
      <c r="AI44" t="str">
        <f>IF(AG44="","",MAX($AI$2:AI43)+1)</f>
        <v/>
      </c>
      <c r="AJ44" s="222">
        <v>43</v>
      </c>
      <c r="AK44" s="130" t="str">
        <f t="shared" si="5"/>
        <v/>
      </c>
      <c r="AL44" s="222" t="str">
        <f t="shared" si="6"/>
        <v/>
      </c>
    </row>
    <row r="45" spans="2:38">
      <c r="B45" s="130">
        <v>164.068541984733</v>
      </c>
      <c r="C45">
        <v>24.605151221269494</v>
      </c>
      <c r="D45">
        <v>164.068541984733</v>
      </c>
      <c r="E45">
        <v>-1562.1390338028159</v>
      </c>
      <c r="F45">
        <v>164.068541984733</v>
      </c>
      <c r="G45">
        <v>677.71529619718399</v>
      </c>
      <c r="J45" t="str">
        <f>IF(H45="","",$P$6-'Script Table'!$E$15-'Script Table'!$E$19+H45)</f>
        <v/>
      </c>
      <c r="K45" s="132">
        <f t="shared" si="3"/>
        <v>164.068541984733</v>
      </c>
      <c r="L45" s="132">
        <f t="shared" si="7"/>
        <v>45</v>
      </c>
      <c r="M45" s="132">
        <v>162.06770610687039</v>
      </c>
      <c r="N45" s="143">
        <v>179.9823868931658</v>
      </c>
      <c r="AA45" s="219"/>
      <c r="AB45" s="146"/>
      <c r="AC45" s="2" t="str">
        <f>IFERROR(VALUE(RIGHT(AA45,LEN(AA45)-MIN(FIND({0;1;2;3;4;5;6;7;8;9},AA45&amp;"0123456789"))+1)),"")</f>
        <v/>
      </c>
      <c r="AD45" s="130">
        <v>44</v>
      </c>
      <c r="AE45" t="e">
        <f t="shared" si="8"/>
        <v>#NUM!</v>
      </c>
      <c r="AF45">
        <f t="shared" si="1"/>
        <v>0</v>
      </c>
      <c r="AG45" t="str">
        <f t="shared" si="4"/>
        <v/>
      </c>
      <c r="AH45" t="str">
        <f t="shared" si="9"/>
        <v/>
      </c>
      <c r="AI45" t="str">
        <f>IF(AG45="","",MAX($AI$2:AI44)+1)</f>
        <v/>
      </c>
      <c r="AJ45" s="222">
        <v>44</v>
      </c>
      <c r="AK45" s="130" t="str">
        <f t="shared" si="5"/>
        <v/>
      </c>
      <c r="AL45" s="222" t="str">
        <f t="shared" si="6"/>
        <v/>
      </c>
    </row>
    <row r="46" spans="2:38">
      <c r="B46" s="130">
        <v>168.0702137404582</v>
      </c>
      <c r="C46">
        <v>24.603912069507057</v>
      </c>
      <c r="D46">
        <v>168.0702137404582</v>
      </c>
      <c r="E46">
        <v>-1566.1462964880839</v>
      </c>
      <c r="F46">
        <v>168.0702137404582</v>
      </c>
      <c r="G46">
        <v>673.70803351191603</v>
      </c>
      <c r="J46" t="str">
        <f>IF(H46="","",$P$6-'Script Table'!$E$15-'Script Table'!$E$19+H46)</f>
        <v/>
      </c>
      <c r="K46" s="132">
        <f t="shared" si="3"/>
        <v>168.0702137404582</v>
      </c>
      <c r="L46" s="132">
        <f t="shared" si="7"/>
        <v>46</v>
      </c>
      <c r="M46" s="132">
        <v>166.06937786259562</v>
      </c>
      <c r="N46" s="143">
        <v>179.98228262794902</v>
      </c>
      <c r="AA46" s="219"/>
      <c r="AB46" s="146"/>
      <c r="AC46" s="2" t="str">
        <f>IFERROR(VALUE(RIGHT(AA46,LEN(AA46)-MIN(FIND({0;1;2;3;4;5;6;7;8;9},AA46&amp;"0123456789"))+1)),"")</f>
        <v/>
      </c>
      <c r="AD46" s="130">
        <v>45</v>
      </c>
      <c r="AE46" t="e">
        <f t="shared" si="8"/>
        <v>#NUM!</v>
      </c>
      <c r="AF46">
        <f t="shared" si="1"/>
        <v>0</v>
      </c>
      <c r="AG46" t="str">
        <f t="shared" si="4"/>
        <v/>
      </c>
      <c r="AH46" t="str">
        <f t="shared" si="9"/>
        <v/>
      </c>
      <c r="AI46" t="str">
        <f>IF(AG46="","",MAX($AI$2:AI45)+1)</f>
        <v/>
      </c>
      <c r="AJ46" s="222">
        <v>45</v>
      </c>
      <c r="AK46" s="130" t="str">
        <f t="shared" si="5"/>
        <v/>
      </c>
      <c r="AL46" s="222" t="str">
        <f t="shared" si="6"/>
        <v/>
      </c>
    </row>
    <row r="47" spans="2:38">
      <c r="B47" s="130">
        <v>172.0718854961834</v>
      </c>
      <c r="C47">
        <v>24.602665548886542</v>
      </c>
      <c r="D47">
        <v>172.0718854961834</v>
      </c>
      <c r="E47">
        <v>-1570.1535260732589</v>
      </c>
      <c r="F47">
        <v>172.0718854961834</v>
      </c>
      <c r="G47">
        <v>669.70080392674095</v>
      </c>
      <c r="J47" t="str">
        <f>IF(H47="","",$P$6-'Script Table'!$E$15-'Script Table'!$E$19+H47)</f>
        <v/>
      </c>
      <c r="K47" s="132">
        <f t="shared" si="3"/>
        <v>172.0718854961834</v>
      </c>
      <c r="L47" s="132">
        <f t="shared" si="7"/>
        <v>47</v>
      </c>
      <c r="M47" s="132">
        <v>170.07104961832079</v>
      </c>
      <c r="N47" s="143">
        <v>179.98217712092361</v>
      </c>
      <c r="AA47" s="219"/>
      <c r="AB47" s="146"/>
      <c r="AC47" s="2" t="str">
        <f>IFERROR(VALUE(RIGHT(AA47,LEN(AA47)-MIN(FIND({0;1;2;3;4;5;6;7;8;9},AA47&amp;"0123456789"))+1)),"")</f>
        <v/>
      </c>
      <c r="AD47" s="130">
        <v>46</v>
      </c>
      <c r="AE47" t="e">
        <f t="shared" si="8"/>
        <v>#NUM!</v>
      </c>
      <c r="AF47">
        <f t="shared" si="1"/>
        <v>0</v>
      </c>
      <c r="AG47" t="str">
        <f t="shared" si="4"/>
        <v/>
      </c>
      <c r="AH47" t="str">
        <f t="shared" si="9"/>
        <v/>
      </c>
      <c r="AI47" t="str">
        <f>IF(AG47="","",MAX($AI$2:AI46)+1)</f>
        <v/>
      </c>
      <c r="AJ47" s="222">
        <v>46</v>
      </c>
      <c r="AK47" s="130" t="str">
        <f t="shared" si="5"/>
        <v/>
      </c>
      <c r="AL47" s="222" t="str">
        <f t="shared" si="6"/>
        <v/>
      </c>
    </row>
    <row r="48" spans="2:38">
      <c r="B48" s="130">
        <v>176.0735572519086</v>
      </c>
      <c r="C48">
        <v>24.601411571118341</v>
      </c>
      <c r="D48">
        <v>176.0735572519086</v>
      </c>
      <c r="E48">
        <v>-1574.1607225583014</v>
      </c>
      <c r="F48">
        <v>176.0735572519086</v>
      </c>
      <c r="G48">
        <v>665.69360744169853</v>
      </c>
      <c r="J48" t="str">
        <f>IF(H48="","",$P$6-'Script Table'!$E$15-'Script Table'!$E$19+H48)</f>
        <v/>
      </c>
      <c r="K48" s="132">
        <f t="shared" si="3"/>
        <v>176.0735572519086</v>
      </c>
      <c r="L48" s="132">
        <f t="shared" si="7"/>
        <v>48</v>
      </c>
      <c r="M48" s="132">
        <v>174.07272137404601</v>
      </c>
      <c r="N48" s="143">
        <v>179.98207034977096</v>
      </c>
      <c r="AA48" s="219"/>
      <c r="AB48" s="146"/>
      <c r="AC48" s="2" t="str">
        <f>IFERROR(VALUE(RIGHT(AA48,LEN(AA48)-MIN(FIND({0;1;2;3;4;5;6;7;8;9},AA48&amp;"0123456789"))+1)),"")</f>
        <v/>
      </c>
      <c r="AD48" s="130">
        <v>47</v>
      </c>
      <c r="AE48" t="e">
        <f t="shared" si="8"/>
        <v>#NUM!</v>
      </c>
      <c r="AF48">
        <f t="shared" si="1"/>
        <v>0</v>
      </c>
      <c r="AG48" t="str">
        <f t="shared" si="4"/>
        <v/>
      </c>
      <c r="AH48" t="str">
        <f t="shared" si="9"/>
        <v/>
      </c>
      <c r="AI48" t="str">
        <f>IF(AG48="","",MAX($AI$2:AI47)+1)</f>
        <v/>
      </c>
      <c r="AJ48" s="222">
        <v>47</v>
      </c>
      <c r="AK48" s="130" t="str">
        <f t="shared" si="5"/>
        <v/>
      </c>
      <c r="AL48" s="222" t="str">
        <f t="shared" si="6"/>
        <v/>
      </c>
    </row>
    <row r="49" spans="2:38">
      <c r="B49" s="130">
        <v>180.07522900763379</v>
      </c>
      <c r="C49">
        <v>24.60015004631655</v>
      </c>
      <c r="D49">
        <v>180.07522900763379</v>
      </c>
      <c r="E49">
        <v>-1578.1678859431674</v>
      </c>
      <c r="F49">
        <v>180.07522900763379</v>
      </c>
      <c r="G49">
        <v>661.68644405683244</v>
      </c>
      <c r="J49" t="str">
        <f>IF(H49="","",$P$6-'Script Table'!$E$15-'Script Table'!$E$19+H49)</f>
        <v/>
      </c>
      <c r="K49" s="132">
        <f t="shared" si="3"/>
        <v>180.07522900763379</v>
      </c>
      <c r="L49" s="132">
        <f t="shared" si="7"/>
        <v>49</v>
      </c>
      <c r="M49" s="132">
        <v>178.07439312977118</v>
      </c>
      <c r="N49" s="143">
        <v>179.98196229163534</v>
      </c>
      <c r="AA49" s="219"/>
      <c r="AB49" s="146"/>
      <c r="AC49" s="2" t="str">
        <f>IFERROR(VALUE(RIGHT(AA49,LEN(AA49)-MIN(FIND({0;1;2;3;4;5;6;7;8;9},AA49&amp;"0123456789"))+1)),"")</f>
        <v/>
      </c>
      <c r="AD49" s="130">
        <v>48</v>
      </c>
      <c r="AE49" t="e">
        <f t="shared" si="8"/>
        <v>#NUM!</v>
      </c>
      <c r="AF49">
        <f t="shared" si="1"/>
        <v>0</v>
      </c>
      <c r="AG49" t="str">
        <f t="shared" si="4"/>
        <v/>
      </c>
      <c r="AH49" t="str">
        <f t="shared" si="9"/>
        <v/>
      </c>
      <c r="AI49" t="str">
        <f>IF(AG49="","",MAX($AI$2:AI48)+1)</f>
        <v/>
      </c>
      <c r="AJ49" s="222">
        <v>48</v>
      </c>
      <c r="AK49" s="130" t="str">
        <f t="shared" si="5"/>
        <v/>
      </c>
      <c r="AL49" s="222" t="str">
        <f t="shared" si="6"/>
        <v/>
      </c>
    </row>
    <row r="50" spans="2:38">
      <c r="B50" s="130">
        <v>184.07690076335899</v>
      </c>
      <c r="C50">
        <v>24.598880882960206</v>
      </c>
      <c r="D50">
        <v>184.07690076335899</v>
      </c>
      <c r="E50">
        <v>-1582.1750162278145</v>
      </c>
      <c r="F50">
        <v>184.07690076335899</v>
      </c>
      <c r="G50">
        <v>657.67931377218542</v>
      </c>
      <c r="J50" t="str">
        <f>IF(H50="","",$P$6-'Script Table'!$E$15-'Script Table'!$E$19+H50)</f>
        <v/>
      </c>
      <c r="K50" s="132">
        <f t="shared" si="3"/>
        <v>184.07690076335899</v>
      </c>
      <c r="L50" s="132">
        <f t="shared" si="7"/>
        <v>50</v>
      </c>
      <c r="M50" s="132">
        <v>182.07606488549641</v>
      </c>
      <c r="N50" s="143">
        <v>179.98185292310603</v>
      </c>
      <c r="AA50" s="219"/>
      <c r="AB50" s="146"/>
      <c r="AC50" s="2" t="str">
        <f>IFERROR(VALUE(RIGHT(AA50,LEN(AA50)-MIN(FIND({0;1;2;3;4;5;6;7;8;9},AA50&amp;"0123456789"))+1)),"")</f>
        <v/>
      </c>
      <c r="AD50" s="130">
        <v>49</v>
      </c>
      <c r="AE50" t="e">
        <f t="shared" si="8"/>
        <v>#NUM!</v>
      </c>
      <c r="AF50">
        <f t="shared" si="1"/>
        <v>0</v>
      </c>
      <c r="AG50" t="str">
        <f t="shared" si="4"/>
        <v/>
      </c>
      <c r="AH50" t="str">
        <f t="shared" si="9"/>
        <v/>
      </c>
      <c r="AI50" t="str">
        <f>IF(AG50="","",MAX($AI$2:AI49)+1)</f>
        <v/>
      </c>
      <c r="AJ50" s="222">
        <v>49</v>
      </c>
      <c r="AK50" s="130" t="str">
        <f t="shared" si="5"/>
        <v/>
      </c>
      <c r="AL50" s="222" t="str">
        <f t="shared" si="6"/>
        <v/>
      </c>
    </row>
    <row r="51" spans="2:38" ht="12.95" thickBot="1">
      <c r="B51" s="130">
        <v>188.07857251908419</v>
      </c>
      <c r="C51">
        <v>24.597603987853368</v>
      </c>
      <c r="D51">
        <v>188.07857251908419</v>
      </c>
      <c r="E51">
        <v>-1586.1821134121983</v>
      </c>
      <c r="F51">
        <v>188.07857251908419</v>
      </c>
      <c r="G51">
        <v>653.67221658780159</v>
      </c>
      <c r="J51" t="str">
        <f>IF(H51="","",$P$6-'Script Table'!$E$15-'Script Table'!$E$19+H51)</f>
        <v/>
      </c>
      <c r="K51" s="132">
        <f t="shared" si="3"/>
        <v>188.07857251908419</v>
      </c>
      <c r="L51" s="132">
        <f t="shared" si="7"/>
        <v>51</v>
      </c>
      <c r="M51" s="132">
        <v>186.07773664122158</v>
      </c>
      <c r="N51" s="143">
        <v>179.98174222020083</v>
      </c>
      <c r="AA51" s="221"/>
      <c r="AB51" s="167"/>
      <c r="AC51" s="2" t="str">
        <f>IFERROR(VALUE(RIGHT(AA51,LEN(AA51)-MIN(FIND({0;1;2;3;4;5;6;7;8;9},AA51&amp;"0123456789"))+1)),"")</f>
        <v/>
      </c>
      <c r="AD51" s="138">
        <v>50</v>
      </c>
      <c r="AE51" s="139" t="e">
        <f t="shared" si="8"/>
        <v>#NUM!</v>
      </c>
      <c r="AF51" s="139">
        <f t="shared" si="1"/>
        <v>0</v>
      </c>
      <c r="AG51" s="139" t="str">
        <f t="shared" si="4"/>
        <v/>
      </c>
      <c r="AH51" s="139" t="str">
        <f t="shared" si="9"/>
        <v/>
      </c>
      <c r="AI51" s="139" t="str">
        <f>IF(AG51="","",MAX($AI$2:AI50)+1)</f>
        <v/>
      </c>
      <c r="AJ51" s="223">
        <v>50</v>
      </c>
      <c r="AK51" s="138" t="str">
        <f t="shared" si="5"/>
        <v/>
      </c>
      <c r="AL51" s="223" t="str">
        <f t="shared" si="6"/>
        <v/>
      </c>
    </row>
    <row r="52" spans="2:38">
      <c r="B52" s="130">
        <v>192.08024427480939</v>
      </c>
      <c r="C52">
        <v>24.596319266084045</v>
      </c>
      <c r="D52">
        <v>192.08024427480939</v>
      </c>
      <c r="E52">
        <v>-1590.1891774962733</v>
      </c>
      <c r="F52">
        <v>192.08024427480939</v>
      </c>
      <c r="G52">
        <v>649.66515250372663</v>
      </c>
      <c r="J52" t="str">
        <f>IF(H52="","",$P$6-'Script Table'!$E$15-'Script Table'!$E$19+H52)</f>
        <v/>
      </c>
      <c r="K52" s="132">
        <f t="shared" si="3"/>
        <v>192.08024427480939</v>
      </c>
      <c r="L52" s="132">
        <f t="shared" si="7"/>
        <v>52</v>
      </c>
      <c r="M52" s="132">
        <v>190.0794083969468</v>
      </c>
      <c r="N52" s="143">
        <v>179.9816301583493</v>
      </c>
    </row>
    <row r="53" spans="2:38">
      <c r="B53" s="130">
        <v>196.08191603053459</v>
      </c>
      <c r="C53">
        <v>24.595026620981766</v>
      </c>
      <c r="D53">
        <v>196.08191603053459</v>
      </c>
      <c r="E53">
        <v>-1594.1962084799934</v>
      </c>
      <c r="F53">
        <v>196.08191603053459</v>
      </c>
      <c r="G53">
        <v>645.65812152000649</v>
      </c>
      <c r="J53" t="str">
        <f>IF(H53="","",$P$6-'Script Table'!$E$15-'Script Table'!$E$19+H53)</f>
        <v/>
      </c>
      <c r="K53" s="132">
        <f t="shared" si="3"/>
        <v>196.08191603053459</v>
      </c>
      <c r="L53" s="132">
        <f t="shared" si="7"/>
        <v>53</v>
      </c>
      <c r="M53" s="132">
        <v>194.08108015267197</v>
      </c>
      <c r="N53" s="143">
        <v>179.98151671237369</v>
      </c>
    </row>
    <row r="54" spans="2:38">
      <c r="B54" s="130">
        <v>200.08358778625978</v>
      </c>
      <c r="C54">
        <v>24.593725954073903</v>
      </c>
      <c r="D54">
        <v>200.08358778625978</v>
      </c>
      <c r="E54">
        <v>-1598.2032063633108</v>
      </c>
      <c r="F54">
        <v>200.08358778625978</v>
      </c>
      <c r="G54">
        <v>641.65112363668914</v>
      </c>
      <c r="J54" t="str">
        <f>IF(H54="","",$P$6-'Script Table'!$E$15-'Script Table'!$E$19+H54)</f>
        <v/>
      </c>
      <c r="K54" s="132">
        <f t="shared" si="3"/>
        <v>200.08358778625978</v>
      </c>
      <c r="L54" s="132">
        <f t="shared" si="7"/>
        <v>54</v>
      </c>
      <c r="M54" s="132">
        <v>198.0827519083972</v>
      </c>
      <c r="N54" s="143">
        <v>179.98140185647068</v>
      </c>
    </row>
    <row r="55" spans="2:38">
      <c r="B55" s="130">
        <v>204.08525954198498</v>
      </c>
      <c r="C55">
        <v>24.592417165040548</v>
      </c>
      <c r="D55">
        <v>204.08525954198498</v>
      </c>
      <c r="E55">
        <v>-1602.2101711461767</v>
      </c>
      <c r="F55">
        <v>204.08525954198498</v>
      </c>
      <c r="G55">
        <v>637.64415885382323</v>
      </c>
      <c r="J55" t="str">
        <f>IF(H55="","",$P$6-'Script Table'!$E$15-'Script Table'!$E$19+H55)</f>
        <v/>
      </c>
      <c r="K55" s="132">
        <f t="shared" si="3"/>
        <v>204.08525954198498</v>
      </c>
      <c r="L55" s="132">
        <f t="shared" si="7"/>
        <v>55</v>
      </c>
      <c r="M55" s="132">
        <v>202.08442366412237</v>
      </c>
      <c r="N55" s="143">
        <v>179.98128556419107</v>
      </c>
    </row>
    <row r="56" spans="2:38">
      <c r="B56" s="130">
        <v>208.08693129771018</v>
      </c>
      <c r="C56">
        <v>24.591100151668044</v>
      </c>
      <c r="D56">
        <v>208.08693129771018</v>
      </c>
      <c r="E56">
        <v>-1606.2171028285404</v>
      </c>
      <c r="F56">
        <v>208.08693129771018</v>
      </c>
      <c r="G56">
        <v>633.63722717145947</v>
      </c>
      <c r="J56" t="str">
        <f>IF(H56="","",$P$6-'Script Table'!$E$15-'Script Table'!$E$19+H56)</f>
        <v/>
      </c>
      <c r="K56" s="132">
        <f t="shared" si="3"/>
        <v>208.08693129771018</v>
      </c>
      <c r="L56" s="132">
        <f t="shared" si="7"/>
        <v>56</v>
      </c>
      <c r="M56" s="132">
        <v>206.0860954198476</v>
      </c>
      <c r="N56" s="143">
        <v>179.98116780842022</v>
      </c>
    </row>
    <row r="57" spans="2:38">
      <c r="B57" s="130">
        <v>212.08860305343538</v>
      </c>
      <c r="C57">
        <v>24.58977480980106</v>
      </c>
      <c r="D57">
        <v>212.08860305343538</v>
      </c>
      <c r="E57">
        <v>-1610.2240014103515</v>
      </c>
      <c r="F57">
        <v>212.08860305343538</v>
      </c>
      <c r="G57">
        <v>629.63032858964834</v>
      </c>
      <c r="J57" t="str">
        <f>IF(H57="","",$P$6-'Script Table'!$E$15-'Script Table'!$E$19+H57)</f>
        <v/>
      </c>
      <c r="K57" s="132">
        <f t="shared" si="3"/>
        <v>212.08860305343538</v>
      </c>
      <c r="L57" s="132">
        <f t="shared" si="7"/>
        <v>57</v>
      </c>
      <c r="M57" s="132">
        <v>210.08776717557276</v>
      </c>
      <c r="N57" s="143">
        <v>179.98104856135726</v>
      </c>
    </row>
    <row r="58" spans="2:38">
      <c r="B58" s="130">
        <v>216.09027480916058</v>
      </c>
      <c r="C58">
        <v>24.588441033293002</v>
      </c>
      <c r="D58">
        <v>216.09027480916058</v>
      </c>
      <c r="E58">
        <v>-1614.2308668915566</v>
      </c>
      <c r="F58">
        <v>216.09027480916058</v>
      </c>
      <c r="G58">
        <v>625.62346310844327</v>
      </c>
      <c r="J58" t="str">
        <f>IF(H58="","",$P$6-'Script Table'!$E$15-'Script Table'!$E$19+H58)</f>
        <v/>
      </c>
      <c r="K58" s="132">
        <f t="shared" si="3"/>
        <v>216.09027480916058</v>
      </c>
      <c r="L58" s="132">
        <f t="shared" si="7"/>
        <v>58</v>
      </c>
      <c r="M58" s="132">
        <v>214.08943893129799</v>
      </c>
      <c r="N58" s="143">
        <v>179.98092779449138</v>
      </c>
    </row>
    <row r="59" spans="2:38">
      <c r="B59" s="130">
        <v>220.09194656488577</v>
      </c>
      <c r="C59">
        <v>24.587098713954997</v>
      </c>
      <c r="D59">
        <v>220.09194656488577</v>
      </c>
      <c r="E59">
        <v>-1618.237699272102</v>
      </c>
      <c r="F59">
        <v>220.09194656488577</v>
      </c>
      <c r="G59">
        <v>621.61663072789793</v>
      </c>
      <c r="J59" t="str">
        <f>IF(H59="","",$P$6-'Script Table'!$E$15-'Script Table'!$E$19+H59)</f>
        <v/>
      </c>
      <c r="K59" s="132">
        <f t="shared" si="3"/>
        <v>220.09194656488577</v>
      </c>
      <c r="L59" s="132">
        <f t="shared" si="7"/>
        <v>59</v>
      </c>
      <c r="M59" s="132">
        <v>218.09111068702316</v>
      </c>
      <c r="N59" s="143">
        <v>179.98080547858137</v>
      </c>
    </row>
    <row r="60" spans="2:38">
      <c r="B60" s="130">
        <v>224.09361832061097</v>
      </c>
      <c r="C60">
        <v>24.585747741503162</v>
      </c>
      <c r="D60">
        <v>224.09361832061097</v>
      </c>
      <c r="E60">
        <v>-1622.2444985519326</v>
      </c>
      <c r="F60">
        <v>224.09361832061097</v>
      </c>
      <c r="G60">
        <v>617.60983144806733</v>
      </c>
      <c r="J60" t="str">
        <f>IF(H60="","",$P$6-'Script Table'!$E$15-'Script Table'!$E$19+H60)</f>
        <v/>
      </c>
      <c r="K60" s="132">
        <f t="shared" si="3"/>
        <v>224.09361832061097</v>
      </c>
      <c r="L60" s="132">
        <f t="shared" si="7"/>
        <v>60</v>
      </c>
      <c r="M60" s="132">
        <v>222.09278244274839</v>
      </c>
      <c r="N60" s="143">
        <v>179.98068158363085</v>
      </c>
    </row>
    <row r="61" spans="2:38">
      <c r="B61" s="130">
        <v>228.09529007633617</v>
      </c>
      <c r="C61">
        <v>24.58438800350412</v>
      </c>
      <c r="D61">
        <v>228.09529007633617</v>
      </c>
      <c r="E61">
        <v>-1626.2512647309902</v>
      </c>
      <c r="F61">
        <v>228.09529007633617</v>
      </c>
      <c r="G61">
        <v>613.60306526900968</v>
      </c>
      <c r="J61" t="str">
        <f>IF(H61="","",$P$6-'Script Table'!$E$15-'Script Table'!$E$19+H61)</f>
        <v/>
      </c>
      <c r="K61" s="132">
        <f t="shared" si="3"/>
        <v>228.09529007633617</v>
      </c>
      <c r="L61" s="132">
        <f t="shared" si="7"/>
        <v>61</v>
      </c>
      <c r="M61" s="132">
        <v>226.09445419847356</v>
      </c>
      <c r="N61" s="143">
        <v>179.98055607886351</v>
      </c>
    </row>
    <row r="62" spans="2:38">
      <c r="B62" s="130">
        <v>232.09696183206137</v>
      </c>
      <c r="C62">
        <v>24.583019385318806</v>
      </c>
      <c r="D62">
        <v>232.09696183206137</v>
      </c>
      <c r="E62">
        <v>-1630.2579978092183</v>
      </c>
      <c r="F62">
        <v>232.09696183206137</v>
      </c>
      <c r="G62">
        <v>609.5963321907816</v>
      </c>
      <c r="J62" t="str">
        <f>IF(H62="","",$P$6-'Script Table'!$E$15-'Script Table'!$E$19+H62)</f>
        <v/>
      </c>
      <c r="K62" s="132">
        <f t="shared" si="3"/>
        <v>232.09696183206137</v>
      </c>
      <c r="L62" s="132">
        <f t="shared" si="7"/>
        <v>62</v>
      </c>
      <c r="M62" s="132">
        <v>230.09612595419878</v>
      </c>
      <c r="N62" s="143">
        <v>179.9804289326984</v>
      </c>
    </row>
    <row r="63" spans="2:38">
      <c r="B63" s="130">
        <v>236.09863358778657</v>
      </c>
      <c r="C63">
        <v>24.581641770044399</v>
      </c>
      <c r="D63">
        <v>236.09863358778657</v>
      </c>
      <c r="E63">
        <v>-1634.2646977865556</v>
      </c>
      <c r="F63">
        <v>236.09863358778657</v>
      </c>
      <c r="G63">
        <v>605.58963221344425</v>
      </c>
      <c r="J63" t="str">
        <f>IF(H63="","",$P$6-'Script Table'!$E$15-'Script Table'!$E$19+H63)</f>
        <v/>
      </c>
      <c r="K63" s="132">
        <f t="shared" si="3"/>
        <v>236.09863358778657</v>
      </c>
      <c r="L63" s="132">
        <f t="shared" si="7"/>
        <v>63</v>
      </c>
      <c r="M63" s="132">
        <v>234.09779770992395</v>
      </c>
      <c r="N63" s="143">
        <v>179.98030011272309</v>
      </c>
    </row>
    <row r="64" spans="2:38">
      <c r="B64" s="130">
        <v>240.10030534351176</v>
      </c>
      <c r="C64">
        <v>24.580255038454286</v>
      </c>
      <c r="D64">
        <v>240.10030534351176</v>
      </c>
      <c r="E64">
        <v>-1638.2713646629413</v>
      </c>
      <c r="F64">
        <v>240.10030534351176</v>
      </c>
      <c r="G64">
        <v>601.58296533705857</v>
      </c>
      <c r="J64" t="str">
        <f>IF(H64="","",$P$6-'Script Table'!$E$15-'Script Table'!$E$19+H64)</f>
        <v/>
      </c>
      <c r="K64" s="132">
        <f t="shared" si="3"/>
        <v>240.10030534351176</v>
      </c>
      <c r="L64" s="132">
        <f t="shared" si="7"/>
        <v>64</v>
      </c>
      <c r="M64" s="132">
        <v>238.09946946564918</v>
      </c>
      <c r="N64" s="143">
        <v>179.98016958566566</v>
      </c>
    </row>
    <row r="65" spans="2:14">
      <c r="B65" s="130">
        <v>244.10197709923696</v>
      </c>
      <c r="C65">
        <v>24.578859068936101</v>
      </c>
      <c r="D65">
        <v>244.10197709923696</v>
      </c>
      <c r="E65">
        <v>-1642.2779984383119</v>
      </c>
      <c r="F65">
        <v>244.10197709923696</v>
      </c>
      <c r="G65">
        <v>597.57633156168799</v>
      </c>
      <c r="J65" t="str">
        <f>IF(H65="","",$P$6-'Script Table'!$E$15-'Script Table'!$E$19+H65)</f>
        <v/>
      </c>
      <c r="K65" s="132">
        <f t="shared" si="3"/>
        <v>244.10197709923696</v>
      </c>
      <c r="L65" s="132">
        <f t="shared" si="7"/>
        <v>65</v>
      </c>
      <c r="M65" s="132">
        <v>242.10114122137435</v>
      </c>
      <c r="N65" s="143">
        <v>179.98003731736699</v>
      </c>
    </row>
    <row r="66" spans="2:14">
      <c r="B66" s="130">
        <v>248.10364885496216</v>
      </c>
      <c r="C66">
        <v>24.577453737427607</v>
      </c>
      <c r="D66">
        <v>248.10364885496216</v>
      </c>
      <c r="E66">
        <v>-1646.284599112603</v>
      </c>
      <c r="F66">
        <v>248.10364885496216</v>
      </c>
      <c r="G66">
        <v>593.56973088739687</v>
      </c>
      <c r="J66" t="str">
        <f>IF(H66="","",$P$6-'Script Table'!$E$15-'Script Table'!$E$19+H66)</f>
        <v/>
      </c>
      <c r="K66" s="132">
        <f t="shared" si="3"/>
        <v>248.10364885496216</v>
      </c>
      <c r="L66" s="132">
        <f t="shared" si="7"/>
        <v>66</v>
      </c>
      <c r="M66" s="132">
        <v>246.10281297709957</v>
      </c>
      <c r="N66" s="143">
        <v>179.97990327274988</v>
      </c>
    </row>
    <row r="67" spans="2:14">
      <c r="B67" s="130">
        <v>252.10532061068736</v>
      </c>
      <c r="C67">
        <v>24.576038917350473</v>
      </c>
      <c r="D67">
        <v>252.10532061068736</v>
      </c>
      <c r="E67">
        <v>-1650.2911666857476</v>
      </c>
      <c r="F67">
        <v>252.10532061068736</v>
      </c>
      <c r="G67">
        <v>589.56316331425228</v>
      </c>
      <c r="J67" t="str">
        <f>IF(H67="","",$P$6-'Script Table'!$E$15-'Script Table'!$E$19+H67)</f>
        <v/>
      </c>
      <c r="K67" s="132">
        <f t="shared" si="3"/>
        <v>252.10532061068736</v>
      </c>
      <c r="L67" s="132">
        <f t="shared" si="7"/>
        <v>67</v>
      </c>
      <c r="M67" s="132">
        <v>250.10448473282474</v>
      </c>
      <c r="N67" s="143">
        <v>179.97976741578901</v>
      </c>
    </row>
    <row r="68" spans="2:14">
      <c r="B68" s="130">
        <v>256.10699236641256</v>
      </c>
      <c r="C68">
        <v>24.574614479541779</v>
      </c>
      <c r="D68">
        <v>256.10699236641256</v>
      </c>
      <c r="E68">
        <v>-1654.2977011576777</v>
      </c>
      <c r="F68">
        <v>256.10699236641256</v>
      </c>
      <c r="G68">
        <v>585.5566288423222</v>
      </c>
      <c r="J68" t="str">
        <f>IF(H68="","",$P$6-'Script Table'!$E$15-'Script Table'!$E$19+H68)</f>
        <v/>
      </c>
      <c r="K68" s="132">
        <f t="shared" ref="K68:K131" si="10">F68</f>
        <v>256.10699236641256</v>
      </c>
      <c r="L68" s="132">
        <f t="shared" si="7"/>
        <v>68</v>
      </c>
      <c r="M68" s="132">
        <v>254.10615648854997</v>
      </c>
      <c r="N68" s="143">
        <v>179.97962970947833</v>
      </c>
    </row>
    <row r="69" spans="2:14">
      <c r="B69" s="130">
        <v>260.10866412213772</v>
      </c>
      <c r="C69">
        <v>24.573180292183121</v>
      </c>
      <c r="D69">
        <v>260.10866412213772</v>
      </c>
      <c r="E69">
        <v>-1658.3042025283225</v>
      </c>
      <c r="F69">
        <v>260.10866412213772</v>
      </c>
      <c r="G69">
        <v>581.55012747167734</v>
      </c>
      <c r="J69" t="str">
        <f>IF(H69="","",$P$6-'Script Table'!$E$15-'Script Table'!$E$19+H69)</f>
        <v/>
      </c>
      <c r="K69" s="132">
        <f t="shared" si="10"/>
        <v>260.10866412213772</v>
      </c>
      <c r="L69" s="132">
        <f t="shared" si="7"/>
        <v>69</v>
      </c>
      <c r="M69" s="132">
        <v>258.10782824427514</v>
      </c>
      <c r="N69" s="143">
        <v>179.97949011579669</v>
      </c>
    </row>
    <row r="70" spans="2:14">
      <c r="B70" s="130">
        <v>264.11033587786289</v>
      </c>
      <c r="C70">
        <v>24.57173622072737</v>
      </c>
      <c r="D70">
        <v>264.11033587786289</v>
      </c>
      <c r="E70">
        <v>-1662.3106707976099</v>
      </c>
      <c r="F70">
        <v>264.11033587786289</v>
      </c>
      <c r="G70">
        <v>577.54365920239002</v>
      </c>
      <c r="J70" t="str">
        <f>IF(H70="","",$P$6-'Script Table'!$E$15-'Script Table'!$E$19+H70)</f>
        <v/>
      </c>
      <c r="K70" s="132">
        <f t="shared" si="10"/>
        <v>264.11033587786289</v>
      </c>
      <c r="L70" s="132">
        <f t="shared" ref="L70:L133" si="11">L69+1</f>
        <v>70</v>
      </c>
      <c r="M70" s="132">
        <v>262.10950000000031</v>
      </c>
      <c r="N70" s="143">
        <v>179.97934859567437</v>
      </c>
    </row>
    <row r="71" spans="2:14">
      <c r="B71" s="130">
        <v>268.11200763358806</v>
      </c>
      <c r="C71">
        <v>24.570282127822793</v>
      </c>
      <c r="D71">
        <v>268.11200763358806</v>
      </c>
      <c r="E71">
        <v>-1666.3171059654658</v>
      </c>
      <c r="F71">
        <v>268.11200763358806</v>
      </c>
      <c r="G71">
        <v>573.53722403453412</v>
      </c>
      <c r="J71" t="str">
        <f>IF(H71="","",$P$6-'Script Table'!$E$15-'Script Table'!$E$19+H71)</f>
        <v/>
      </c>
      <c r="K71" s="132">
        <f t="shared" si="10"/>
        <v>268.11200763358806</v>
      </c>
      <c r="L71" s="132">
        <f t="shared" si="11"/>
        <v>71</v>
      </c>
      <c r="M71" s="132">
        <v>266.11117175572548</v>
      </c>
      <c r="N71" s="143">
        <v>179.97920510895509</v>
      </c>
    </row>
    <row r="72" spans="2:14">
      <c r="B72" s="130">
        <v>272.11367938931323</v>
      </c>
      <c r="C72">
        <v>24.568817873234583</v>
      </c>
      <c r="D72">
        <v>272.11367938931323</v>
      </c>
      <c r="E72">
        <v>-1670.3235080318138</v>
      </c>
      <c r="F72">
        <v>272.11367938931323</v>
      </c>
      <c r="G72">
        <v>569.53082196818605</v>
      </c>
      <c r="J72" t="str">
        <f>IF(H72="","",$P$6-'Script Table'!$E$15-'Script Table'!$E$19+H72)</f>
        <v/>
      </c>
      <c r="K72" s="132">
        <f t="shared" si="10"/>
        <v>272.11367938931323</v>
      </c>
      <c r="L72" s="132">
        <f t="shared" si="11"/>
        <v>72</v>
      </c>
      <c r="M72" s="132">
        <v>270.11284351145065</v>
      </c>
      <c r="N72" s="143">
        <v>179.97905961435913</v>
      </c>
    </row>
    <row r="73" spans="2:14">
      <c r="B73" s="130">
        <v>276.1153511450384</v>
      </c>
      <c r="C73">
        <v>24.567343313763576</v>
      </c>
      <c r="D73">
        <v>276.1153511450384</v>
      </c>
      <c r="E73">
        <v>-1674.329876996575</v>
      </c>
      <c r="F73">
        <v>276.1153511450384</v>
      </c>
      <c r="G73">
        <v>565.52445300342492</v>
      </c>
      <c r="J73" t="str">
        <f>IF(H73="","",$P$6-'Script Table'!$E$15-'Script Table'!$E$19+H73)</f>
        <v/>
      </c>
      <c r="K73" s="132">
        <f t="shared" si="10"/>
        <v>276.1153511450384</v>
      </c>
      <c r="L73" s="132">
        <f t="shared" si="11"/>
        <v>73</v>
      </c>
      <c r="M73" s="132">
        <v>274.11451526717582</v>
      </c>
      <c r="N73" s="143">
        <v>179.97891206944294</v>
      </c>
    </row>
    <row r="74" spans="2:14">
      <c r="B74" s="130">
        <v>280.11702290076357</v>
      </c>
      <c r="C74">
        <v>24.56585830316212</v>
      </c>
      <c r="D74">
        <v>280.11702290076357</v>
      </c>
      <c r="E74">
        <v>-1678.3362128596696</v>
      </c>
      <c r="F74">
        <v>280.11702290076357</v>
      </c>
      <c r="G74">
        <v>561.51811714033033</v>
      </c>
      <c r="J74" t="str">
        <f>IF(H74="","",$P$6-'Script Table'!$E$15-'Script Table'!$E$19+H74)</f>
        <v/>
      </c>
      <c r="K74" s="132">
        <f t="shared" si="10"/>
        <v>280.11702290076357</v>
      </c>
      <c r="L74" s="132">
        <f t="shared" si="11"/>
        <v>74</v>
      </c>
      <c r="M74" s="132">
        <v>278.11618702290099</v>
      </c>
      <c r="N74" s="143">
        <v>179.97876243055836</v>
      </c>
    </row>
    <row r="75" spans="2:14">
      <c r="B75" s="130">
        <v>284.11869465648874</v>
      </c>
      <c r="C75">
        <v>24.564362692046934</v>
      </c>
      <c r="D75">
        <v>284.11869465648874</v>
      </c>
      <c r="E75">
        <v>-1682.3425156210137</v>
      </c>
      <c r="F75">
        <v>284.11869465648874</v>
      </c>
      <c r="G75">
        <v>557.51181437898617</v>
      </c>
      <c r="J75" t="str">
        <f>IF(H75="","",$P$6-'Script Table'!$E$15-'Script Table'!$E$19+H75)</f>
        <v/>
      </c>
      <c r="K75" s="132">
        <f t="shared" si="10"/>
        <v>284.11869465648874</v>
      </c>
      <c r="L75" s="132">
        <f t="shared" si="11"/>
        <v>75</v>
      </c>
      <c r="M75" s="132">
        <v>282.11785877862616</v>
      </c>
      <c r="N75" s="143">
        <v>179.97861065280961</v>
      </c>
    </row>
    <row r="76" spans="2:14">
      <c r="B76" s="130">
        <v>288.12036641221391</v>
      </c>
      <c r="C76">
        <v>24.562856327808802</v>
      </c>
      <c r="D76">
        <v>288.12036641221391</v>
      </c>
      <c r="E76">
        <v>-1686.348785280522</v>
      </c>
      <c r="F76">
        <v>288.12036641221391</v>
      </c>
      <c r="G76">
        <v>553.50554471947794</v>
      </c>
      <c r="J76" t="str">
        <f>IF(H76="","",$P$6-'Script Table'!$E$15-'Script Table'!$E$19+H76)</f>
        <v/>
      </c>
      <c r="K76" s="132">
        <f t="shared" si="10"/>
        <v>288.12036641221391</v>
      </c>
      <c r="L76" s="132">
        <f t="shared" si="11"/>
        <v>76</v>
      </c>
      <c r="M76" s="132">
        <v>286.11953053435133</v>
      </c>
      <c r="N76" s="143">
        <v>179.97845669000782</v>
      </c>
    </row>
    <row r="77" spans="2:14">
      <c r="B77" s="130">
        <v>292.12203816793908</v>
      </c>
      <c r="C77">
        <v>24.561339054519017</v>
      </c>
      <c r="D77">
        <v>292.12203816793908</v>
      </c>
      <c r="E77">
        <v>-1690.3550218381067</v>
      </c>
      <c r="F77">
        <v>292.12203816793908</v>
      </c>
      <c r="G77">
        <v>549.49930816189317</v>
      </c>
      <c r="J77" t="str">
        <f>IF(H77="","",$P$6-'Script Table'!$E$15-'Script Table'!$E$19+H77)</f>
        <v/>
      </c>
      <c r="K77" s="132">
        <f t="shared" si="10"/>
        <v>292.12203816793908</v>
      </c>
      <c r="L77" s="132">
        <f t="shared" si="11"/>
        <v>77</v>
      </c>
      <c r="M77" s="132">
        <v>290.1212022900765</v>
      </c>
      <c r="N77" s="143">
        <v>179.97830049462468</v>
      </c>
    </row>
    <row r="78" spans="2:14">
      <c r="B78" s="130">
        <v>296.12370992366425</v>
      </c>
      <c r="C78">
        <v>24.559810712832416</v>
      </c>
      <c r="D78">
        <v>296.12370992366425</v>
      </c>
      <c r="E78">
        <v>-1694.3612252936769</v>
      </c>
      <c r="F78">
        <v>296.12370992366425</v>
      </c>
      <c r="G78">
        <v>545.49310470632304</v>
      </c>
      <c r="J78" t="str">
        <f>IF(H78="","",$P$6-'Script Table'!$E$15-'Script Table'!$E$19+H78)</f>
        <v/>
      </c>
      <c r="K78" s="132">
        <f t="shared" si="10"/>
        <v>296.12370992366425</v>
      </c>
      <c r="L78" s="132">
        <f t="shared" si="11"/>
        <v>78</v>
      </c>
      <c r="M78" s="132">
        <v>294.12287404580167</v>
      </c>
      <c r="N78" s="143">
        <v>179.97814201774344</v>
      </c>
    </row>
    <row r="79" spans="2:14">
      <c r="B79" s="130">
        <v>300.12538167938942</v>
      </c>
      <c r="C79">
        <v>24.558271139886827</v>
      </c>
      <c r="D79">
        <v>300.12538167938942</v>
      </c>
      <c r="E79">
        <v>-1698.36739564714</v>
      </c>
      <c r="F79">
        <v>300.12538167938942</v>
      </c>
      <c r="G79">
        <v>541.48693435285986</v>
      </c>
      <c r="J79" t="str">
        <f>IF(H79="","",$P$6-'Script Table'!$E$15-'Script Table'!$E$19+H79)</f>
        <v/>
      </c>
      <c r="K79" s="132">
        <f t="shared" si="10"/>
        <v>300.12538167938942</v>
      </c>
      <c r="L79" s="132">
        <f t="shared" si="11"/>
        <v>79</v>
      </c>
      <c r="M79" s="132">
        <v>298.12454580152684</v>
      </c>
      <c r="N79" s="143">
        <v>179.97798120900777</v>
      </c>
    </row>
    <row r="80" spans="2:14">
      <c r="B80" s="130">
        <v>304.12705343511459</v>
      </c>
      <c r="C80">
        <v>24.556720169198787</v>
      </c>
      <c r="D80">
        <v>304.12705343511459</v>
      </c>
      <c r="E80">
        <v>-1702.3735328983998</v>
      </c>
      <c r="F80">
        <v>304.12705343511459</v>
      </c>
      <c r="G80">
        <v>537.48079710160005</v>
      </c>
      <c r="J80" t="str">
        <f>IF(H80="","",$P$6-'Script Table'!$E$15-'Script Table'!$E$19+H80)</f>
        <v/>
      </c>
      <c r="K80" s="132">
        <f t="shared" si="10"/>
        <v>304.12705343511459</v>
      </c>
      <c r="L80" s="132">
        <f t="shared" si="11"/>
        <v>80</v>
      </c>
      <c r="M80" s="132">
        <v>302.12621755725201</v>
      </c>
      <c r="N80" s="143">
        <v>179.97781801656808</v>
      </c>
    </row>
    <row r="81" spans="2:14">
      <c r="B81" s="130">
        <v>308.12872519083976</v>
      </c>
      <c r="C81">
        <v>24.555157630555392</v>
      </c>
      <c r="D81">
        <v>308.12872519083976</v>
      </c>
      <c r="E81">
        <v>-1706.3796370473574</v>
      </c>
      <c r="F81">
        <v>308.12872519083976</v>
      </c>
      <c r="G81">
        <v>533.4746929526425</v>
      </c>
      <c r="J81" t="str">
        <f>IF(H81="","",$P$6-'Script Table'!$E$15-'Script Table'!$E$19+H81)</f>
        <v/>
      </c>
      <c r="K81" s="132">
        <f t="shared" si="10"/>
        <v>308.12872519083976</v>
      </c>
      <c r="L81" s="132">
        <f t="shared" si="11"/>
        <v>81</v>
      </c>
      <c r="M81" s="132">
        <v>306.12788931297717</v>
      </c>
      <c r="N81" s="143">
        <v>179.97765238702644</v>
      </c>
    </row>
    <row r="82" spans="2:14">
      <c r="B82" s="130">
        <v>312.13039694656493</v>
      </c>
      <c r="C82">
        <v>24.553583349902073</v>
      </c>
      <c r="D82">
        <v>312.13039694656493</v>
      </c>
      <c r="E82">
        <v>-1710.385708093911</v>
      </c>
      <c r="F82">
        <v>312.13039694656493</v>
      </c>
      <c r="G82">
        <v>529.46862190608886</v>
      </c>
      <c r="J82" t="str">
        <f>IF(H82="","",$P$6-'Script Table'!$E$15-'Script Table'!$E$19+H82)</f>
        <v/>
      </c>
      <c r="K82" s="132">
        <f t="shared" si="10"/>
        <v>312.13039694656493</v>
      </c>
      <c r="L82" s="132">
        <f t="shared" si="11"/>
        <v>82</v>
      </c>
      <c r="M82" s="132">
        <v>310.12956106870234</v>
      </c>
      <c r="N82" s="143">
        <v>179.97748426537797</v>
      </c>
    </row>
    <row r="83" spans="2:14">
      <c r="B83" s="130">
        <v>316.1320687022901</v>
      </c>
      <c r="C83">
        <v>24.551997149226068</v>
      </c>
      <c r="D83">
        <v>316.1320687022901</v>
      </c>
      <c r="E83">
        <v>-1714.3917460379555</v>
      </c>
      <c r="F83">
        <v>316.1320687022901</v>
      </c>
      <c r="G83">
        <v>525.46258396204439</v>
      </c>
      <c r="J83" t="str">
        <f>IF(H83="","",$P$6-'Script Table'!$E$15-'Script Table'!$E$19+H83)</f>
        <v/>
      </c>
      <c r="K83" s="132">
        <f t="shared" si="10"/>
        <v>316.1320687022901</v>
      </c>
      <c r="L83" s="132">
        <f t="shared" si="11"/>
        <v>83</v>
      </c>
      <c r="M83" s="132">
        <v>314.13123282442751</v>
      </c>
      <c r="N83" s="143">
        <v>179.97731359494944</v>
      </c>
    </row>
    <row r="84" spans="2:14">
      <c r="B84" s="130">
        <v>320.13374045801527</v>
      </c>
      <c r="C84">
        <v>24.550398846435549</v>
      </c>
      <c r="D84">
        <v>320.13374045801527</v>
      </c>
      <c r="E84">
        <v>-1718.397750879383</v>
      </c>
      <c r="F84">
        <v>320.13374045801527</v>
      </c>
      <c r="G84">
        <v>521.45657912061688</v>
      </c>
      <c r="J84" t="str">
        <f>IF(H84="","",$P$6-'Script Table'!$E$15-'Script Table'!$E$19+H84)</f>
        <v/>
      </c>
      <c r="K84" s="132">
        <f t="shared" si="10"/>
        <v>320.13374045801527</v>
      </c>
      <c r="L84" s="132">
        <f t="shared" si="11"/>
        <v>84</v>
      </c>
      <c r="M84" s="132">
        <v>318.13290458015268</v>
      </c>
      <c r="N84" s="143">
        <v>179.97714031733696</v>
      </c>
    </row>
    <row r="85" spans="2:14">
      <c r="B85" s="130">
        <v>324.13541221374044</v>
      </c>
      <c r="C85">
        <v>24.548788255233948</v>
      </c>
      <c r="D85">
        <v>324.13541221374044</v>
      </c>
      <c r="E85">
        <v>-1722.4037226180817</v>
      </c>
      <c r="F85">
        <v>324.13541221374044</v>
      </c>
      <c r="G85">
        <v>517.45060738191819</v>
      </c>
      <c r="J85" t="str">
        <f>IF(H85="","",$P$6-'Script Table'!$E$15-'Script Table'!$E$19+H85)</f>
        <v/>
      </c>
      <c r="K85" s="132">
        <f t="shared" si="10"/>
        <v>324.13541221374044</v>
      </c>
      <c r="L85" s="132">
        <f t="shared" si="11"/>
        <v>85</v>
      </c>
      <c r="M85" s="132">
        <v>322.13457633587785</v>
      </c>
      <c r="N85" s="143">
        <v>179.97696437233716</v>
      </c>
    </row>
    <row r="86" spans="2:14">
      <c r="B86" s="130">
        <v>328.13708396946561</v>
      </c>
      <c r="C86">
        <v>24.547165184989588</v>
      </c>
      <c r="D86">
        <v>328.13708396946561</v>
      </c>
      <c r="E86">
        <v>-1726.409661253937</v>
      </c>
      <c r="F86">
        <v>328.13708396946561</v>
      </c>
      <c r="G86">
        <v>513.44466874606292</v>
      </c>
      <c r="J86" t="str">
        <f>IF(H86="","",$P$6-'Script Table'!$E$15-'Script Table'!$E$19+H86)</f>
        <v/>
      </c>
      <c r="K86" s="132">
        <f t="shared" si="10"/>
        <v>328.13708396946561</v>
      </c>
      <c r="L86" s="132">
        <f t="shared" si="11"/>
        <v>86</v>
      </c>
      <c r="M86" s="132">
        <v>326.13624809160302</v>
      </c>
      <c r="N86" s="143">
        <v>179.97678569788013</v>
      </c>
    </row>
    <row r="87" spans="2:14">
      <c r="B87" s="130">
        <v>332.13875572519078</v>
      </c>
      <c r="C87">
        <v>24.545529440600053</v>
      </c>
      <c r="D87">
        <v>332.13875572519078</v>
      </c>
      <c r="E87">
        <v>-1730.4155667868301</v>
      </c>
      <c r="F87">
        <v>332.13875572519078</v>
      </c>
      <c r="G87">
        <v>509.43876321316975</v>
      </c>
      <c r="J87" t="str">
        <f>IF(H87="","",$P$6-'Script Table'!$E$15-'Script Table'!$E$19+H87)</f>
        <v/>
      </c>
      <c r="K87" s="132">
        <f t="shared" si="10"/>
        <v>332.13875572519078</v>
      </c>
      <c r="L87" s="132">
        <f t="shared" si="11"/>
        <v>87</v>
      </c>
      <c r="M87" s="132">
        <v>330.13791984732819</v>
      </c>
      <c r="N87" s="143">
        <v>179.97660422995398</v>
      </c>
    </row>
    <row r="88" spans="2:14">
      <c r="B88" s="130">
        <v>336.14042748091595</v>
      </c>
      <c r="C88">
        <v>24.543880822351309</v>
      </c>
      <c r="D88">
        <v>336.14042748091595</v>
      </c>
      <c r="E88">
        <v>-1734.4214392166386</v>
      </c>
      <c r="F88">
        <v>336.14042748091595</v>
      </c>
      <c r="G88">
        <v>505.43289078336124</v>
      </c>
      <c r="J88" t="str">
        <f>IF(H88="","",$P$6-'Script Table'!$E$15-'Script Table'!$E$19+H88)</f>
        <v/>
      </c>
      <c r="K88" s="132">
        <f t="shared" si="10"/>
        <v>336.14042748091595</v>
      </c>
      <c r="L88" s="132">
        <f t="shared" si="11"/>
        <v>88</v>
      </c>
      <c r="M88" s="132">
        <v>334.13959160305336</v>
      </c>
      <c r="N88" s="143">
        <v>179.97641990252973</v>
      </c>
    </row>
    <row r="89" spans="2:14">
      <c r="B89" s="130">
        <v>340.14209923664112</v>
      </c>
      <c r="C89">
        <v>24.542219125771197</v>
      </c>
      <c r="D89">
        <v>340.14209923664112</v>
      </c>
      <c r="E89">
        <v>-1738.4272785432365</v>
      </c>
      <c r="F89">
        <v>340.14209923664112</v>
      </c>
      <c r="G89">
        <v>501.42705145676337</v>
      </c>
      <c r="J89" t="str">
        <f>IF(H89="","",$P$6-'Script Table'!$E$15-'Script Table'!$E$19+H89)</f>
        <v/>
      </c>
      <c r="K89" s="132">
        <f t="shared" si="10"/>
        <v>340.14209923664112</v>
      </c>
      <c r="L89" s="132">
        <f t="shared" si="11"/>
        <v>89</v>
      </c>
      <c r="M89" s="132">
        <v>338.14126335877853</v>
      </c>
      <c r="N89" s="143">
        <v>179.97623264748074</v>
      </c>
    </row>
    <row r="90" spans="2:14">
      <c r="B90" s="130">
        <v>344.14377099236629</v>
      </c>
      <c r="C90">
        <v>24.540544141477096</v>
      </c>
      <c r="D90">
        <v>344.14377099236629</v>
      </c>
      <c r="E90">
        <v>-1742.4330847664933</v>
      </c>
      <c r="F90">
        <v>344.14377099236629</v>
      </c>
      <c r="G90">
        <v>497.42124523350662</v>
      </c>
      <c r="J90" t="str">
        <f>IF(H90="","",$P$6-'Script Table'!$E$15-'Script Table'!$E$19+H90)</f>
        <v/>
      </c>
      <c r="K90" s="132">
        <f t="shared" si="10"/>
        <v>344.14377099236629</v>
      </c>
      <c r="L90" s="132">
        <f t="shared" si="11"/>
        <v>90</v>
      </c>
      <c r="M90" s="132">
        <v>342.1429351145037</v>
      </c>
      <c r="N90" s="143">
        <v>179.97604239449916</v>
      </c>
    </row>
    <row r="91" spans="2:14">
      <c r="B91" s="130">
        <v>348.14544274809145</v>
      </c>
      <c r="C91">
        <v>24.538855655017382</v>
      </c>
      <c r="D91">
        <v>348.14544274809145</v>
      </c>
      <c r="E91">
        <v>-1746.4388578862745</v>
      </c>
      <c r="F91">
        <v>348.14544274809145</v>
      </c>
      <c r="G91">
        <v>493.4154721137254</v>
      </c>
      <c r="J91" t="str">
        <f>IF(H91="","",$P$6-'Script Table'!$E$15-'Script Table'!$E$19+H91)</f>
        <v/>
      </c>
      <c r="K91" s="132">
        <f t="shared" si="10"/>
        <v>348.14544274809145</v>
      </c>
      <c r="L91" s="132">
        <f t="shared" si="11"/>
        <v>91</v>
      </c>
      <c r="M91" s="132">
        <v>346.14460687022887</v>
      </c>
      <c r="N91" s="143">
        <v>179.97584907100722</v>
      </c>
    </row>
    <row r="92" spans="2:14">
      <c r="B92" s="130">
        <v>352.14711450381662</v>
      </c>
      <c r="C92">
        <v>24.537153446706494</v>
      </c>
      <c r="D92">
        <v>352.14711450381662</v>
      </c>
      <c r="E92">
        <v>-1750.4445979024417</v>
      </c>
      <c r="F92">
        <v>352.14711450381662</v>
      </c>
      <c r="G92">
        <v>489.40973209755816</v>
      </c>
      <c r="J92" t="str">
        <f>IF(H92="","",$P$6-'Script Table'!$E$15-'Script Table'!$E$19+H92)</f>
        <v/>
      </c>
      <c r="K92" s="132">
        <f t="shared" si="10"/>
        <v>352.14711450381662</v>
      </c>
      <c r="L92" s="132">
        <f t="shared" si="11"/>
        <v>92</v>
      </c>
      <c r="M92" s="132">
        <v>350.14627862595404</v>
      </c>
      <c r="N92" s="143">
        <v>179.97565260206557</v>
      </c>
    </row>
    <row r="93" spans="2:14">
      <c r="B93" s="130">
        <v>356.14878625954179</v>
      </c>
      <c r="C93">
        <v>24.535437291453203</v>
      </c>
      <c r="D93">
        <v>356.14878625954179</v>
      </c>
      <c r="E93">
        <v>-1754.4503048148506</v>
      </c>
      <c r="F93">
        <v>356.14878625954179</v>
      </c>
      <c r="G93">
        <v>485.40402518514929</v>
      </c>
      <c r="J93" t="str">
        <f>IF(H93="","",$P$6-'Script Table'!$E$15-'Script Table'!$E$19+H93)</f>
        <v/>
      </c>
      <c r="K93" s="132">
        <f t="shared" si="10"/>
        <v>356.14878625954179</v>
      </c>
      <c r="L93" s="132">
        <f t="shared" si="11"/>
        <v>93</v>
      </c>
      <c r="M93" s="132">
        <v>354.14795038167921</v>
      </c>
      <c r="N93" s="143">
        <v>179.97545291027606</v>
      </c>
    </row>
    <row r="94" spans="2:14">
      <c r="B94" s="130">
        <v>360.15045801526696</v>
      </c>
      <c r="C94">
        <v>24.533706958581767</v>
      </c>
      <c r="D94">
        <v>360.15045801526696</v>
      </c>
      <c r="E94">
        <v>-1758.4559786233533</v>
      </c>
      <c r="F94">
        <v>360.15045801526696</v>
      </c>
      <c r="G94">
        <v>481.39835137664659</v>
      </c>
      <c r="J94" t="str">
        <f>IF(H94="","",$P$6-'Script Table'!$E$15-'Script Table'!$E$19+H94)</f>
        <v/>
      </c>
      <c r="K94" s="132">
        <f t="shared" si="10"/>
        <v>360.15045801526696</v>
      </c>
      <c r="L94" s="132">
        <f t="shared" si="11"/>
        <v>94</v>
      </c>
      <c r="M94" s="132">
        <v>358.14962213740438</v>
      </c>
      <c r="N94" s="143">
        <v>179.97524991567985</v>
      </c>
    </row>
    <row r="95" spans="2:14">
      <c r="B95" s="130">
        <v>364.15212977099213</v>
      </c>
      <c r="C95">
        <v>24.531962211645681</v>
      </c>
      <c r="D95">
        <v>364.15212977099213</v>
      </c>
      <c r="E95">
        <v>-1762.4616193277968</v>
      </c>
      <c r="F95">
        <v>364.15212977099213</v>
      </c>
      <c r="G95">
        <v>477.39271067220307</v>
      </c>
      <c r="J95" t="str">
        <f>IF(H95="","",$P$6-'Script Table'!$E$15-'Script Table'!$E$19+H95)</f>
        <v/>
      </c>
      <c r="K95" s="132">
        <f t="shared" si="10"/>
        <v>364.15212977099213</v>
      </c>
      <c r="L95" s="132">
        <f t="shared" si="11"/>
        <v>95</v>
      </c>
      <c r="M95" s="132">
        <v>362.15129389312955</v>
      </c>
      <c r="N95" s="143">
        <v>179.97504353565131</v>
      </c>
    </row>
    <row r="96" spans="2:14">
      <c r="B96" s="130">
        <v>368.1538015267173</v>
      </c>
      <c r="C96">
        <v>24.53020280823355</v>
      </c>
      <c r="D96">
        <v>368.1538015267173</v>
      </c>
      <c r="E96">
        <v>-1766.4672269280227</v>
      </c>
      <c r="F96">
        <v>368.1538015267173</v>
      </c>
      <c r="G96">
        <v>473.38710307197721</v>
      </c>
      <c r="J96" t="str">
        <f>IF(H96="","",$P$6-'Script Table'!$E$15-'Script Table'!$E$19+H96)</f>
        <v/>
      </c>
      <c r="K96" s="132">
        <f t="shared" si="10"/>
        <v>368.1538015267173</v>
      </c>
      <c r="L96" s="132">
        <f t="shared" si="11"/>
        <v>96</v>
      </c>
      <c r="M96" s="132">
        <v>366.15296564885472</v>
      </c>
      <c r="N96" s="143">
        <v>179.97483368478544</v>
      </c>
    </row>
    <row r="97" spans="2:14">
      <c r="B97" s="130">
        <v>372.15547328244247</v>
      </c>
      <c r="C97">
        <v>24.528428499766751</v>
      </c>
      <c r="D97">
        <v>372.15547328244247</v>
      </c>
      <c r="E97">
        <v>-1770.4728014238669</v>
      </c>
      <c r="F97">
        <v>372.15547328244247</v>
      </c>
      <c r="G97">
        <v>469.38152857613295</v>
      </c>
      <c r="J97" t="str">
        <f>IF(H97="","",$P$6-'Script Table'!$E$15-'Script Table'!$E$19+H97)</f>
        <v/>
      </c>
      <c r="K97" s="132">
        <f t="shared" si="10"/>
        <v>372.15547328244247</v>
      </c>
      <c r="L97" s="132">
        <f t="shared" si="11"/>
        <v>97</v>
      </c>
      <c r="M97" s="132">
        <v>370.15463740457989</v>
      </c>
      <c r="N97" s="143">
        <v>179.97462027477997</v>
      </c>
    </row>
    <row r="98" spans="2:14">
      <c r="B98" s="130">
        <v>376.15714503816764</v>
      </c>
      <c r="C98">
        <v>24.526639031288404</v>
      </c>
      <c r="D98">
        <v>376.15714503816764</v>
      </c>
      <c r="E98">
        <v>-1774.4783428151597</v>
      </c>
      <c r="F98">
        <v>376.15714503816764</v>
      </c>
      <c r="G98">
        <v>465.37598718484014</v>
      </c>
      <c r="J98" t="str">
        <f>IF(H98="","",$P$6-'Script Table'!$E$15-'Script Table'!$E$19+H98)</f>
        <v/>
      </c>
      <c r="K98" s="132">
        <f t="shared" si="10"/>
        <v>376.15714503816764</v>
      </c>
      <c r="L98" s="132">
        <f t="shared" si="11"/>
        <v>98</v>
      </c>
      <c r="M98" s="132">
        <v>374.15630916030506</v>
      </c>
      <c r="N98" s="143">
        <v>179.97440321431137</v>
      </c>
    </row>
    <row r="99" spans="2:14">
      <c r="B99" s="130">
        <v>380.15881679389281</v>
      </c>
      <c r="C99">
        <v>24.524834141243314</v>
      </c>
      <c r="D99">
        <v>380.15881679389281</v>
      </c>
      <c r="E99">
        <v>-1778.4838511017272</v>
      </c>
      <c r="F99">
        <v>380.15881679389281</v>
      </c>
      <c r="G99">
        <v>461.37047889827272</v>
      </c>
      <c r="J99" t="str">
        <f>IF(H99="","",$P$6-'Script Table'!$E$15-'Script Table'!$E$19+H99)</f>
        <v/>
      </c>
      <c r="K99" s="132">
        <f t="shared" si="10"/>
        <v>380.15881679389281</v>
      </c>
      <c r="L99" s="132">
        <f t="shared" si="11"/>
        <v>99</v>
      </c>
      <c r="M99" s="132">
        <v>378.15798091603023</v>
      </c>
      <c r="N99" s="143">
        <v>179.97418240890511</v>
      </c>
    </row>
    <row r="100" spans="2:14">
      <c r="B100" s="130">
        <v>384.16048854961798</v>
      </c>
      <c r="C100">
        <v>24.523013561248256</v>
      </c>
      <c r="D100">
        <v>384.16048854961798</v>
      </c>
      <c r="E100">
        <v>-1782.4893262833866</v>
      </c>
      <c r="F100">
        <v>384.16048854961798</v>
      </c>
      <c r="G100">
        <v>457.36500371661327</v>
      </c>
      <c r="J100" t="str">
        <f>IF(H100="","",$P$6-'Script Table'!$E$15-'Script Table'!$E$19+H100)</f>
        <v/>
      </c>
      <c r="K100" s="132">
        <f t="shared" si="10"/>
        <v>384.16048854961798</v>
      </c>
      <c r="L100" s="132">
        <f t="shared" si="11"/>
        <v>100</v>
      </c>
      <c r="M100" s="132">
        <v>382.1596526717554</v>
      </c>
      <c r="N100" s="143">
        <v>179.97395776079773</v>
      </c>
    </row>
    <row r="101" spans="2:14">
      <c r="B101" s="130">
        <v>388.16216030534315</v>
      </c>
      <c r="C101">
        <v>24.521177015852249</v>
      </c>
      <c r="D101">
        <v>388.16216030534315</v>
      </c>
      <c r="E101">
        <v>-1786.4947683599503</v>
      </c>
      <c r="F101">
        <v>388.16216030534315</v>
      </c>
      <c r="G101">
        <v>453.35956164004961</v>
      </c>
      <c r="J101" t="str">
        <f>IF(H101="","",$P$6-'Script Table'!$E$15-'Script Table'!$E$19+H101)</f>
        <v/>
      </c>
      <c r="K101" s="132">
        <f t="shared" si="10"/>
        <v>388.16216030534315</v>
      </c>
      <c r="L101" s="132">
        <f t="shared" si="11"/>
        <v>101</v>
      </c>
      <c r="M101" s="132">
        <v>386.16132442748057</v>
      </c>
      <c r="N101" s="143">
        <v>179.97372916879337</v>
      </c>
    </row>
    <row r="102" spans="2:14">
      <c r="B102" s="130">
        <v>392.16383206106832</v>
      </c>
      <c r="C102">
        <v>24.519324222286137</v>
      </c>
      <c r="D102">
        <v>392.16383206106832</v>
      </c>
      <c r="E102">
        <v>-1790.500177331224</v>
      </c>
      <c r="F102">
        <v>392.16383206106832</v>
      </c>
      <c r="G102">
        <v>449.3541526687759</v>
      </c>
      <c r="J102" t="str">
        <f>IF(H102="","",$P$6-'Script Table'!$E$15-'Script Table'!$E$19+H102)</f>
        <v/>
      </c>
      <c r="K102" s="132">
        <f t="shared" si="10"/>
        <v>392.16383206106832</v>
      </c>
      <c r="L102" s="132">
        <f t="shared" si="11"/>
        <v>102</v>
      </c>
      <c r="M102" s="132">
        <v>390.16299618320573</v>
      </c>
      <c r="N102" s="143">
        <v>179.97349652811062</v>
      </c>
    </row>
    <row r="103" spans="2:14">
      <c r="B103" s="130">
        <v>396.16550381679349</v>
      </c>
      <c r="C103">
        <v>24.517454890201062</v>
      </c>
      <c r="D103">
        <v>396.16550381679349</v>
      </c>
      <c r="E103">
        <v>-1794.5055531970067</v>
      </c>
      <c r="F103">
        <v>396.16550381679349</v>
      </c>
      <c r="G103">
        <v>445.34877680299314</v>
      </c>
      <c r="J103" t="str">
        <f>IF(H103="","",$P$6-'Script Table'!$E$15-'Script Table'!$E$19+H103)</f>
        <v/>
      </c>
      <c r="K103" s="132">
        <f t="shared" si="10"/>
        <v>396.16550381679349</v>
      </c>
      <c r="L103" s="132">
        <f t="shared" si="11"/>
        <v>103</v>
      </c>
      <c r="M103" s="132">
        <v>394.1646679389309</v>
      </c>
      <c r="N103" s="143">
        <v>179.97325973022362</v>
      </c>
    </row>
    <row r="104" spans="2:14">
      <c r="B104" s="130">
        <v>400.16717557251866</v>
      </c>
      <c r="C104">
        <v>24.515568721395084</v>
      </c>
      <c r="D104">
        <v>400.16717557251866</v>
      </c>
      <c r="E104">
        <v>-1798.5108959570889</v>
      </c>
      <c r="F104">
        <v>400.16717557251866</v>
      </c>
      <c r="G104">
        <v>441.34343404291099</v>
      </c>
      <c r="J104" t="str">
        <f>IF(H104="","",$P$6-'Script Table'!$E$15-'Script Table'!$E$19+H104)</f>
        <v/>
      </c>
      <c r="K104" s="132">
        <f t="shared" si="10"/>
        <v>400.16717557251866</v>
      </c>
      <c r="L104" s="132">
        <f t="shared" si="11"/>
        <v>104</v>
      </c>
      <c r="M104" s="132">
        <v>398.16633969465607</v>
      </c>
      <c r="N104" s="143">
        <v>179.97301866269214</v>
      </c>
    </row>
    <row r="105" spans="2:14">
      <c r="B105" s="130">
        <v>404.16884732824383</v>
      </c>
      <c r="C105">
        <v>24.513665409527409</v>
      </c>
      <c r="D105">
        <v>404.16884732824383</v>
      </c>
      <c r="E105">
        <v>-1802.5162056112545</v>
      </c>
      <c r="F105">
        <v>404.16884732824383</v>
      </c>
      <c r="G105">
        <v>437.33812438874543</v>
      </c>
      <c r="J105" t="str">
        <f>IF(H105="","",$P$6-'Script Table'!$E$15-'Script Table'!$E$19+H105)</f>
        <v/>
      </c>
      <c r="K105" s="132">
        <f t="shared" si="10"/>
        <v>404.16884732824383</v>
      </c>
      <c r="L105" s="132">
        <f t="shared" si="11"/>
        <v>105</v>
      </c>
      <c r="M105" s="132">
        <v>402.16801145038124</v>
      </c>
      <c r="N105" s="143">
        <v>179.97277320898445</v>
      </c>
    </row>
    <row r="106" spans="2:14">
      <c r="B106" s="130">
        <v>408.170519083969</v>
      </c>
      <c r="C106">
        <v>24.511744639819451</v>
      </c>
      <c r="D106">
        <v>408.170519083969</v>
      </c>
      <c r="E106">
        <v>-1806.5214821592795</v>
      </c>
      <c r="F106">
        <v>408.170519083969</v>
      </c>
      <c r="G106">
        <v>433.33284784072043</v>
      </c>
      <c r="J106" t="str">
        <f>IF(H106="","",$P$6-'Script Table'!$E$15-'Script Table'!$E$19+H106)</f>
        <v/>
      </c>
      <c r="K106" s="132">
        <f t="shared" si="10"/>
        <v>408.170519083969</v>
      </c>
      <c r="L106" s="132">
        <f t="shared" si="11"/>
        <v>106</v>
      </c>
      <c r="M106" s="132">
        <v>406.16968320610641</v>
      </c>
      <c r="N106" s="143">
        <v>179.97252324828847</v>
      </c>
    </row>
    <row r="107" spans="2:14">
      <c r="B107" s="130">
        <v>412.17219083969417</v>
      </c>
      <c r="C107">
        <v>24.509806088742103</v>
      </c>
      <c r="D107">
        <v>412.17219083969417</v>
      </c>
      <c r="E107">
        <v>-1810.5267256009308</v>
      </c>
      <c r="F107">
        <v>412.17219083969417</v>
      </c>
      <c r="G107">
        <v>429.32760439906906</v>
      </c>
      <c r="J107" t="str">
        <f>IF(H107="","",$P$6-'Script Table'!$E$15-'Script Table'!$E$19+H107)</f>
        <v/>
      </c>
      <c r="K107" s="132">
        <f t="shared" si="10"/>
        <v>412.17219083969417</v>
      </c>
      <c r="L107" s="132">
        <f t="shared" si="11"/>
        <v>107</v>
      </c>
      <c r="M107" s="132">
        <v>410.17135496183158</v>
      </c>
      <c r="N107" s="143">
        <v>179.97226865531456</v>
      </c>
    </row>
    <row r="108" spans="2:14">
      <c r="B108" s="130">
        <v>416.17386259541934</v>
      </c>
      <c r="C108">
        <v>24.507849423688295</v>
      </c>
      <c r="D108">
        <v>416.17386259541934</v>
      </c>
      <c r="E108">
        <v>-1814.5319359359669</v>
      </c>
      <c r="F108">
        <v>416.17386259541934</v>
      </c>
      <c r="G108">
        <v>425.32239406403301</v>
      </c>
      <c r="J108" t="str">
        <f>IF(H108="","",$P$6-'Script Table'!$E$15-'Script Table'!$E$19+H108)</f>
        <v/>
      </c>
      <c r="K108" s="132">
        <f t="shared" si="10"/>
        <v>416.17386259541934</v>
      </c>
      <c r="L108" s="132">
        <f t="shared" si="11"/>
        <v>108</v>
      </c>
      <c r="M108" s="132">
        <v>414.17302671755675</v>
      </c>
      <c r="N108" s="143">
        <v>179.97200930008481</v>
      </c>
    </row>
    <row r="109" spans="2:14">
      <c r="B109" s="130">
        <v>420.17553435114451</v>
      </c>
      <c r="C109">
        <v>24.505874302630211</v>
      </c>
      <c r="D109">
        <v>420.17553435114451</v>
      </c>
      <c r="E109">
        <v>-1818.5371131641368</v>
      </c>
      <c r="F109">
        <v>420.17553435114451</v>
      </c>
      <c r="G109">
        <v>421.31721683586306</v>
      </c>
      <c r="J109" t="str">
        <f>IF(H109="","",$P$6-'Script Table'!$E$15-'Script Table'!$E$19+H109)</f>
        <v/>
      </c>
      <c r="K109" s="132">
        <f t="shared" si="10"/>
        <v>420.17553435114451</v>
      </c>
      <c r="L109" s="132">
        <f t="shared" si="11"/>
        <v>109</v>
      </c>
      <c r="M109" s="132">
        <v>418.17469847328192</v>
      </c>
      <c r="N109" s="143">
        <v>179.9717450477132</v>
      </c>
    </row>
    <row r="110" spans="2:14">
      <c r="B110" s="130">
        <v>424.17720610686968</v>
      </c>
      <c r="C110">
        <v>24.50388037376004</v>
      </c>
      <c r="D110">
        <v>424.17720610686968</v>
      </c>
      <c r="E110">
        <v>-1822.5422572851808</v>
      </c>
      <c r="F110">
        <v>424.17720610686968</v>
      </c>
      <c r="G110">
        <v>417.31207271481912</v>
      </c>
      <c r="J110" t="str">
        <f>IF(H110="","",$P$6-'Script Table'!$E$15-'Script Table'!$E$19+H110)</f>
        <v/>
      </c>
      <c r="K110" s="132">
        <f t="shared" si="10"/>
        <v>424.17720610686968</v>
      </c>
      <c r="L110" s="132">
        <f t="shared" si="11"/>
        <v>110</v>
      </c>
      <c r="M110" s="132">
        <v>422.17637022900709</v>
      </c>
      <c r="N110" s="143">
        <v>179.97147575817021</v>
      </c>
    </row>
    <row r="111" spans="2:14">
      <c r="B111" s="130">
        <v>428.17887786259485</v>
      </c>
      <c r="C111">
        <v>24.501867275113543</v>
      </c>
      <c r="D111">
        <v>428.17887786259485</v>
      </c>
      <c r="E111">
        <v>-1826.5473682988286</v>
      </c>
      <c r="F111">
        <v>428.17887786259485</v>
      </c>
      <c r="G111">
        <v>413.3069617011713</v>
      </c>
      <c r="J111" t="str">
        <f>IF(H111="","",$P$6-'Script Table'!$E$15-'Script Table'!$E$19+H111)</f>
        <v/>
      </c>
      <c r="K111" s="132">
        <f t="shared" si="10"/>
        <v>428.17887786259485</v>
      </c>
      <c r="L111" s="132">
        <f t="shared" si="11"/>
        <v>111</v>
      </c>
      <c r="M111" s="132">
        <v>426.17804198473226</v>
      </c>
      <c r="N111" s="143">
        <v>179.9712012860364</v>
      </c>
    </row>
    <row r="112" spans="2:14">
      <c r="B112" s="130">
        <v>432.18054961832001</v>
      </c>
      <c r="C112">
        <v>24.499834634175269</v>
      </c>
      <c r="D112">
        <v>432.18054961832001</v>
      </c>
      <c r="E112">
        <v>-1830.5524462047988</v>
      </c>
      <c r="F112">
        <v>432.18054961832001</v>
      </c>
      <c r="G112">
        <v>409.30188379520109</v>
      </c>
      <c r="J112" t="str">
        <f>IF(H112="","",$P$6-'Script Table'!$E$15-'Script Table'!$E$19+H112)</f>
        <v/>
      </c>
      <c r="K112" s="132">
        <f t="shared" si="10"/>
        <v>432.18054961832001</v>
      </c>
      <c r="L112" s="132">
        <f t="shared" si="11"/>
        <v>112</v>
      </c>
      <c r="M112" s="132">
        <v>430.17971374045743</v>
      </c>
      <c r="N112" s="143">
        <v>179.97092148023989</v>
      </c>
    </row>
    <row r="113" spans="2:14">
      <c r="B113" s="130">
        <v>436.18222137404518</v>
      </c>
      <c r="C113">
        <v>24.497782067464417</v>
      </c>
      <c r="D113">
        <v>436.18222137404518</v>
      </c>
      <c r="E113">
        <v>-1834.5574910028001</v>
      </c>
      <c r="F113">
        <v>436.18222137404518</v>
      </c>
      <c r="G113">
        <v>405.29683899719976</v>
      </c>
      <c r="J113" t="str">
        <f>IF(H113="","",$P$6-'Script Table'!$E$15-'Script Table'!$E$19+H113)</f>
        <v/>
      </c>
      <c r="K113" s="132">
        <f t="shared" si="10"/>
        <v>436.18222137404518</v>
      </c>
      <c r="L113" s="132">
        <f t="shared" si="11"/>
        <v>113</v>
      </c>
      <c r="M113" s="132">
        <v>434.1813854961826</v>
      </c>
      <c r="N113" s="143">
        <v>179.97063618377919</v>
      </c>
    </row>
    <row r="114" spans="2:14">
      <c r="B114" s="130">
        <v>440.18389312977035</v>
      </c>
      <c r="C114">
        <v>24.495709180100199</v>
      </c>
      <c r="D114">
        <v>440.18389312977035</v>
      </c>
      <c r="E114">
        <v>-1838.5625026925284</v>
      </c>
      <c r="F114">
        <v>440.18389312977035</v>
      </c>
      <c r="G114">
        <v>401.29182730747152</v>
      </c>
      <c r="J114" t="str">
        <f>IF(H114="","",$P$6-'Script Table'!$E$15-'Script Table'!$E$19+H114)</f>
        <v/>
      </c>
      <c r="K114" s="132">
        <f t="shared" si="10"/>
        <v>440.18389312977035</v>
      </c>
      <c r="L114" s="132">
        <f t="shared" si="11"/>
        <v>114</v>
      </c>
      <c r="M114" s="132">
        <v>438.18305725190777</v>
      </c>
      <c r="N114" s="143">
        <v>179.97034523342964</v>
      </c>
    </row>
    <row r="115" spans="2:14">
      <c r="B115" s="130">
        <v>444.18556488549552</v>
      </c>
      <c r="C115">
        <v>24.493615565345415</v>
      </c>
      <c r="D115">
        <v>444.18556488549552</v>
      </c>
      <c r="E115">
        <v>-1842.5674812736681</v>
      </c>
      <c r="F115">
        <v>444.18556488549552</v>
      </c>
      <c r="G115">
        <v>397.28684872633175</v>
      </c>
      <c r="J115" t="str">
        <f>IF(H115="","",$P$6-'Script Table'!$E$15-'Script Table'!$E$19+H115)</f>
        <v/>
      </c>
      <c r="K115" s="132">
        <f t="shared" si="10"/>
        <v>444.18556488549552</v>
      </c>
      <c r="L115" s="132">
        <f t="shared" si="11"/>
        <v>115</v>
      </c>
      <c r="M115" s="132">
        <v>442.18472900763294</v>
      </c>
      <c r="N115" s="143">
        <v>179.97004845943155</v>
      </c>
    </row>
    <row r="116" spans="2:14">
      <c r="B116" s="130">
        <v>448.18723664122069</v>
      </c>
      <c r="C116">
        <v>24.491500804126979</v>
      </c>
      <c r="D116">
        <v>448.18723664122069</v>
      </c>
      <c r="E116">
        <v>-1846.5724267458907</v>
      </c>
      <c r="F116">
        <v>448.18723664122069</v>
      </c>
      <c r="G116">
        <v>393.28190325410924</v>
      </c>
      <c r="J116" t="str">
        <f>IF(H116="","",$P$6-'Script Table'!$E$15-'Script Table'!$E$19+H116)</f>
        <v/>
      </c>
      <c r="K116" s="132">
        <f t="shared" si="10"/>
        <v>448.18723664122069</v>
      </c>
      <c r="L116" s="132">
        <f t="shared" si="11"/>
        <v>116</v>
      </c>
      <c r="M116" s="132">
        <v>446.18640076335811</v>
      </c>
      <c r="N116" s="143">
        <v>179.96974568516018</v>
      </c>
    </row>
    <row r="117" spans="2:14">
      <c r="B117" s="130">
        <v>452.18890839694586</v>
      </c>
      <c r="C117">
        <v>24.489364464531931</v>
      </c>
      <c r="D117">
        <v>452.18890839694586</v>
      </c>
      <c r="E117">
        <v>-1850.5773391088537</v>
      </c>
      <c r="F117">
        <v>452.18890839694586</v>
      </c>
      <c r="G117">
        <v>389.27699089114617</v>
      </c>
      <c r="J117" t="str">
        <f>IF(H117="","",$P$6-'Script Table'!$E$15-'Script Table'!$E$19+H117)</f>
        <v/>
      </c>
      <c r="K117" s="132">
        <f t="shared" si="10"/>
        <v>452.18890839694586</v>
      </c>
      <c r="L117" s="132">
        <f t="shared" si="11"/>
        <v>117</v>
      </c>
      <c r="M117" s="132">
        <v>450.18807251908328</v>
      </c>
      <c r="N117" s="143">
        <v>179.96943672677457</v>
      </c>
    </row>
    <row r="118" spans="2:14">
      <c r="B118" s="130">
        <v>456.19058015267103</v>
      </c>
      <c r="C118">
        <v>24.48720610127749</v>
      </c>
      <c r="D118">
        <v>456.19058015267103</v>
      </c>
      <c r="E118">
        <v>-1854.5822183622013</v>
      </c>
      <c r="F118">
        <v>456.19058015267103</v>
      </c>
      <c r="G118">
        <v>385.27211163779862</v>
      </c>
      <c r="J118" t="str">
        <f>IF(H118="","",$P$6-'Script Table'!$E$15-'Script Table'!$E$19+H118)</f>
        <v/>
      </c>
      <c r="K118" s="132">
        <f t="shared" si="10"/>
        <v>456.19058015267103</v>
      </c>
      <c r="L118" s="132">
        <f t="shared" si="11"/>
        <v>118</v>
      </c>
      <c r="M118" s="132">
        <v>454.18974427480845</v>
      </c>
      <c r="N118" s="143">
        <v>179.96912139284615</v>
      </c>
    </row>
    <row r="119" spans="2:14">
      <c r="B119" s="130">
        <v>460.1922519083962</v>
      </c>
      <c r="C119">
        <v>24.485025255153413</v>
      </c>
      <c r="D119">
        <v>460.1922519083962</v>
      </c>
      <c r="E119">
        <v>-1858.587064505562</v>
      </c>
      <c r="F119">
        <v>460.1922519083962</v>
      </c>
      <c r="G119">
        <v>381.26726549443788</v>
      </c>
      <c r="J119" t="str">
        <f>IF(H119="","",$P$6-'Script Table'!$E$15-'Script Table'!$E$19+H119)</f>
        <v/>
      </c>
      <c r="K119" s="132">
        <f t="shared" si="10"/>
        <v>460.1922519083962</v>
      </c>
      <c r="L119" s="132">
        <f t="shared" si="11"/>
        <v>119</v>
      </c>
      <c r="M119" s="132">
        <v>458.19141603053362</v>
      </c>
      <c r="N119" s="143">
        <v>179.9687994839619</v>
      </c>
    </row>
    <row r="120" spans="2:14">
      <c r="B120" s="130">
        <v>464.19392366412137</v>
      </c>
      <c r="C120">
        <v>24.482821452435044</v>
      </c>
      <c r="D120">
        <v>464.19392366412137</v>
      </c>
      <c r="E120">
        <v>-1862.5918775385487</v>
      </c>
      <c r="F120">
        <v>464.19392366412137</v>
      </c>
      <c r="G120">
        <v>377.26245246145118</v>
      </c>
      <c r="J120" t="str">
        <f>IF(H120="","",$P$6-'Script Table'!$E$15-'Script Table'!$E$19+H120)</f>
        <v/>
      </c>
      <c r="K120" s="132">
        <f t="shared" si="10"/>
        <v>464.19392366412137</v>
      </c>
      <c r="L120" s="132">
        <f t="shared" si="11"/>
        <v>120</v>
      </c>
      <c r="M120" s="132">
        <v>462.19308778625879</v>
      </c>
      <c r="N120" s="143">
        <v>179.96847079230503</v>
      </c>
    </row>
    <row r="121" spans="2:14">
      <c r="B121" s="130">
        <v>468.19559541984654</v>
      </c>
      <c r="C121">
        <v>24.480594204265042</v>
      </c>
      <c r="D121">
        <v>468.19559541984654</v>
      </c>
      <c r="E121">
        <v>-1866.5966574607583</v>
      </c>
      <c r="F121">
        <v>468.19559541984654</v>
      </c>
      <c r="G121">
        <v>373.25767253924164</v>
      </c>
      <c r="J121" t="str">
        <f>IF(H121="","",$P$6-'Script Table'!$E$15-'Script Table'!$E$19+H121)</f>
        <v/>
      </c>
      <c r="K121" s="132">
        <f t="shared" si="10"/>
        <v>468.19559541984654</v>
      </c>
      <c r="L121" s="132">
        <f t="shared" si="11"/>
        <v>121</v>
      </c>
      <c r="M121" s="132">
        <v>466.19475954198396</v>
      </c>
      <c r="N121" s="143">
        <v>179.96813510120623</v>
      </c>
    </row>
    <row r="122" spans="2:14">
      <c r="B122" s="130">
        <v>472.19726717557171</v>
      </c>
      <c r="C122">
        <v>24.478343006001904</v>
      </c>
      <c r="D122">
        <v>472.19726717557171</v>
      </c>
      <c r="E122">
        <v>-1870.6014042717693</v>
      </c>
      <c r="F122">
        <v>472.19726717557171</v>
      </c>
      <c r="G122">
        <v>369.25292572823059</v>
      </c>
      <c r="J122" t="str">
        <f>IF(H122="","",$P$6-'Script Table'!$E$15-'Script Table'!$E$19+H122)</f>
        <v/>
      </c>
      <c r="K122" s="132">
        <f t="shared" si="10"/>
        <v>472.19726717557171</v>
      </c>
      <c r="L122" s="132">
        <f t="shared" si="11"/>
        <v>122</v>
      </c>
      <c r="M122" s="132">
        <v>470.19643129770913</v>
      </c>
      <c r="N122" s="143">
        <v>179.96779218466835</v>
      </c>
    </row>
    <row r="123" spans="2:14">
      <c r="B123" s="130">
        <v>476.19893893129688</v>
      </c>
      <c r="C123">
        <v>24.476067336532974</v>
      </c>
      <c r="D123">
        <v>476.19893893129688</v>
      </c>
      <c r="E123">
        <v>-1874.6061179711426</v>
      </c>
      <c r="F123">
        <v>476.19893893129688</v>
      </c>
      <c r="G123">
        <v>365.24821202885732</v>
      </c>
      <c r="J123" t="str">
        <f>IF(H123="","",$P$6-'Script Table'!$E$15-'Script Table'!$E$19+H123)</f>
        <v/>
      </c>
      <c r="K123" s="132">
        <f t="shared" si="10"/>
        <v>476.19893893129688</v>
      </c>
      <c r="L123" s="132">
        <f t="shared" si="11"/>
        <v>123</v>
      </c>
      <c r="M123" s="132">
        <v>474.19810305343429</v>
      </c>
      <c r="N123" s="143">
        <v>179.96744180685809</v>
      </c>
    </row>
    <row r="124" spans="2:14">
      <c r="B124" s="130">
        <v>480.20061068702205</v>
      </c>
      <c r="C124">
        <v>24.473766657549692</v>
      </c>
      <c r="D124">
        <v>480.20061068702205</v>
      </c>
      <c r="E124">
        <v>-1878.6107985584188</v>
      </c>
      <c r="F124">
        <v>480.20061068702205</v>
      </c>
      <c r="G124">
        <v>361.24353144158113</v>
      </c>
      <c r="J124" t="str">
        <f>IF(H124="","",$P$6-'Script Table'!$E$15-'Script Table'!$E$19+H124)</f>
        <v/>
      </c>
      <c r="K124" s="132">
        <f t="shared" si="10"/>
        <v>480.20061068702205</v>
      </c>
      <c r="L124" s="132">
        <f t="shared" si="11"/>
        <v>124</v>
      </c>
      <c r="M124" s="132">
        <v>478.19977480915946</v>
      </c>
      <c r="N124" s="143">
        <v>179.96708372156493</v>
      </c>
    </row>
    <row r="125" spans="2:14">
      <c r="B125" s="130">
        <v>484.20228244274722</v>
      </c>
      <c r="C125">
        <v>24.471440412782556</v>
      </c>
      <c r="D125">
        <v>484.20228244274722</v>
      </c>
      <c r="E125">
        <v>-1882.6154460331193</v>
      </c>
      <c r="F125">
        <v>484.20228244274722</v>
      </c>
      <c r="G125">
        <v>357.23888396688062</v>
      </c>
      <c r="J125" t="str">
        <f>IF(H125="","",$P$6-'Script Table'!$E$15-'Script Table'!$E$19+H125)</f>
        <v/>
      </c>
      <c r="K125" s="132">
        <f t="shared" si="10"/>
        <v>484.20228244274722</v>
      </c>
      <c r="L125" s="132">
        <f t="shared" si="11"/>
        <v>125</v>
      </c>
      <c r="M125" s="132">
        <v>482.20144656488463</v>
      </c>
      <c r="N125" s="143">
        <v>179.96671767162476</v>
      </c>
    </row>
    <row r="126" spans="2:14">
      <c r="B126" s="130">
        <v>488.20395419847239</v>
      </c>
      <c r="C126">
        <v>24.46908802719302</v>
      </c>
      <c r="D126">
        <v>488.20395419847239</v>
      </c>
      <c r="E126">
        <v>-1886.6200603947425</v>
      </c>
      <c r="F126">
        <v>488.20395419847239</v>
      </c>
      <c r="G126">
        <v>353.2342696052574</v>
      </c>
      <c r="J126" t="str">
        <f>IF(H126="","",$P$6-'Script Table'!$E$15-'Script Table'!$E$19+H126)</f>
        <v/>
      </c>
      <c r="K126" s="132">
        <f t="shared" si="10"/>
        <v>488.20395419847239</v>
      </c>
      <c r="L126" s="132">
        <f t="shared" si="11"/>
        <v>126</v>
      </c>
      <c r="M126" s="132">
        <v>486.2031183206098</v>
      </c>
      <c r="N126" s="143">
        <v>179.96634338830307</v>
      </c>
    </row>
    <row r="127" spans="2:14">
      <c r="B127" s="130">
        <v>492.20562595419756</v>
      </c>
      <c r="C127">
        <v>24.466708906119436</v>
      </c>
      <c r="D127">
        <v>492.20562595419756</v>
      </c>
      <c r="E127">
        <v>-1890.6246416427643</v>
      </c>
      <c r="F127">
        <v>492.20562595419756</v>
      </c>
      <c r="G127">
        <v>349.22968835723555</v>
      </c>
      <c r="J127" t="str">
        <f>IF(H127="","",$P$6-'Script Table'!$E$15-'Script Table'!$E$19+H127)</f>
        <v/>
      </c>
      <c r="K127" s="132">
        <f t="shared" si="10"/>
        <v>492.20562595419756</v>
      </c>
      <c r="L127" s="132">
        <f t="shared" si="11"/>
        <v>127</v>
      </c>
      <c r="M127" s="132">
        <v>490.20479007633497</v>
      </c>
      <c r="N127" s="143">
        <v>179.96596059063683</v>
      </c>
    </row>
    <row r="128" spans="2:14">
      <c r="B128" s="130">
        <v>496.20729770992273</v>
      </c>
      <c r="C128">
        <v>24.464302434373877</v>
      </c>
      <c r="D128">
        <v>496.20729770992273</v>
      </c>
      <c r="E128">
        <v>-1894.6291897766368</v>
      </c>
      <c r="F128">
        <v>496.20729770992273</v>
      </c>
      <c r="G128">
        <v>345.22514022336304</v>
      </c>
      <c r="J128" t="str">
        <f>IF(H128="","",$P$6-'Script Table'!$E$15-'Script Table'!$E$19+H128)</f>
        <v/>
      </c>
      <c r="K128" s="132">
        <f t="shared" si="10"/>
        <v>496.20729770992273</v>
      </c>
      <c r="L128" s="132">
        <f t="shared" si="11"/>
        <v>128</v>
      </c>
      <c r="M128" s="132">
        <v>494.20646183206014</v>
      </c>
      <c r="N128" s="143">
        <v>179.9655689847315</v>
      </c>
    </row>
    <row r="129" spans="2:14">
      <c r="B129" s="130">
        <v>500.2089694656479</v>
      </c>
      <c r="C129">
        <v>24.46186797528631</v>
      </c>
      <c r="D129">
        <v>500.2089694656479</v>
      </c>
      <c r="E129">
        <v>-1898.6337047957861</v>
      </c>
      <c r="F129">
        <v>500.2089694656479</v>
      </c>
      <c r="G129">
        <v>341.22062520421377</v>
      </c>
      <c r="J129" t="str">
        <f>IF(H129="","",$P$6-'Script Table'!$E$15-'Script Table'!$E$19+H129)</f>
        <v/>
      </c>
      <c r="K129" s="132">
        <f t="shared" si="10"/>
        <v>500.2089694656479</v>
      </c>
      <c r="L129" s="132">
        <f t="shared" si="11"/>
        <v>129</v>
      </c>
      <c r="M129" s="132">
        <v>498.20813358778531</v>
      </c>
      <c r="N129" s="143">
        <v>179.965168263007</v>
      </c>
    </row>
    <row r="130" spans="2:14">
      <c r="B130" s="130">
        <v>504.21064122137307</v>
      </c>
      <c r="C130">
        <v>24.459404869692612</v>
      </c>
      <c r="D130">
        <v>504.21064122137307</v>
      </c>
      <c r="E130">
        <v>-1902.6381866996107</v>
      </c>
      <c r="F130">
        <v>504.21064122137307</v>
      </c>
      <c r="G130">
        <v>337.21614330038915</v>
      </c>
      <c r="J130" t="str">
        <f>IF(H130="","",$P$6-'Script Table'!$E$15-'Script Table'!$E$19+H130)</f>
        <v/>
      </c>
      <c r="K130" s="132">
        <f t="shared" si="10"/>
        <v>504.21064122137307</v>
      </c>
      <c r="L130" s="132">
        <f t="shared" si="11"/>
        <v>130</v>
      </c>
      <c r="M130" s="132">
        <v>502.20980534351048</v>
      </c>
      <c r="N130" s="143">
        <v>179.96475810339368</v>
      </c>
    </row>
    <row r="131" spans="2:14">
      <c r="B131" s="130">
        <v>508.21231297709824</v>
      </c>
      <c r="C131">
        <v>24.456912434862176</v>
      </c>
      <c r="D131">
        <v>508.21231297709824</v>
      </c>
      <c r="E131">
        <v>-1906.6426354874807</v>
      </c>
      <c r="F131">
        <v>508.21231297709824</v>
      </c>
      <c r="G131">
        <v>333.21169451251922</v>
      </c>
      <c r="J131" t="str">
        <f>IF(H131="","",$P$6-'Script Table'!$E$15-'Script Table'!$E$19+H131)</f>
        <v/>
      </c>
      <c r="K131" s="132">
        <f t="shared" si="10"/>
        <v>508.21231297709824</v>
      </c>
      <c r="L131" s="132">
        <f t="shared" si="11"/>
        <v>131</v>
      </c>
      <c r="M131" s="132">
        <v>506.21147709923565</v>
      </c>
      <c r="N131" s="143">
        <v>179.96433816846732</v>
      </c>
    </row>
    <row r="132" spans="2:14">
      <c r="B132" s="130">
        <v>512.21398473282341</v>
      </c>
      <c r="C132">
        <v>24.454389963362029</v>
      </c>
      <c r="D132">
        <v>512.21398473282341</v>
      </c>
      <c r="E132">
        <v>-1910.6470511587356</v>
      </c>
      <c r="F132">
        <v>512.21398473282341</v>
      </c>
      <c r="G132">
        <v>329.20727884126427</v>
      </c>
      <c r="J132" t="str">
        <f>IF(H132="","",$P$6-'Script Table'!$E$15-'Script Table'!$E$19+H132)</f>
        <v/>
      </c>
      <c r="K132" s="132">
        <f t="shared" ref="K132:K195" si="12">F132</f>
        <v>512.21398473282341</v>
      </c>
      <c r="L132" s="132">
        <f t="shared" si="11"/>
        <v>132</v>
      </c>
      <c r="M132" s="132">
        <v>510.21314885496082</v>
      </c>
      <c r="N132" s="143">
        <v>179.96390810454028</v>
      </c>
    </row>
    <row r="133" spans="2:14">
      <c r="B133" s="130">
        <v>516.21565648854857</v>
      </c>
      <c r="C133">
        <v>24.45183672186835</v>
      </c>
      <c r="D133">
        <v>516.21565648854857</v>
      </c>
      <c r="E133">
        <v>-1914.6514337126828</v>
      </c>
      <c r="F133">
        <v>516.21565648854857</v>
      </c>
      <c r="G133">
        <v>325.20289628731712</v>
      </c>
      <c r="J133" t="str">
        <f>IF(H133="","",$P$6-'Script Table'!$E$15-'Script Table'!$E$19+H133)</f>
        <v/>
      </c>
      <c r="K133" s="132">
        <f t="shared" si="12"/>
        <v>516.21565648854857</v>
      </c>
      <c r="L133" s="132">
        <f t="shared" si="11"/>
        <v>133</v>
      </c>
      <c r="M133" s="132">
        <v>514.21482061068605</v>
      </c>
      <c r="N133" s="143">
        <v>179.963467540908</v>
      </c>
    </row>
    <row r="134" spans="2:14">
      <c r="B134" s="130">
        <v>520.21732824427374</v>
      </c>
      <c r="C134">
        <v>24.449251950170119</v>
      </c>
      <c r="D134">
        <v>520.21732824427374</v>
      </c>
      <c r="E134">
        <v>-1918.6557831485948</v>
      </c>
      <c r="F134">
        <v>520.21732824427374</v>
      </c>
      <c r="G134">
        <v>321.19854685140513</v>
      </c>
      <c r="J134" t="str">
        <f>IF(H134="","",$P$6-'Script Table'!$E$15-'Script Table'!$E$19+H134)</f>
        <v/>
      </c>
      <c r="K134" s="132">
        <f t="shared" si="12"/>
        <v>520.21732824427374</v>
      </c>
      <c r="L134" s="132">
        <f t="shared" ref="L134:L197" si="13">L133+1</f>
        <v>134</v>
      </c>
      <c r="M134" s="132">
        <v>518.2164923664111</v>
      </c>
      <c r="N134" s="143">
        <v>179.96301609259751</v>
      </c>
    </row>
    <row r="135" spans="2:14">
      <c r="B135" s="130">
        <v>524.21899999999891</v>
      </c>
      <c r="C135">
        <v>24.446634864249596</v>
      </c>
      <c r="D135">
        <v>524.21899999999891</v>
      </c>
      <c r="E135">
        <v>-1922.6600994657106</v>
      </c>
      <c r="F135">
        <v>524.21899999999891</v>
      </c>
      <c r="G135">
        <v>317.19423053428932</v>
      </c>
      <c r="J135" t="str">
        <f>IF(H135="","",$P$6-'Script Table'!$E$15-'Script Table'!$E$19+H135)</f>
        <v/>
      </c>
      <c r="K135" s="132">
        <f t="shared" si="12"/>
        <v>524.21899999999891</v>
      </c>
      <c r="L135" s="132">
        <f t="shared" si="13"/>
        <v>135</v>
      </c>
      <c r="M135" s="132">
        <v>522.21816412213639</v>
      </c>
      <c r="N135" s="143">
        <v>179.9625534187002</v>
      </c>
    </row>
    <row r="136" spans="2:14">
      <c r="B136" s="130">
        <v>526.21899999999891</v>
      </c>
      <c r="C136">
        <v>24.445314479224933</v>
      </c>
      <c r="D136">
        <v>526.21899999999891</v>
      </c>
      <c r="E136">
        <v>-1924.6614087811045</v>
      </c>
      <c r="F136">
        <v>526.21899999999891</v>
      </c>
      <c r="G136">
        <v>315.19292121889544</v>
      </c>
      <c r="J136" t="str">
        <f>IF(H136="","",$P$6-'Script Table'!$E$15-'Script Table'!$E$19+H136)</f>
        <v/>
      </c>
      <c r="K136" s="132">
        <f t="shared" si="12"/>
        <v>526.21899999999891</v>
      </c>
      <c r="L136" s="132">
        <f t="shared" si="13"/>
        <v>136</v>
      </c>
      <c r="M136" s="132">
        <v>525.21899999999891</v>
      </c>
      <c r="N136" s="143">
        <v>179.96219850790342</v>
      </c>
    </row>
    <row r="137" spans="2:14">
      <c r="B137" s="130">
        <v>528.21899999999891</v>
      </c>
      <c r="C137">
        <v>24.443985715512984</v>
      </c>
      <c r="D137">
        <v>528.21899999999891</v>
      </c>
      <c r="E137">
        <v>-1926.662709823413</v>
      </c>
      <c r="F137">
        <v>528.21899999999891</v>
      </c>
      <c r="G137">
        <v>313.19162017658687</v>
      </c>
      <c r="J137" t="str">
        <f>IF(H137="","",$P$6-'Script Table'!$E$15-'Script Table'!$E$19+H137)</f>
        <v/>
      </c>
      <c r="K137" s="132">
        <f t="shared" si="12"/>
        <v>528.21899999999891</v>
      </c>
      <c r="L137" s="132">
        <f t="shared" si="13"/>
        <v>137</v>
      </c>
      <c r="M137" s="132">
        <v>527.21899999999891</v>
      </c>
      <c r="N137" s="143">
        <v>179.9619584760772</v>
      </c>
    </row>
    <row r="138" spans="2:14">
      <c r="B138" s="130">
        <v>530.21899999999891</v>
      </c>
      <c r="C138">
        <v>24.44264846268975</v>
      </c>
      <c r="D138">
        <v>530.21899999999891</v>
      </c>
      <c r="E138">
        <v>-1928.6640025925274</v>
      </c>
      <c r="F138">
        <v>530.21899999999891</v>
      </c>
      <c r="G138">
        <v>311.19032740747252</v>
      </c>
      <c r="J138" t="str">
        <f>IF(H138="","",$P$6-'Script Table'!$E$15-'Script Table'!$E$19+H138)</f>
        <v/>
      </c>
      <c r="K138" s="132">
        <f t="shared" si="12"/>
        <v>530.21899999999891</v>
      </c>
      <c r="L138" s="132">
        <f t="shared" si="13"/>
        <v>138</v>
      </c>
      <c r="M138" s="132">
        <v>529.21899999999891</v>
      </c>
      <c r="N138" s="143">
        <v>179.9617152808961</v>
      </c>
    </row>
    <row r="139" spans="2:14">
      <c r="B139" s="130">
        <v>532.21899999999891</v>
      </c>
      <c r="C139">
        <v>24.441302610861424</v>
      </c>
      <c r="D139">
        <v>532.21899999999891</v>
      </c>
      <c r="E139">
        <v>-1930.6652870883381</v>
      </c>
      <c r="F139">
        <v>532.21899999999891</v>
      </c>
      <c r="G139">
        <v>309.18904291166177</v>
      </c>
      <c r="J139" t="str">
        <f>IF(H139="","",$P$6-'Script Table'!$E$15-'Script Table'!$E$19+H139)</f>
        <v/>
      </c>
      <c r="K139" s="132">
        <f t="shared" si="12"/>
        <v>532.21899999999891</v>
      </c>
      <c r="L139" s="132">
        <f t="shared" si="13"/>
        <v>139</v>
      </c>
      <c r="M139" s="132">
        <v>531.21899999999891</v>
      </c>
      <c r="N139" s="143">
        <v>179.96146893749994</v>
      </c>
    </row>
    <row r="140" spans="2:14">
      <c r="B140" s="130">
        <v>534.21899999999891</v>
      </c>
      <c r="C140">
        <v>24.439948048515681</v>
      </c>
      <c r="D140">
        <v>534.21899999999891</v>
      </c>
      <c r="E140">
        <v>-1932.666563310732</v>
      </c>
      <c r="F140">
        <v>534.21899999999891</v>
      </c>
      <c r="G140">
        <v>307.18776668926785</v>
      </c>
      <c r="J140" t="str">
        <f>IF(H140="","",$P$6-'Script Table'!$E$15-'Script Table'!$E$19+H140)</f>
        <v/>
      </c>
      <c r="K140" s="132">
        <f t="shared" si="12"/>
        <v>534.21899999999891</v>
      </c>
      <c r="L140" s="132">
        <f t="shared" si="13"/>
        <v>140</v>
      </c>
      <c r="M140" s="132">
        <v>533.21899999999891</v>
      </c>
      <c r="N140" s="143">
        <v>179.96121939951209</v>
      </c>
    </row>
    <row r="141" spans="2:14">
      <c r="B141" s="130">
        <v>536.21899999999891</v>
      </c>
      <c r="C141">
        <v>24.438584662059935</v>
      </c>
      <c r="D141">
        <v>536.21899999999891</v>
      </c>
      <c r="E141">
        <v>-1934.667831259595</v>
      </c>
      <c r="F141">
        <v>536.21899999999891</v>
      </c>
      <c r="G141">
        <v>305.18649874040489</v>
      </c>
      <c r="J141" t="str">
        <f>IF(H141="","",$P$6-'Script Table'!$E$15-'Script Table'!$E$19+H141)</f>
        <v/>
      </c>
      <c r="K141" s="132">
        <f t="shared" si="12"/>
        <v>536.21899999999891</v>
      </c>
      <c r="L141" s="132">
        <f t="shared" si="13"/>
        <v>141</v>
      </c>
      <c r="M141" s="132">
        <v>535.21899999999891</v>
      </c>
      <c r="N141" s="143">
        <v>179.96096660733565</v>
      </c>
    </row>
    <row r="142" spans="2:14">
      <c r="B142" s="130">
        <v>538.21899999999891</v>
      </c>
      <c r="C142">
        <v>24.437212335685015</v>
      </c>
      <c r="D142">
        <v>538.21899999999891</v>
      </c>
      <c r="E142">
        <v>-1936.6690909348072</v>
      </c>
      <c r="F142">
        <v>538.21899999999891</v>
      </c>
      <c r="G142">
        <v>303.18523906519272</v>
      </c>
      <c r="J142" t="str">
        <f>IF(H142="","",$P$6-'Script Table'!$E$15-'Script Table'!$E$19+H142)</f>
        <v/>
      </c>
      <c r="K142" s="132">
        <f t="shared" si="12"/>
        <v>538.21899999999891</v>
      </c>
      <c r="L142" s="132">
        <f t="shared" si="13"/>
        <v>142</v>
      </c>
      <c r="M142" s="132">
        <v>537.21899999999891</v>
      </c>
      <c r="N142" s="143">
        <v>179.96071049746973</v>
      </c>
    </row>
    <row r="143" spans="2:14">
      <c r="B143" s="130">
        <v>540.21899999999891</v>
      </c>
      <c r="C143">
        <v>24.435830951290544</v>
      </c>
      <c r="D143">
        <v>540.21899999999891</v>
      </c>
      <c r="E143">
        <v>-1938.6703423362483</v>
      </c>
      <c r="F143">
        <v>540.21899999999891</v>
      </c>
      <c r="G143">
        <v>301.18398766375162</v>
      </c>
      <c r="J143" t="str">
        <f>IF(H143="","",$P$6-'Script Table'!$E$15-'Script Table'!$E$19+H143)</f>
        <v/>
      </c>
      <c r="K143" s="132">
        <f t="shared" si="12"/>
        <v>540.21899999999891</v>
      </c>
      <c r="L143" s="132">
        <f t="shared" si="13"/>
        <v>143</v>
      </c>
      <c r="M143" s="132">
        <v>539.21899999999891</v>
      </c>
      <c r="N143" s="143">
        <v>179.96045100427602</v>
      </c>
    </row>
    <row r="144" spans="2:14">
      <c r="B144" s="130">
        <v>542.21899999999891</v>
      </c>
      <c r="C144">
        <v>24.434440388420903</v>
      </c>
      <c r="D144">
        <v>542.21899999999891</v>
      </c>
      <c r="E144">
        <v>-1940.6715854637928</v>
      </c>
      <c r="F144">
        <v>542.21899999999891</v>
      </c>
      <c r="G144">
        <v>299.18274453620711</v>
      </c>
      <c r="J144" t="str">
        <f>IF(H144="","",$P$6-'Script Table'!$E$15-'Script Table'!$E$19+H144)</f>
        <v/>
      </c>
      <c r="K144" s="132">
        <f t="shared" si="12"/>
        <v>542.21899999999891</v>
      </c>
      <c r="L144" s="132">
        <f t="shared" si="13"/>
        <v>144</v>
      </c>
      <c r="M144" s="132">
        <v>541.21899999999891</v>
      </c>
      <c r="N144" s="143">
        <v>179.96018806028167</v>
      </c>
    </row>
    <row r="145" spans="2:14">
      <c r="B145" s="130">
        <v>544.21899999999891</v>
      </c>
      <c r="C145">
        <v>24.433040524201477</v>
      </c>
      <c r="D145">
        <v>544.21899999999891</v>
      </c>
      <c r="E145">
        <v>-1942.6728203173132</v>
      </c>
      <c r="F145">
        <v>544.21899999999891</v>
      </c>
      <c r="G145">
        <v>297.18150968268674</v>
      </c>
      <c r="J145" t="str">
        <f>IF(H145="","",$P$6-'Script Table'!$E$15-'Script Table'!$E$19+H145)</f>
        <v/>
      </c>
      <c r="K145" s="132">
        <f t="shared" si="12"/>
        <v>544.21899999999891</v>
      </c>
      <c r="L145" s="132">
        <f t="shared" si="13"/>
        <v>145</v>
      </c>
      <c r="M145" s="132">
        <v>543.21899999999891</v>
      </c>
      <c r="N145" s="143">
        <v>179.9599215961876</v>
      </c>
    </row>
    <row r="146" spans="2:14">
      <c r="B146" s="130">
        <v>546.21899999999891</v>
      </c>
      <c r="C146">
        <v>24.431631233273354</v>
      </c>
      <c r="D146">
        <v>546.21899999999891</v>
      </c>
      <c r="E146">
        <v>-1944.6740468966777</v>
      </c>
      <c r="F146">
        <v>546.21899999999891</v>
      </c>
      <c r="G146">
        <v>295.18028310332215</v>
      </c>
      <c r="J146" t="str">
        <f>IF(H146="","",$P$6-'Script Table'!$E$15-'Script Table'!$E$19+H146)</f>
        <v/>
      </c>
      <c r="K146" s="132">
        <f t="shared" si="12"/>
        <v>546.21899999999891</v>
      </c>
      <c r="L146" s="132">
        <f t="shared" si="13"/>
        <v>146</v>
      </c>
      <c r="M146" s="132">
        <v>545.21899999999891</v>
      </c>
      <c r="N146" s="143">
        <v>179.95965154082384</v>
      </c>
    </row>
    <row r="147" spans="2:14">
      <c r="B147" s="130">
        <v>548.21899999999891</v>
      </c>
      <c r="C147">
        <v>24.430212387725842</v>
      </c>
      <c r="D147">
        <v>548.21899999999891</v>
      </c>
      <c r="E147">
        <v>-1946.6752652017515</v>
      </c>
      <c r="F147">
        <v>548.21899999999891</v>
      </c>
      <c r="G147">
        <v>293.17906479824842</v>
      </c>
      <c r="J147" t="str">
        <f>IF(H147="","",$P$6-'Script Table'!$E$15-'Script Table'!$E$19+H147)</f>
        <v/>
      </c>
      <c r="K147" s="132">
        <f t="shared" si="12"/>
        <v>548.21899999999891</v>
      </c>
      <c r="L147" s="132">
        <f t="shared" si="13"/>
        <v>147</v>
      </c>
      <c r="M147" s="132">
        <v>547.21899999999891</v>
      </c>
      <c r="N147" s="143">
        <v>179.95937782108729</v>
      </c>
    </row>
    <row r="148" spans="2:14">
      <c r="B148" s="130">
        <v>550.21899999999891</v>
      </c>
      <c r="C148">
        <v>24.42878385702674</v>
      </c>
      <c r="D148">
        <v>550.21899999999891</v>
      </c>
      <c r="E148">
        <v>-1948.6764752323954</v>
      </c>
      <c r="F148">
        <v>550.21899999999891</v>
      </c>
      <c r="G148">
        <v>291.17785476760446</v>
      </c>
      <c r="J148" t="str">
        <f>IF(H148="","",$P$6-'Script Table'!$E$15-'Script Table'!$E$19+H148)</f>
        <v/>
      </c>
      <c r="K148" s="132">
        <f t="shared" si="12"/>
        <v>550.21899999999891</v>
      </c>
      <c r="L148" s="132">
        <f t="shared" si="13"/>
        <v>148</v>
      </c>
      <c r="M148" s="132">
        <v>549.21899999999891</v>
      </c>
      <c r="N148" s="143">
        <v>179.95910036187715</v>
      </c>
    </row>
    <row r="149" spans="2:14">
      <c r="B149" s="130">
        <v>552.21899999999891</v>
      </c>
      <c r="C149">
        <v>24.427345507950186</v>
      </c>
      <c r="D149">
        <v>552.21899999999891</v>
      </c>
      <c r="E149">
        <v>-1950.6776769884666</v>
      </c>
      <c r="F149">
        <v>552.21899999999891</v>
      </c>
      <c r="G149">
        <v>289.17665301153329</v>
      </c>
      <c r="J149" t="str">
        <f>IF(H149="","",$P$6-'Script Table'!$E$15-'Script Table'!$E$19+H149)</f>
        <v/>
      </c>
      <c r="K149" s="132">
        <f t="shared" si="12"/>
        <v>552.21899999999891</v>
      </c>
      <c r="L149" s="132">
        <f t="shared" si="13"/>
        <v>149</v>
      </c>
      <c r="M149" s="132">
        <v>551.21899999999891</v>
      </c>
      <c r="N149" s="143">
        <v>179.95881908602561</v>
      </c>
    </row>
    <row r="150" spans="2:14">
      <c r="B150" s="130">
        <v>554.21899999999891</v>
      </c>
      <c r="C150">
        <v>24.425897204502004</v>
      </c>
      <c r="D150">
        <v>554.21899999999891</v>
      </c>
      <c r="E150">
        <v>-1952.678870469819</v>
      </c>
      <c r="F150">
        <v>554.21899999999891</v>
      </c>
      <c r="G150">
        <v>287.17545953018089</v>
      </c>
      <c r="J150" t="str">
        <f>IF(H150="","",$P$6-'Script Table'!$E$15-'Script Table'!$E$19+H150)</f>
        <v/>
      </c>
      <c r="K150" s="132">
        <f t="shared" si="12"/>
        <v>554.21899999999891</v>
      </c>
      <c r="L150" s="132">
        <f t="shared" si="13"/>
        <v>150</v>
      </c>
      <c r="M150" s="132">
        <v>553.21899999999891</v>
      </c>
      <c r="N150" s="143">
        <v>179.95853391422642</v>
      </c>
    </row>
    <row r="151" spans="2:14">
      <c r="B151" s="130">
        <v>556.21899999999891</v>
      </c>
      <c r="C151">
        <v>24.424438807842488</v>
      </c>
      <c r="D151">
        <v>556.21899999999891</v>
      </c>
      <c r="E151">
        <v>-1954.6800556763019</v>
      </c>
      <c r="F151">
        <v>556.21899999999891</v>
      </c>
      <c r="G151">
        <v>285.174274323698</v>
      </c>
      <c r="J151" t="str">
        <f>IF(H151="","",$P$6-'Script Table'!$E$15-'Script Table'!$E$19+H151)</f>
        <v/>
      </c>
      <c r="K151" s="132">
        <f t="shared" si="12"/>
        <v>556.21899999999891</v>
      </c>
      <c r="L151" s="132">
        <f t="shared" si="13"/>
        <v>151</v>
      </c>
      <c r="M151" s="132">
        <v>555.21899999999891</v>
      </c>
      <c r="N151" s="143">
        <v>179.95824476496099</v>
      </c>
    </row>
    <row r="152" spans="2:14">
      <c r="B152" s="130">
        <v>558.21899999999891</v>
      </c>
      <c r="C152">
        <v>24.422970176206412</v>
      </c>
      <c r="D152">
        <v>558.21899999999891</v>
      </c>
      <c r="E152">
        <v>-1956.6812326077595</v>
      </c>
      <c r="F152">
        <v>558.21899999999891</v>
      </c>
      <c r="G152">
        <v>283.17309739224038</v>
      </c>
      <c r="J152" t="str">
        <f>IF(H152="","",$P$6-'Script Table'!$E$15-'Script Table'!$E$19+H152)</f>
        <v/>
      </c>
      <c r="K152" s="132">
        <f t="shared" si="12"/>
        <v>558.21899999999891</v>
      </c>
      <c r="L152" s="132">
        <f t="shared" si="13"/>
        <v>152</v>
      </c>
      <c r="M152" s="132">
        <v>557.21899999999891</v>
      </c>
      <c r="N152" s="143">
        <v>179.95795155441925</v>
      </c>
    </row>
    <row r="153" spans="2:14">
      <c r="B153" s="130">
        <v>560.21899999999891</v>
      </c>
      <c r="C153">
        <v>24.421491164820296</v>
      </c>
      <c r="D153">
        <v>560.21899999999891</v>
      </c>
      <c r="E153">
        <v>-1958.6824012640329</v>
      </c>
      <c r="F153">
        <v>560.21899999999891</v>
      </c>
      <c r="G153">
        <v>281.17192873596696</v>
      </c>
      <c r="J153" t="str">
        <f>IF(H153="","",$P$6-'Script Table'!$E$15-'Script Table'!$E$19+H153)</f>
        <v/>
      </c>
      <c r="K153" s="132">
        <f t="shared" si="12"/>
        <v>560.21899999999891</v>
      </c>
      <c r="L153" s="132">
        <f t="shared" si="13"/>
        <v>153</v>
      </c>
      <c r="M153" s="132">
        <v>559.21899999999891</v>
      </c>
      <c r="N153" s="143">
        <v>179.95765419642103</v>
      </c>
    </row>
    <row r="154" spans="2:14">
      <c r="B154" s="130">
        <v>562.21899999999891</v>
      </c>
      <c r="C154">
        <v>24.420001625816592</v>
      </c>
      <c r="D154">
        <v>562.21899999999891</v>
      </c>
      <c r="E154">
        <v>-1960.6835616449584</v>
      </c>
      <c r="F154">
        <v>562.21899999999891</v>
      </c>
      <c r="G154">
        <v>279.17076835504145</v>
      </c>
      <c r="J154" t="str">
        <f>IF(H154="","",$P$6-'Script Table'!$E$15-'Script Table'!$E$19+H154)</f>
        <v/>
      </c>
      <c r="K154" s="132">
        <f t="shared" si="12"/>
        <v>562.21899999999891</v>
      </c>
      <c r="L154" s="132">
        <f t="shared" si="13"/>
        <v>154</v>
      </c>
      <c r="M154" s="132">
        <v>561.21899999999891</v>
      </c>
      <c r="N154" s="143">
        <v>179.95735260232792</v>
      </c>
    </row>
    <row r="155" spans="2:14">
      <c r="B155" s="130">
        <v>564.21899999999891</v>
      </c>
      <c r="C155">
        <v>24.418501408144941</v>
      </c>
      <c r="D155">
        <v>564.21899999999891</v>
      </c>
      <c r="E155">
        <v>-1962.6847137503678</v>
      </c>
      <c r="F155">
        <v>564.21899999999891</v>
      </c>
      <c r="G155">
        <v>277.1696162496321</v>
      </c>
      <c r="J155" t="str">
        <f>IF(H155="","",$P$6-'Script Table'!$E$15-'Script Table'!$E$19+H155)</f>
        <v/>
      </c>
      <c r="K155" s="132">
        <f t="shared" si="12"/>
        <v>564.21899999999891</v>
      </c>
      <c r="L155" s="132">
        <f t="shared" si="13"/>
        <v>155</v>
      </c>
      <c r="M155" s="132">
        <v>563.21899999999891</v>
      </c>
      <c r="N155" s="143">
        <v>179.95704668095877</v>
      </c>
    </row>
    <row r="156" spans="2:14">
      <c r="B156" s="130">
        <v>566.21899999999891</v>
      </c>
      <c r="C156">
        <v>24.41699035748012</v>
      </c>
      <c r="D156">
        <v>566.21899999999891</v>
      </c>
      <c r="E156">
        <v>-1964.6858575800863</v>
      </c>
      <c r="F156">
        <v>566.21899999999891</v>
      </c>
      <c r="G156">
        <v>275.16847241991354</v>
      </c>
      <c r="J156" t="str">
        <f>IF(H156="","",$P$6-'Script Table'!$E$15-'Script Table'!$E$19+H156)</f>
        <v/>
      </c>
      <c r="K156" s="132">
        <f t="shared" si="12"/>
        <v>566.21899999999891</v>
      </c>
      <c r="L156" s="132">
        <f t="shared" si="13"/>
        <v>156</v>
      </c>
      <c r="M156" s="132">
        <v>565.21899999999891</v>
      </c>
      <c r="N156" s="143">
        <v>179.95673633849574</v>
      </c>
    </row>
    <row r="157" spans="2:14">
      <c r="B157" s="130">
        <v>568.21899999999891</v>
      </c>
      <c r="C157">
        <v>24.415468316126663</v>
      </c>
      <c r="D157">
        <v>568.21899999999891</v>
      </c>
      <c r="E157">
        <v>-1966.6869931339363</v>
      </c>
      <c r="F157">
        <v>568.21899999999891</v>
      </c>
      <c r="G157">
        <v>273.16733686606358</v>
      </c>
      <c r="J157" t="str">
        <f>IF(H157="","",$P$6-'Script Table'!$E$15-'Script Table'!$E$19+H157)</f>
        <v/>
      </c>
      <c r="K157" s="132">
        <f t="shared" si="12"/>
        <v>568.21899999999891</v>
      </c>
      <c r="L157" s="132">
        <f t="shared" si="13"/>
        <v>157</v>
      </c>
      <c r="M157" s="132">
        <v>567.21899999999891</v>
      </c>
      <c r="N157" s="143">
        <v>179.95642147838836</v>
      </c>
    </row>
    <row r="158" spans="2:14">
      <c r="B158" s="130">
        <v>570.21899999999891</v>
      </c>
      <c r="C158">
        <v>24.413935122920005</v>
      </c>
      <c r="D158">
        <v>570.21899999999891</v>
      </c>
      <c r="E158">
        <v>-1968.6881204117337</v>
      </c>
      <c r="F158">
        <v>570.21899999999891</v>
      </c>
      <c r="G158">
        <v>271.16620958826616</v>
      </c>
      <c r="J158" t="str">
        <f>IF(H158="","",$P$6-'Script Table'!$E$15-'Script Table'!$E$19+H158)</f>
        <v/>
      </c>
      <c r="K158" s="132">
        <f t="shared" si="12"/>
        <v>570.21899999999891</v>
      </c>
      <c r="L158" s="132">
        <f t="shared" si="13"/>
        <v>158</v>
      </c>
      <c r="M158" s="132">
        <v>569.21899999999891</v>
      </c>
      <c r="N158" s="143">
        <v>179.95610200125418</v>
      </c>
    </row>
    <row r="159" spans="2:14">
      <c r="B159" s="130">
        <v>572.21899999999891</v>
      </c>
      <c r="C159">
        <v>24.412390613123932</v>
      </c>
      <c r="D159">
        <v>572.21899999999891</v>
      </c>
      <c r="E159">
        <v>-1970.6892394132885</v>
      </c>
      <c r="F159">
        <v>572.21899999999891</v>
      </c>
      <c r="G159">
        <v>269.16509058671136</v>
      </c>
      <c r="J159" t="str">
        <f>IF(H159="","",$P$6-'Script Table'!$E$15-'Script Table'!$E$19+H159)</f>
        <v/>
      </c>
      <c r="K159" s="132">
        <f t="shared" si="12"/>
        <v>572.21899999999891</v>
      </c>
      <c r="L159" s="132">
        <f t="shared" si="13"/>
        <v>159</v>
      </c>
      <c r="M159" s="132">
        <v>571.21899999999891</v>
      </c>
      <c r="N159" s="143">
        <v>179.95577780477294</v>
      </c>
    </row>
    <row r="160" spans="2:14">
      <c r="B160" s="130">
        <v>574.21899999999891</v>
      </c>
      <c r="C160">
        <v>24.41083461832428</v>
      </c>
      <c r="D160">
        <v>574.21899999999891</v>
      </c>
      <c r="E160">
        <v>-1972.690350138407</v>
      </c>
      <c r="F160">
        <v>574.21899999999891</v>
      </c>
      <c r="G160">
        <v>267.16397986159291</v>
      </c>
      <c r="J160" t="str">
        <f>IF(H160="","",$P$6-'Script Table'!$E$15-'Script Table'!$E$19+H160)</f>
        <v/>
      </c>
      <c r="K160" s="132">
        <f t="shared" si="12"/>
        <v>574.21899999999891</v>
      </c>
      <c r="L160" s="132">
        <f t="shared" si="13"/>
        <v>160</v>
      </c>
      <c r="M160" s="132">
        <v>573.21899999999891</v>
      </c>
      <c r="N160" s="143">
        <v>179.95544878357904</v>
      </c>
    </row>
    <row r="161" spans="2:14">
      <c r="B161" s="130">
        <v>576.21899999999891</v>
      </c>
      <c r="C161">
        <v>24.409266966318551</v>
      </c>
      <c r="D161">
        <v>576.21899999999891</v>
      </c>
      <c r="E161">
        <v>-1974.6914525868872</v>
      </c>
      <c r="F161">
        <v>576.21899999999891</v>
      </c>
      <c r="G161">
        <v>265.16287741311271</v>
      </c>
      <c r="J161" t="str">
        <f>IF(H161="","",$P$6-'Script Table'!$E$15-'Script Table'!$E$19+H161)</f>
        <v/>
      </c>
      <c r="K161" s="132">
        <f t="shared" si="12"/>
        <v>576.21899999999891</v>
      </c>
      <c r="L161" s="132">
        <f t="shared" si="13"/>
        <v>161</v>
      </c>
      <c r="M161" s="132">
        <v>575.21899999999891</v>
      </c>
      <c r="N161" s="143">
        <v>179.95511482914461</v>
      </c>
    </row>
    <row r="162" spans="2:14">
      <c r="B162" s="130">
        <v>578.21899999999891</v>
      </c>
      <c r="C162">
        <v>24.407687481001453</v>
      </c>
      <c r="D162">
        <v>578.21899999999891</v>
      </c>
      <c r="E162">
        <v>-1976.6925467585227</v>
      </c>
      <c r="F162">
        <v>578.21899999999891</v>
      </c>
      <c r="G162">
        <v>263.16178324147722</v>
      </c>
      <c r="J162" t="str">
        <f>IF(H162="","",$P$6-'Script Table'!$E$15-'Script Table'!$E$19+H162)</f>
        <v/>
      </c>
      <c r="K162" s="132">
        <f t="shared" si="12"/>
        <v>578.21899999999891</v>
      </c>
      <c r="L162" s="132">
        <f t="shared" si="13"/>
        <v>162</v>
      </c>
      <c r="M162" s="132">
        <v>577.21899999999891</v>
      </c>
      <c r="N162" s="143">
        <v>179.95477582966276</v>
      </c>
    </row>
    <row r="163" spans="2:14">
      <c r="B163" s="130">
        <v>580.21899999999891</v>
      </c>
      <c r="C163">
        <v>24.406095982246022</v>
      </c>
      <c r="D163">
        <v>580.21899999999891</v>
      </c>
      <c r="E163">
        <v>-1978.6936326531004</v>
      </c>
      <c r="F163">
        <v>580.21899999999891</v>
      </c>
      <c r="G163">
        <v>261.1606973468995</v>
      </c>
      <c r="J163" t="str">
        <f>IF(H163="","",$P$6-'Script Table'!$E$15-'Script Table'!$E$19+H163)</f>
        <v/>
      </c>
      <c r="K163" s="132">
        <f t="shared" si="12"/>
        <v>580.21899999999891</v>
      </c>
      <c r="L163" s="132">
        <f t="shared" si="13"/>
        <v>163</v>
      </c>
      <c r="M163" s="132">
        <v>579.21899999999891</v>
      </c>
      <c r="N163" s="143">
        <v>179.95443166992101</v>
      </c>
    </row>
    <row r="164" spans="2:14">
      <c r="B164" s="130">
        <v>582.21899999999891</v>
      </c>
      <c r="C164">
        <v>24.404492285780218</v>
      </c>
      <c r="D164">
        <v>582.21899999999891</v>
      </c>
      <c r="E164">
        <v>-1980.6947102703998</v>
      </c>
      <c r="F164">
        <v>582.21899999999891</v>
      </c>
      <c r="G164">
        <v>259.15961972960008</v>
      </c>
      <c r="J164" t="str">
        <f>IF(H164="","",$P$6-'Script Table'!$E$15-'Script Table'!$E$19+H164)</f>
        <v/>
      </c>
      <c r="K164" s="132">
        <f t="shared" si="12"/>
        <v>582.21899999999891</v>
      </c>
      <c r="L164" s="132">
        <f t="shared" si="13"/>
        <v>164</v>
      </c>
      <c r="M164" s="132">
        <v>581.21899999999891</v>
      </c>
      <c r="N164" s="143">
        <v>179.95408223117153</v>
      </c>
    </row>
    <row r="165" spans="2:14">
      <c r="B165" s="130">
        <v>584.21899999999891</v>
      </c>
      <c r="C165">
        <v>24.402876203058703</v>
      </c>
      <c r="D165">
        <v>584.21899999999891</v>
      </c>
      <c r="E165">
        <v>-1982.6957796101951</v>
      </c>
      <c r="F165">
        <v>584.21899999999891</v>
      </c>
      <c r="G165">
        <v>257.15855038980476</v>
      </c>
      <c r="J165" t="str">
        <f>IF(H165="","",$P$6-'Script Table'!$E$15-'Script Table'!$E$19+H165)</f>
        <v/>
      </c>
      <c r="K165" s="132">
        <f t="shared" si="12"/>
        <v>584.21899999999891</v>
      </c>
      <c r="L165" s="132">
        <f t="shared" si="13"/>
        <v>165</v>
      </c>
      <c r="M165" s="132">
        <v>583.21899999999891</v>
      </c>
      <c r="N165" s="143">
        <v>179.95372739099324</v>
      </c>
    </row>
    <row r="166" spans="2:14">
      <c r="B166" s="130">
        <v>586.21899999999891</v>
      </c>
      <c r="C166">
        <v>24.401247541129667</v>
      </c>
      <c r="D166">
        <v>586.21899999999891</v>
      </c>
      <c r="E166">
        <v>-1984.6968406722515</v>
      </c>
      <c r="F166">
        <v>586.21899999999891</v>
      </c>
      <c r="G166">
        <v>255.15748932774841</v>
      </c>
      <c r="J166" t="str">
        <f>IF(H166="","",$P$6-'Script Table'!$E$15-'Script Table'!$E$19+H166)</f>
        <v/>
      </c>
      <c r="K166" s="132">
        <f t="shared" si="12"/>
        <v>586.21899999999891</v>
      </c>
      <c r="L166" s="132">
        <f t="shared" si="13"/>
        <v>166</v>
      </c>
      <c r="M166" s="132">
        <v>585.21899999999891</v>
      </c>
      <c r="N166" s="143">
        <v>179.95336702314995</v>
      </c>
    </row>
    <row r="167" spans="2:14">
      <c r="B167" s="130">
        <v>588.21899999999891</v>
      </c>
      <c r="C167">
        <v>24.399606102496428</v>
      </c>
      <c r="D167">
        <v>588.21899999999891</v>
      </c>
      <c r="E167">
        <v>-1986.697893456329</v>
      </c>
      <c r="F167">
        <v>588.21899999999891</v>
      </c>
      <c r="G167">
        <v>253.15643654367091</v>
      </c>
      <c r="J167" t="str">
        <f>IF(H167="","",$P$6-'Script Table'!$E$15-'Script Table'!$E$19+H167)</f>
        <v/>
      </c>
      <c r="K167" s="132">
        <f t="shared" si="12"/>
        <v>588.21899999999891</v>
      </c>
      <c r="L167" s="132">
        <f t="shared" si="13"/>
        <v>167</v>
      </c>
      <c r="M167" s="132">
        <v>587.21899999999891</v>
      </c>
      <c r="N167" s="143">
        <v>179.9530009974406</v>
      </c>
    </row>
    <row r="168" spans="2:14">
      <c r="B168" s="130">
        <v>590.21899999999891</v>
      </c>
      <c r="C168">
        <v>24.397951684973503</v>
      </c>
      <c r="D168">
        <v>590.21899999999891</v>
      </c>
      <c r="E168">
        <v>-1988.698937962178</v>
      </c>
      <c r="F168">
        <v>590.21899999999891</v>
      </c>
      <c r="G168">
        <v>251.15539203782191</v>
      </c>
      <c r="J168" t="str">
        <f>IF(H168="","",$P$6-'Script Table'!$E$15-'Script Table'!$E$19+H168)</f>
        <v/>
      </c>
      <c r="K168" s="132">
        <f t="shared" si="12"/>
        <v>590.21899999999891</v>
      </c>
      <c r="L168" s="132">
        <f t="shared" si="13"/>
        <v>168</v>
      </c>
      <c r="M168" s="132">
        <v>589.21899999999891</v>
      </c>
      <c r="N168" s="143">
        <v>179.95262917954071</v>
      </c>
    </row>
    <row r="169" spans="2:14">
      <c r="B169" s="130">
        <v>592.21899999999891</v>
      </c>
      <c r="C169">
        <v>24.396284081536972</v>
      </c>
      <c r="D169">
        <v>592.21899999999891</v>
      </c>
      <c r="E169">
        <v>-1990.6999741895424</v>
      </c>
      <c r="F169">
        <v>592.21899999999891</v>
      </c>
      <c r="G169">
        <v>249.15435581045745</v>
      </c>
      <c r="J169" t="str">
        <f>IF(H169="","",$P$6-'Script Table'!$E$15-'Script Table'!$E$19+H169)</f>
        <v/>
      </c>
      <c r="K169" s="132">
        <f t="shared" si="12"/>
        <v>592.21899999999891</v>
      </c>
      <c r="L169" s="132">
        <f t="shared" si="13"/>
        <v>169</v>
      </c>
      <c r="M169" s="132">
        <v>591.21899999999891</v>
      </c>
      <c r="N169" s="143">
        <v>179.95225143083925</v>
      </c>
    </row>
    <row r="170" spans="2:14">
      <c r="B170" s="130">
        <v>594.21899999999891</v>
      </c>
      <c r="C170">
        <v>24.394603080168825</v>
      </c>
      <c r="D170">
        <v>594.21899999999891</v>
      </c>
      <c r="E170">
        <v>-1992.7010021381564</v>
      </c>
      <c r="F170">
        <v>594.21899999999891</v>
      </c>
      <c r="G170">
        <v>247.15332786184354</v>
      </c>
      <c r="J170" t="str">
        <f>IF(H170="","",$P$6-'Script Table'!$E$15-'Script Table'!$E$19+H170)</f>
        <v/>
      </c>
      <c r="K170" s="132">
        <f t="shared" si="12"/>
        <v>594.21899999999891</v>
      </c>
      <c r="L170" s="132">
        <f t="shared" si="13"/>
        <v>170</v>
      </c>
      <c r="M170" s="132">
        <v>593.21899999999891</v>
      </c>
      <c r="N170" s="143">
        <v>179.95186760826579</v>
      </c>
    </row>
    <row r="171" spans="2:14">
      <c r="B171" s="130">
        <v>596.21899999999891</v>
      </c>
      <c r="C171">
        <v>24.392908463694987</v>
      </c>
      <c r="D171">
        <v>596.21899999999891</v>
      </c>
      <c r="E171">
        <v>-1994.7020218077473</v>
      </c>
      <c r="F171">
        <v>596.21899999999891</v>
      </c>
      <c r="G171">
        <v>245.15230819225258</v>
      </c>
      <c r="J171" t="str">
        <f>IF(H171="","",$P$6-'Script Table'!$E$15-'Script Table'!$E$19+H171)</f>
        <v/>
      </c>
      <c r="K171" s="132">
        <f t="shared" si="12"/>
        <v>596.21899999999891</v>
      </c>
      <c r="L171" s="132">
        <f t="shared" si="13"/>
        <v>171</v>
      </c>
      <c r="M171" s="132">
        <v>595.21899999999891</v>
      </c>
      <c r="N171" s="143">
        <v>179.95147756411006</v>
      </c>
    </row>
    <row r="172" spans="2:14">
      <c r="B172" s="130">
        <v>598.21899999999891</v>
      </c>
      <c r="C172">
        <v>24.3912000096167</v>
      </c>
      <c r="D172">
        <v>598.21899999999891</v>
      </c>
      <c r="E172">
        <v>-1996.7030331980313</v>
      </c>
      <c r="F172">
        <v>598.21899999999891</v>
      </c>
      <c r="G172">
        <v>243.15129680196856</v>
      </c>
      <c r="J172" t="str">
        <f>IF(H172="","",$P$6-'Script Table'!$E$15-'Script Table'!$E$19+H172)</f>
        <v/>
      </c>
      <c r="K172" s="132">
        <f t="shared" si="12"/>
        <v>598.21899999999891</v>
      </c>
      <c r="L172" s="132">
        <f t="shared" si="13"/>
        <v>172</v>
      </c>
      <c r="M172" s="132">
        <v>597.21899999999891</v>
      </c>
      <c r="N172" s="143">
        <v>179.95108114583076</v>
      </c>
    </row>
    <row r="173" spans="2:14">
      <c r="B173" s="130">
        <v>600.21899999999891</v>
      </c>
      <c r="C173">
        <v>24.389477489935015</v>
      </c>
      <c r="D173">
        <v>600.21899999999891</v>
      </c>
      <c r="E173">
        <v>-1998.7040363087178</v>
      </c>
      <c r="F173">
        <v>600.21899999999891</v>
      </c>
      <c r="G173">
        <v>241.15029369128206</v>
      </c>
      <c r="J173" t="str">
        <f>IF(H173="","",$P$6-'Script Table'!$E$15-'Script Table'!$E$19+H173)</f>
        <v/>
      </c>
      <c r="K173" s="132">
        <f t="shared" si="12"/>
        <v>600.21899999999891</v>
      </c>
      <c r="L173" s="132">
        <f t="shared" si="13"/>
        <v>173</v>
      </c>
      <c r="M173" s="132">
        <v>599.21899999999891</v>
      </c>
      <c r="N173" s="143">
        <v>179.95067819585901</v>
      </c>
    </row>
    <row r="174" spans="2:14">
      <c r="B174" s="130">
        <v>602.21899999999891</v>
      </c>
      <c r="C174">
        <v>24.387740670967926</v>
      </c>
      <c r="D174">
        <v>602.21899999999891</v>
      </c>
      <c r="E174">
        <v>-2000.7050311395042</v>
      </c>
      <c r="F174">
        <v>602.21899999999891</v>
      </c>
      <c r="G174">
        <v>239.14929886049572</v>
      </c>
      <c r="J174" t="str">
        <f>IF(H174="","",$P$6-'Script Table'!$E$15-'Script Table'!$E$19+H174)</f>
        <v/>
      </c>
      <c r="K174" s="132">
        <f t="shared" si="12"/>
        <v>602.21899999999891</v>
      </c>
      <c r="L174" s="132">
        <f t="shared" si="13"/>
        <v>174</v>
      </c>
      <c r="M174" s="132">
        <v>601.21899999999891</v>
      </c>
      <c r="N174" s="143">
        <v>179.95026855138704</v>
      </c>
    </row>
    <row r="175" spans="2:14">
      <c r="B175" s="130">
        <v>604.21899999999891</v>
      </c>
      <c r="C175">
        <v>24.38598931315985</v>
      </c>
      <c r="D175">
        <v>604.21899999999891</v>
      </c>
      <c r="E175">
        <v>-2002.7060176900782</v>
      </c>
      <c r="F175">
        <v>604.21899999999891</v>
      </c>
      <c r="G175">
        <v>237.14831230992172</v>
      </c>
      <c r="J175" t="str">
        <f>IF(H175="","",$P$6-'Script Table'!$E$15-'Script Table'!$E$19+H175)</f>
        <v/>
      </c>
      <c r="K175" s="132">
        <f t="shared" si="12"/>
        <v>604.21899999999891</v>
      </c>
      <c r="L175" s="132">
        <f t="shared" si="13"/>
        <v>175</v>
      </c>
      <c r="M175" s="132">
        <v>603.21899999999891</v>
      </c>
      <c r="N175" s="143">
        <v>179.94985204414905</v>
      </c>
    </row>
    <row r="176" spans="2:14">
      <c r="B176" s="130">
        <v>606.21899999999891</v>
      </c>
      <c r="C176">
        <v>24.384223170883089</v>
      </c>
      <c r="D176">
        <v>606.21899999999891</v>
      </c>
      <c r="E176">
        <v>-2004.7069959601183</v>
      </c>
      <c r="F176">
        <v>606.21899999999891</v>
      </c>
      <c r="G176">
        <v>235.14733403988157</v>
      </c>
      <c r="J176" t="str">
        <f>IF(H176="","",$P$6-'Script Table'!$E$15-'Script Table'!$E$19+H176)</f>
        <v/>
      </c>
      <c r="K176" s="132">
        <f t="shared" si="12"/>
        <v>606.21899999999891</v>
      </c>
      <c r="L176" s="132">
        <f t="shared" si="13"/>
        <v>176</v>
      </c>
      <c r="M176" s="132">
        <v>605.21899999999891</v>
      </c>
      <c r="N176" s="143">
        <v>179.94942850019157</v>
      </c>
    </row>
    <row r="177" spans="2:14">
      <c r="B177" s="130">
        <v>608.21899999999891</v>
      </c>
      <c r="C177">
        <v>24.382441992230788</v>
      </c>
      <c r="D177">
        <v>608.21899999999891</v>
      </c>
      <c r="E177">
        <v>-2006.7079659492904</v>
      </c>
      <c r="F177">
        <v>608.21899999999891</v>
      </c>
      <c r="G177">
        <v>233.14636405070951</v>
      </c>
      <c r="J177" t="str">
        <f>IF(H177="","",$P$6-'Script Table'!$E$15-'Script Table'!$E$19+H177)</f>
        <v/>
      </c>
      <c r="K177" s="132">
        <f t="shared" si="12"/>
        <v>608.21899999999891</v>
      </c>
      <c r="L177" s="132">
        <f t="shared" si="13"/>
        <v>177</v>
      </c>
      <c r="M177" s="132">
        <v>607.21899999999891</v>
      </c>
      <c r="N177" s="143">
        <v>179.94899773962993</v>
      </c>
    </row>
    <row r="178" spans="2:14">
      <c r="B178" s="130">
        <v>610.21899999999891</v>
      </c>
      <c r="C178">
        <v>24.380645518801035</v>
      </c>
      <c r="D178">
        <v>610.21899999999891</v>
      </c>
      <c r="E178">
        <v>-2008.7089276572497</v>
      </c>
      <c r="F178">
        <v>610.21899999999891</v>
      </c>
      <c r="G178">
        <v>231.14540234275023</v>
      </c>
      <c r="J178" t="str">
        <f>IF(H178="","",$P$6-'Script Table'!$E$15-'Script Table'!$E$19+H178)</f>
        <v/>
      </c>
      <c r="K178" s="132">
        <f t="shared" si="12"/>
        <v>610.21899999999891</v>
      </c>
      <c r="L178" s="132">
        <f t="shared" si="13"/>
        <v>178</v>
      </c>
      <c r="M178" s="132">
        <v>609.21899999999891</v>
      </c>
      <c r="N178" s="143">
        <v>179.94855957639419</v>
      </c>
    </row>
    <row r="179" spans="2:14">
      <c r="B179" s="130">
        <v>612.21899999999891</v>
      </c>
      <c r="C179">
        <v>24.378833485471528</v>
      </c>
      <c r="D179">
        <v>612.21899999999891</v>
      </c>
      <c r="E179">
        <v>-2010.7098810836387</v>
      </c>
      <c r="F179">
        <v>612.21899999999891</v>
      </c>
      <c r="G179">
        <v>229.14444891636117</v>
      </c>
      <c r="J179" t="str">
        <f>IF(H179="","",$P$6-'Script Table'!$E$15-'Script Table'!$E$19+H179)</f>
        <v/>
      </c>
      <c r="K179" s="132">
        <f t="shared" si="12"/>
        <v>612.21899999999891</v>
      </c>
      <c r="L179" s="132">
        <f t="shared" si="13"/>
        <v>179</v>
      </c>
      <c r="M179" s="132">
        <v>611.21899999999891</v>
      </c>
      <c r="N179" s="143">
        <v>179.94811381795913</v>
      </c>
    </row>
    <row r="180" spans="2:14">
      <c r="B180" s="130">
        <v>614.21899999999891</v>
      </c>
      <c r="C180">
        <v>24.377005620164446</v>
      </c>
      <c r="D180">
        <v>614.21899999999891</v>
      </c>
      <c r="E180">
        <v>-2012.7108262280885</v>
      </c>
      <c r="F180">
        <v>614.21899999999891</v>
      </c>
      <c r="G180">
        <v>227.14350377191136</v>
      </c>
      <c r="J180" t="str">
        <f>IF(H180="","",$P$6-'Script Table'!$E$15-'Script Table'!$E$19+H180)</f>
        <v/>
      </c>
      <c r="K180" s="132">
        <f t="shared" si="12"/>
        <v>614.21899999999891</v>
      </c>
      <c r="L180" s="132">
        <f t="shared" si="13"/>
        <v>180</v>
      </c>
      <c r="M180" s="132">
        <v>613.21899999999891</v>
      </c>
      <c r="N180" s="143">
        <v>179.94766026506366</v>
      </c>
    </row>
    <row r="181" spans="2:14">
      <c r="B181" s="130">
        <v>616.21899999999891</v>
      </c>
      <c r="C181">
        <v>24.375161643600929</v>
      </c>
      <c r="D181">
        <v>616.21899999999891</v>
      </c>
      <c r="E181">
        <v>-2014.711763090216</v>
      </c>
      <c r="F181">
        <v>616.21899999999891</v>
      </c>
      <c r="G181">
        <v>225.14256690978391</v>
      </c>
      <c r="J181" t="str">
        <f>IF(H181="","",$P$6-'Script Table'!$E$15-'Script Table'!$E$19+H181)</f>
        <v/>
      </c>
      <c r="K181" s="132">
        <f t="shared" si="12"/>
        <v>616.21899999999891</v>
      </c>
      <c r="L181" s="132">
        <f t="shared" si="13"/>
        <v>181</v>
      </c>
      <c r="M181" s="132">
        <v>615.21899999999891</v>
      </c>
      <c r="N181" s="143">
        <v>179.94719871141294</v>
      </c>
    </row>
    <row r="182" spans="2:14">
      <c r="B182" s="130">
        <v>618.21899999999891</v>
      </c>
      <c r="C182">
        <v>24.373301269044596</v>
      </c>
      <c r="D182">
        <v>618.21899999999891</v>
      </c>
      <c r="E182">
        <v>-2016.7126916696252</v>
      </c>
      <c r="F182">
        <v>618.21899999999891</v>
      </c>
      <c r="G182">
        <v>223.14163833037469</v>
      </c>
      <c r="J182" t="str">
        <f>IF(H182="","",$P$6-'Script Table'!$E$15-'Script Table'!$E$19+H182)</f>
        <v/>
      </c>
      <c r="K182" s="132">
        <f t="shared" si="12"/>
        <v>618.21899999999891</v>
      </c>
      <c r="L182" s="132">
        <f t="shared" si="13"/>
        <v>182</v>
      </c>
      <c r="M182" s="132">
        <v>617.21899999999891</v>
      </c>
      <c r="N182" s="143">
        <v>179.94672894336455</v>
      </c>
    </row>
    <row r="183" spans="2:14">
      <c r="B183" s="130">
        <v>620.21899999999891</v>
      </c>
      <c r="C183">
        <v>24.371424202033555</v>
      </c>
      <c r="D183">
        <v>620.21899999999891</v>
      </c>
      <c r="E183">
        <v>-2018.7136119659046</v>
      </c>
      <c r="F183">
        <v>620.21899999999891</v>
      </c>
      <c r="G183">
        <v>221.14071803409524</v>
      </c>
      <c r="J183" t="str">
        <f>IF(H183="","",$P$6-'Script Table'!$E$15-'Script Table'!$E$19+H183)</f>
        <v/>
      </c>
      <c r="K183" s="132">
        <f t="shared" si="12"/>
        <v>620.21899999999891</v>
      </c>
      <c r="L183" s="132">
        <f t="shared" si="13"/>
        <v>183</v>
      </c>
      <c r="M183" s="132">
        <v>619.21899999999891</v>
      </c>
      <c r="N183" s="143">
        <v>179.94625073959858</v>
      </c>
    </row>
    <row r="184" spans="2:14">
      <c r="B184" s="130">
        <v>622.21899999999891</v>
      </c>
      <c r="C184">
        <v>24.369530140100267</v>
      </c>
      <c r="D184">
        <v>622.21899999999891</v>
      </c>
      <c r="E184">
        <v>-2020.71452397863</v>
      </c>
      <c r="F184">
        <v>622.21899999999891</v>
      </c>
      <c r="G184">
        <v>219.13980602136985</v>
      </c>
      <c r="J184" t="str">
        <f>IF(H184="","",$P$6-'Script Table'!$E$15-'Script Table'!$E$19+H184)</f>
        <v/>
      </c>
      <c r="K184" s="132">
        <f t="shared" si="12"/>
        <v>622.21899999999891</v>
      </c>
      <c r="L184" s="132">
        <f t="shared" si="13"/>
        <v>184</v>
      </c>
      <c r="M184" s="132">
        <v>621.21899999999891</v>
      </c>
      <c r="N184" s="143">
        <v>179.94576387076989</v>
      </c>
    </row>
    <row r="185" spans="2:14">
      <c r="B185" s="130">
        <v>624.21899999999891</v>
      </c>
      <c r="C185">
        <v>24.367618772478579</v>
      </c>
      <c r="D185">
        <v>624.21899999999891</v>
      </c>
      <c r="E185">
        <v>-2022.7154277073587</v>
      </c>
      <c r="F185">
        <v>624.21899999999891</v>
      </c>
      <c r="G185">
        <v>217.13890229264121</v>
      </c>
      <c r="J185" t="str">
        <f>IF(H185="","",$P$6-'Script Table'!$E$15-'Script Table'!$E$19+H185)</f>
        <v/>
      </c>
      <c r="K185" s="132">
        <f t="shared" si="12"/>
        <v>624.21899999999891</v>
      </c>
      <c r="L185" s="132">
        <f t="shared" si="13"/>
        <v>185</v>
      </c>
      <c r="M185" s="132">
        <v>623.21899999999891</v>
      </c>
      <c r="N185" s="143">
        <v>179.94526809914052</v>
      </c>
    </row>
    <row r="186" spans="2:14">
      <c r="B186" s="130">
        <v>626.21899999999891</v>
      </c>
      <c r="C186">
        <v>24.365689779797247</v>
      </c>
      <c r="D186">
        <v>626.21899999999891</v>
      </c>
      <c r="E186">
        <v>-2024.716323151634</v>
      </c>
      <c r="F186">
        <v>626.21899999999891</v>
      </c>
      <c r="G186">
        <v>215.13800684836588</v>
      </c>
      <c r="J186" t="str">
        <f>IF(H186="","",$P$6-'Script Table'!$E$15-'Script Table'!$E$19+H186)</f>
        <v/>
      </c>
      <c r="K186" s="132">
        <f t="shared" si="12"/>
        <v>626.21899999999891</v>
      </c>
      <c r="L186" s="132">
        <f t="shared" si="13"/>
        <v>186</v>
      </c>
      <c r="M186" s="132">
        <v>625.21899999999891</v>
      </c>
      <c r="N186" s="143">
        <v>179.94476317819235</v>
      </c>
    </row>
    <row r="187" spans="2:14">
      <c r="B187" s="130">
        <v>628.21899999999891</v>
      </c>
      <c r="C187">
        <v>24.36374283375913</v>
      </c>
      <c r="D187">
        <v>628.21899999999891</v>
      </c>
      <c r="E187">
        <v>-2026.717210310981</v>
      </c>
      <c r="F187">
        <v>628.21899999999891</v>
      </c>
      <c r="G187">
        <v>213.13711968901885</v>
      </c>
      <c r="J187" t="str">
        <f>IF(H187="","",$P$6-'Script Table'!$E$15-'Script Table'!$E$19+H187)</f>
        <v/>
      </c>
      <c r="K187" s="132">
        <f t="shared" si="12"/>
        <v>628.21899999999891</v>
      </c>
      <c r="L187" s="132">
        <f t="shared" si="13"/>
        <v>187</v>
      </c>
      <c r="M187" s="132">
        <v>627.21899999999891</v>
      </c>
      <c r="N187" s="143">
        <v>179.94424885221704</v>
      </c>
    </row>
    <row r="188" spans="2:14">
      <c r="B188" s="130">
        <v>630.21899999999891</v>
      </c>
      <c r="C188">
        <v>24.361777596805336</v>
      </c>
      <c r="D188">
        <v>630.21899999999891</v>
      </c>
      <c r="E188">
        <v>-2028.7180891849066</v>
      </c>
      <c r="F188">
        <v>630.21899999999891</v>
      </c>
      <c r="G188">
        <v>211.13624081509329</v>
      </c>
      <c r="J188" t="str">
        <f>IF(H188="","",$P$6-'Script Table'!$E$15-'Script Table'!$E$19+H188)</f>
        <v/>
      </c>
      <c r="K188" s="132">
        <f t="shared" si="12"/>
        <v>630.21899999999891</v>
      </c>
      <c r="L188" s="132">
        <f t="shared" si="13"/>
        <v>188</v>
      </c>
      <c r="M188" s="132">
        <v>629.21899999999891</v>
      </c>
      <c r="N188" s="143">
        <v>179.94372485588462</v>
      </c>
    </row>
    <row r="189" spans="2:14">
      <c r="B189" s="130">
        <v>632.21899999999891</v>
      </c>
      <c r="C189">
        <v>24.359793721763378</v>
      </c>
      <c r="D189">
        <v>632.21899999999891</v>
      </c>
      <c r="E189">
        <v>-2030.7189597728998</v>
      </c>
      <c r="F189">
        <v>632.21899999999891</v>
      </c>
      <c r="G189">
        <v>209.13537022710011</v>
      </c>
      <c r="J189" t="str">
        <f>IF(H189="","",$P$6-'Script Table'!$E$15-'Script Table'!$E$19+H189)</f>
        <v/>
      </c>
      <c r="K189" s="132">
        <f t="shared" si="12"/>
        <v>632.21899999999891</v>
      </c>
      <c r="L189" s="132">
        <f t="shared" si="13"/>
        <v>189</v>
      </c>
      <c r="M189" s="132">
        <v>631.21899999999891</v>
      </c>
      <c r="N189" s="143">
        <v>179.94319091378554</v>
      </c>
    </row>
    <row r="190" spans="2:14">
      <c r="B190" s="130">
        <v>634.21899999999891</v>
      </c>
      <c r="C190">
        <v>24.357790851478473</v>
      </c>
      <c r="D190">
        <v>634.21899999999891</v>
      </c>
      <c r="E190">
        <v>-2032.7198220744292</v>
      </c>
      <c r="F190">
        <v>634.21899999999891</v>
      </c>
      <c r="G190">
        <v>207.13450792557069</v>
      </c>
      <c r="J190" t="str">
        <f>IF(H190="","",$P$6-'Script Table'!$E$15-'Script Table'!$E$19+H190)</f>
        <v/>
      </c>
      <c r="K190" s="132">
        <f t="shared" si="12"/>
        <v>634.21899999999891</v>
      </c>
      <c r="L190" s="132">
        <f t="shared" si="13"/>
        <v>190</v>
      </c>
      <c r="M190" s="132">
        <v>633.21899999999891</v>
      </c>
      <c r="N190" s="143">
        <v>179.94264673994772</v>
      </c>
    </row>
    <row r="191" spans="2:14">
      <c r="B191" s="130">
        <v>636.21899999999891</v>
      </c>
      <c r="C191">
        <v>24.355768618426971</v>
      </c>
      <c r="D191">
        <v>636.21899999999891</v>
      </c>
      <c r="E191">
        <v>-2034.7206760889433</v>
      </c>
      <c r="F191">
        <v>636.21899999999891</v>
      </c>
      <c r="G191">
        <v>205.13365391105663</v>
      </c>
      <c r="J191" t="str">
        <f>IF(H191="","",$P$6-'Script Table'!$E$15-'Script Table'!$E$19+H191)</f>
        <v/>
      </c>
      <c r="K191" s="132">
        <f t="shared" si="12"/>
        <v>636.21899999999891</v>
      </c>
      <c r="L191" s="132">
        <f t="shared" si="13"/>
        <v>191</v>
      </c>
      <c r="M191" s="132">
        <v>635.21899999999891</v>
      </c>
      <c r="N191" s="143">
        <v>179.94209203732461</v>
      </c>
    </row>
    <row r="192" spans="2:14">
      <c r="B192" s="130">
        <v>638.21899999999891</v>
      </c>
      <c r="C192">
        <v>24.3537266443109</v>
      </c>
      <c r="D192">
        <v>638.21899999999891</v>
      </c>
      <c r="E192">
        <v>-2036.7215218158681</v>
      </c>
      <c r="F192">
        <v>638.21899999999891</v>
      </c>
      <c r="G192">
        <v>203.13280818413182</v>
      </c>
      <c r="J192" t="str">
        <f>IF(H192="","",$P$6-'Script Table'!$E$15-'Script Table'!$E$19+H192)</f>
        <v/>
      </c>
      <c r="K192" s="132">
        <f t="shared" si="12"/>
        <v>638.21899999999891</v>
      </c>
      <c r="L192" s="132">
        <f t="shared" si="13"/>
        <v>192</v>
      </c>
      <c r="M192" s="132">
        <v>637.21899999999891</v>
      </c>
      <c r="N192" s="143">
        <v>179.94152649725419</v>
      </c>
    </row>
    <row r="193" spans="2:14">
      <c r="B193" s="130">
        <v>640.21899999999891</v>
      </c>
      <c r="C193">
        <v>24.35166453963247</v>
      </c>
      <c r="D193">
        <v>640.21899999999891</v>
      </c>
      <c r="E193">
        <v>-2038.7223592546075</v>
      </c>
      <c r="F193">
        <v>640.21899999999891</v>
      </c>
      <c r="G193">
        <v>201.13197074539244</v>
      </c>
      <c r="J193" t="str">
        <f>IF(H193="","",$P$6-'Script Table'!$E$15-'Script Table'!$E$19+H193)</f>
        <v/>
      </c>
      <c r="K193" s="132">
        <f t="shared" si="12"/>
        <v>640.21899999999891</v>
      </c>
      <c r="L193" s="132">
        <f t="shared" si="13"/>
        <v>193</v>
      </c>
      <c r="M193" s="132">
        <v>639.21899999999891</v>
      </c>
      <c r="N193" s="143">
        <v>179.94094979888493</v>
      </c>
    </row>
    <row r="194" spans="2:14">
      <c r="B194" s="130">
        <v>642.21899999999891</v>
      </c>
      <c r="C194">
        <v>24.349581903247326</v>
      </c>
      <c r="D194">
        <v>642.21899999999891</v>
      </c>
      <c r="E194">
        <v>-2040.7231884045414</v>
      </c>
      <c r="F194">
        <v>642.21899999999891</v>
      </c>
      <c r="G194">
        <v>199.13114159545853</v>
      </c>
      <c r="J194" t="str">
        <f>IF(H194="","",$P$6-'Script Table'!$E$15-'Script Table'!$E$19+H194)</f>
        <v/>
      </c>
      <c r="K194" s="132">
        <f t="shared" si="12"/>
        <v>642.21899999999891</v>
      </c>
      <c r="L194" s="132">
        <f t="shared" si="13"/>
        <v>194</v>
      </c>
      <c r="M194" s="132">
        <v>641.21899999999891</v>
      </c>
      <c r="N194" s="143">
        <v>179.94036160856686</v>
      </c>
    </row>
    <row r="195" spans="2:14">
      <c r="B195" s="130">
        <v>644.21899999999891</v>
      </c>
      <c r="C195">
        <v>24.347478321895363</v>
      </c>
      <c r="D195">
        <v>644.21899999999891</v>
      </c>
      <c r="E195">
        <v>-2042.7240092650247</v>
      </c>
      <c r="F195">
        <v>644.21899999999891</v>
      </c>
      <c r="G195">
        <v>197.13032073497516</v>
      </c>
      <c r="J195" t="str">
        <f>IF(H195="","",$P$6-'Script Table'!$E$15-'Script Table'!$E$19+H195)</f>
        <v/>
      </c>
      <c r="K195" s="132">
        <f t="shared" si="12"/>
        <v>644.21899999999891</v>
      </c>
      <c r="L195" s="132">
        <f t="shared" si="13"/>
        <v>195</v>
      </c>
      <c r="M195" s="132">
        <v>643.21899999999891</v>
      </c>
      <c r="N195" s="143">
        <v>179.93976157920869</v>
      </c>
    </row>
    <row r="196" spans="2:14">
      <c r="B196" s="130">
        <v>646.21899999999891</v>
      </c>
      <c r="C196">
        <v>24.345353369707585</v>
      </c>
      <c r="D196">
        <v>646.21899999999891</v>
      </c>
      <c r="E196">
        <v>-2044.7248218353857</v>
      </c>
      <c r="F196">
        <v>646.21899999999891</v>
      </c>
      <c r="G196">
        <v>195.12950816461421</v>
      </c>
      <c r="J196" t="str">
        <f>IF(H196="","",$P$6-'Script Table'!$E$15-'Script Table'!$E$19+H196)</f>
        <v/>
      </c>
      <c r="K196" s="132">
        <f t="shared" ref="K196:K259" si="14">F196</f>
        <v>646.21899999999891</v>
      </c>
      <c r="L196" s="132">
        <f t="shared" si="13"/>
        <v>196</v>
      </c>
      <c r="M196" s="132">
        <v>645.21899999999891</v>
      </c>
      <c r="N196" s="143">
        <v>179.93914934959201</v>
      </c>
    </row>
    <row r="197" spans="2:14">
      <c r="B197" s="130">
        <v>648.21899999999891</v>
      </c>
      <c r="C197">
        <v>24.34320660768763</v>
      </c>
      <c r="D197">
        <v>648.21899999999891</v>
      </c>
      <c r="E197">
        <v>-2046.7256261149255</v>
      </c>
      <c r="F197">
        <v>648.21899999999891</v>
      </c>
      <c r="G197">
        <v>193.1287038850744</v>
      </c>
      <c r="J197" t="str">
        <f>IF(H197="","",$P$6-'Script Table'!$E$15-'Script Table'!$E$19+H197)</f>
        <v/>
      </c>
      <c r="K197" s="132">
        <f t="shared" si="14"/>
        <v>648.21899999999891</v>
      </c>
      <c r="L197" s="132">
        <f t="shared" si="13"/>
        <v>197</v>
      </c>
      <c r="M197" s="132">
        <v>647.21899999999891</v>
      </c>
      <c r="N197" s="143">
        <v>179.93852454364477</v>
      </c>
    </row>
    <row r="198" spans="2:14">
      <c r="B198" s="130">
        <v>650.21899999999891</v>
      </c>
      <c r="C198">
        <v>24.341037583166376</v>
      </c>
      <c r="D198">
        <v>650.21899999999891</v>
      </c>
      <c r="E198">
        <v>-2048.7264221029145</v>
      </c>
      <c r="F198">
        <v>650.21899999999891</v>
      </c>
      <c r="G198">
        <v>191.12790789708561</v>
      </c>
      <c r="J198" t="str">
        <f>IF(H198="","",$P$6-'Script Table'!$E$15-'Script Table'!$E$19+H198)</f>
        <v/>
      </c>
      <c r="K198" s="132">
        <f t="shared" si="14"/>
        <v>650.21899999999891</v>
      </c>
      <c r="L198" s="132">
        <f t="shared" ref="L198:L261" si="15">L197+1</f>
        <v>198</v>
      </c>
      <c r="M198" s="132">
        <v>649.21899999999891</v>
      </c>
      <c r="N198" s="143">
        <v>179.93788676967065</v>
      </c>
    </row>
    <row r="199" spans="2:14">
      <c r="B199" s="130">
        <v>652.21899999999891</v>
      </c>
      <c r="C199">
        <v>24.338845829227836</v>
      </c>
      <c r="D199">
        <v>652.21899999999891</v>
      </c>
      <c r="E199">
        <v>-2050.7272097985951</v>
      </c>
      <c r="F199">
        <v>652.21899999999891</v>
      </c>
      <c r="G199">
        <v>189.12712020140498</v>
      </c>
      <c r="J199" t="str">
        <f>IF(H199="","",$P$6-'Script Table'!$E$15-'Script Table'!$E$19+H199)</f>
        <v/>
      </c>
      <c r="K199" s="132">
        <f t="shared" si="14"/>
        <v>652.21899999999891</v>
      </c>
      <c r="L199" s="132">
        <f t="shared" si="15"/>
        <v>199</v>
      </c>
      <c r="M199" s="132">
        <v>651.21899999999891</v>
      </c>
      <c r="N199" s="143">
        <v>179.93723561952658</v>
      </c>
    </row>
    <row r="200" spans="2:14">
      <c r="B200" s="130">
        <v>654.21899999999891</v>
      </c>
      <c r="C200">
        <v>24.336630864104666</v>
      </c>
      <c r="D200">
        <v>654.21899999999891</v>
      </c>
      <c r="E200">
        <v>-2052.7279892011738</v>
      </c>
      <c r="F200">
        <v>654.21899999999891</v>
      </c>
      <c r="G200">
        <v>187.12634079882628</v>
      </c>
      <c r="J200" t="str">
        <f>IF(H200="","",$P$6-'Script Table'!$E$15-'Script Table'!$E$19+H200)</f>
        <v/>
      </c>
      <c r="K200" s="132">
        <f t="shared" si="14"/>
        <v>654.21899999999891</v>
      </c>
      <c r="L200" s="132">
        <f t="shared" si="15"/>
        <v>200</v>
      </c>
      <c r="M200" s="132">
        <v>653.21899999999891</v>
      </c>
      <c r="N200" s="143">
        <v>179.93657066775171</v>
      </c>
    </row>
    <row r="201" spans="2:14">
      <c r="B201" s="130">
        <v>656.21899999999891</v>
      </c>
      <c r="C201">
        <v>24.334392190541219</v>
      </c>
      <c r="D201">
        <v>656.21899999999891</v>
      </c>
      <c r="E201">
        <v>-2054.7287603098266</v>
      </c>
      <c r="F201">
        <v>656.21899999999891</v>
      </c>
      <c r="G201">
        <v>185.12556969017351</v>
      </c>
      <c r="J201" t="str">
        <f>IF(H201="","",$P$6-'Script Table'!$E$15-'Script Table'!$E$19+H201)</f>
        <v/>
      </c>
      <c r="K201" s="132">
        <f t="shared" si="14"/>
        <v>656.21899999999891</v>
      </c>
      <c r="L201" s="132">
        <f t="shared" si="15"/>
        <v>201</v>
      </c>
      <c r="M201" s="132">
        <v>655.21899999999891</v>
      </c>
      <c r="N201" s="143">
        <v>179.93589147063818</v>
      </c>
    </row>
    <row r="202" spans="2:14">
      <c r="B202" s="130">
        <v>658.21899999999891</v>
      </c>
      <c r="C202">
        <v>24.332129295121998</v>
      </c>
      <c r="D202">
        <v>658.21899999999891</v>
      </c>
      <c r="E202">
        <v>-2056.7295231236913</v>
      </c>
      <c r="F202">
        <v>658.21899999999891</v>
      </c>
      <c r="G202">
        <v>183.12480687630887</v>
      </c>
      <c r="J202" t="str">
        <f>IF(H202="","",$P$6-'Script Table'!$E$15-'Script Table'!$E$19+H202)</f>
        <v/>
      </c>
      <c r="K202" s="132">
        <f t="shared" si="14"/>
        <v>658.21899999999891</v>
      </c>
      <c r="L202" s="132">
        <f t="shared" si="15"/>
        <v>202</v>
      </c>
      <c r="M202" s="132">
        <v>657.21899999999891</v>
      </c>
      <c r="N202" s="143">
        <v>179.93519756523966</v>
      </c>
    </row>
    <row r="203" spans="2:14">
      <c r="B203" s="130">
        <v>660.21899999999891</v>
      </c>
      <c r="C203">
        <v>24.329841647563363</v>
      </c>
      <c r="D203">
        <v>660.21899999999891</v>
      </c>
      <c r="E203">
        <v>-2058.7302776418683</v>
      </c>
      <c r="F203">
        <v>660.21899999999891</v>
      </c>
      <c r="G203">
        <v>181.12405235813185</v>
      </c>
      <c r="J203" t="str">
        <f>IF(H203="","",$P$6-'Script Table'!$E$15-'Script Table'!$E$19+H203)</f>
        <v/>
      </c>
      <c r="K203" s="132">
        <f t="shared" si="14"/>
        <v>660.21899999999891</v>
      </c>
      <c r="L203" s="132">
        <f t="shared" si="15"/>
        <v>203</v>
      </c>
      <c r="M203" s="132">
        <v>659.21899999999891</v>
      </c>
      <c r="N203" s="143">
        <v>179.93448846831865</v>
      </c>
    </row>
    <row r="204" spans="2:14">
      <c r="B204" s="130">
        <v>662.21899999999891</v>
      </c>
      <c r="C204">
        <v>24.327528699965971</v>
      </c>
      <c r="D204">
        <v>662.21899999999891</v>
      </c>
      <c r="E204">
        <v>-2060.7310238634163</v>
      </c>
      <c r="F204">
        <v>662.21899999999891</v>
      </c>
      <c r="G204">
        <v>179.12330613658378</v>
      </c>
      <c r="J204" t="str">
        <f>IF(H204="","",$P$6-'Script Table'!$E$15-'Script Table'!$E$19+H204)</f>
        <v/>
      </c>
      <c r="K204" s="132">
        <f t="shared" si="14"/>
        <v>662.21899999999891</v>
      </c>
      <c r="L204" s="132">
        <f t="shared" si="15"/>
        <v>204</v>
      </c>
      <c r="M204" s="132">
        <v>661.21899999999891</v>
      </c>
      <c r="N204" s="143">
        <v>179.93376367522146</v>
      </c>
    </row>
    <row r="205" spans="2:14">
      <c r="B205" s="130">
        <v>664.21899999999891</v>
      </c>
      <c r="C205">
        <v>24.32518988602526</v>
      </c>
      <c r="D205">
        <v>664.21899999999891</v>
      </c>
      <c r="E205">
        <v>-2062.7317617873555</v>
      </c>
      <c r="F205">
        <v>664.21899999999891</v>
      </c>
      <c r="G205">
        <v>177.12256821264464</v>
      </c>
      <c r="J205" t="str">
        <f>IF(H205="","",$P$6-'Script Table'!$E$15-'Script Table'!$E$19+H205)</f>
        <v/>
      </c>
      <c r="K205" s="132">
        <f t="shared" si="14"/>
        <v>664.21899999999891</v>
      </c>
      <c r="L205" s="132">
        <f t="shared" si="15"/>
        <v>205</v>
      </c>
      <c r="M205" s="132">
        <v>663.21899999999891</v>
      </c>
      <c r="N205" s="143">
        <v>179.93302265867675</v>
      </c>
    </row>
    <row r="206" spans="2:14">
      <c r="B206" s="130">
        <v>666.21899999999891</v>
      </c>
      <c r="C206">
        <v>24.32282462019726</v>
      </c>
      <c r="D206">
        <v>666.21899999999891</v>
      </c>
      <c r="E206">
        <v>-2064.7324914126593</v>
      </c>
      <c r="F206">
        <v>666.21899999999891</v>
      </c>
      <c r="G206">
        <v>175.12183858734079</v>
      </c>
      <c r="J206" t="str">
        <f>IF(H206="","",$P$6-'Script Table'!$E$15-'Script Table'!$E$19+H206)</f>
        <v/>
      </c>
      <c r="K206" s="132">
        <f t="shared" si="14"/>
        <v>666.21899999999891</v>
      </c>
      <c r="L206" s="132">
        <f t="shared" si="15"/>
        <v>206</v>
      </c>
      <c r="M206" s="132">
        <v>665.21899999999891</v>
      </c>
      <c r="N206" s="143">
        <v>179.93226486751487</v>
      </c>
    </row>
    <row r="207" spans="2:14">
      <c r="B207" s="130">
        <v>668.21899999999891</v>
      </c>
      <c r="C207">
        <v>24.320432296816733</v>
      </c>
      <c r="D207">
        <v>668.21899999999891</v>
      </c>
      <c r="E207">
        <v>-2066.7332127382529</v>
      </c>
      <c r="F207">
        <v>668.21899999999891</v>
      </c>
      <c r="G207">
        <v>173.12111726174726</v>
      </c>
      <c r="J207" t="str">
        <f>IF(H207="","",$P$6-'Script Table'!$E$15-'Script Table'!$E$19+H207)</f>
        <v/>
      </c>
      <c r="K207" s="132">
        <f t="shared" si="14"/>
        <v>668.21899999999891</v>
      </c>
      <c r="L207" s="132">
        <f t="shared" si="15"/>
        <v>207</v>
      </c>
      <c r="M207" s="132">
        <v>667.21899999999891</v>
      </c>
      <c r="N207" s="143">
        <v>179.93148972530307</v>
      </c>
    </row>
    <row r="208" spans="2:14">
      <c r="B208" s="130">
        <v>670.21899999999891</v>
      </c>
      <c r="C208">
        <v>24.318012289164706</v>
      </c>
      <c r="D208">
        <v>670.21899999999891</v>
      </c>
      <c r="E208">
        <v>-2068.733925763011</v>
      </c>
      <c r="F208">
        <v>670.21899999999891</v>
      </c>
      <c r="G208">
        <v>171.12040423698909</v>
      </c>
      <c r="J208" t="str">
        <f>IF(H208="","",$P$6-'Script Table'!$E$15-'Script Table'!$E$19+H208)</f>
        <v/>
      </c>
      <c r="K208" s="132">
        <f t="shared" si="14"/>
        <v>670.21899999999891</v>
      </c>
      <c r="L208" s="132">
        <f t="shared" si="15"/>
        <v>208</v>
      </c>
      <c r="M208" s="132">
        <v>669.21899999999891</v>
      </c>
      <c r="N208" s="143">
        <v>179.93069662889494</v>
      </c>
    </row>
    <row r="209" spans="2:14">
      <c r="B209" s="130">
        <v>672.21899999999891</v>
      </c>
      <c r="C209">
        <v>24.315563948483316</v>
      </c>
      <c r="D209">
        <v>672.21899999999891</v>
      </c>
      <c r="E209">
        <v>-2070.7346304857588</v>
      </c>
      <c r="F209">
        <v>672.21899999999891</v>
      </c>
      <c r="G209">
        <v>169.11969951424135</v>
      </c>
      <c r="J209" t="str">
        <f>IF(H209="","",$P$6-'Script Table'!$E$15-'Script Table'!$E$19+H209)</f>
        <v/>
      </c>
      <c r="K209" s="132">
        <f t="shared" si="14"/>
        <v>672.21899999999891</v>
      </c>
      <c r="L209" s="132">
        <f t="shared" si="15"/>
        <v>209</v>
      </c>
      <c r="M209" s="132">
        <v>671.21899999999891</v>
      </c>
      <c r="N209" s="143">
        <v>179.92988494692182</v>
      </c>
    </row>
    <row r="210" spans="2:14">
      <c r="B210" s="130">
        <v>674.21899999999891</v>
      </c>
      <c r="C210">
        <v>24.313086602939418</v>
      </c>
      <c r="D210">
        <v>674.21899999999891</v>
      </c>
      <c r="E210">
        <v>-2072.7353269052619</v>
      </c>
      <c r="F210">
        <v>674.21899999999891</v>
      </c>
      <c r="G210">
        <v>167.11900309473822</v>
      </c>
      <c r="J210" t="str">
        <f>IF(H210="","",$P$6-'Script Table'!$E$15-'Script Table'!$E$19+H210)</f>
        <v/>
      </c>
      <c r="K210" s="132">
        <f t="shared" si="14"/>
        <v>674.21899999999891</v>
      </c>
      <c r="L210" s="132">
        <f t="shared" si="15"/>
        <v>210</v>
      </c>
      <c r="M210" s="132">
        <v>673.21899999999891</v>
      </c>
      <c r="N210" s="143">
        <v>179.92905401832394</v>
      </c>
    </row>
    <row r="211" spans="2:14">
      <c r="B211" s="130">
        <v>676.21899999999891</v>
      </c>
      <c r="C211">
        <v>24.310579556550735</v>
      </c>
      <c r="D211">
        <v>676.21899999999891</v>
      </c>
      <c r="E211">
        <v>-2074.7360150202289</v>
      </c>
      <c r="F211">
        <v>676.21899999999891</v>
      </c>
      <c r="G211">
        <v>165.11831497977118</v>
      </c>
      <c r="J211" t="str">
        <f>IF(H211="","",$P$6-'Script Table'!$E$15-'Script Table'!$E$19+H211)</f>
        <v/>
      </c>
      <c r="K211" s="132">
        <f t="shared" si="14"/>
        <v>676.21899999999891</v>
      </c>
      <c r="L211" s="132">
        <f t="shared" si="15"/>
        <v>211</v>
      </c>
      <c r="M211" s="132">
        <v>675.21899999999891</v>
      </c>
      <c r="N211" s="143">
        <v>179.9282031512779</v>
      </c>
    </row>
    <row r="212" spans="2:14">
      <c r="B212" s="130">
        <v>678.21899999999891</v>
      </c>
      <c r="C212">
        <v>24.308042088132193</v>
      </c>
      <c r="D212">
        <v>678.21899999999891</v>
      </c>
      <c r="E212">
        <v>-2076.736694829302</v>
      </c>
      <c r="F212">
        <v>678.21899999999891</v>
      </c>
      <c r="G212">
        <v>163.11763517069812</v>
      </c>
      <c r="J212" t="str">
        <f>IF(H212="","",$P$6-'Script Table'!$E$15-'Script Table'!$E$19+H212)</f>
        <v/>
      </c>
      <c r="K212" s="132">
        <f t="shared" si="14"/>
        <v>678.21899999999891</v>
      </c>
      <c r="L212" s="132">
        <f t="shared" si="15"/>
        <v>212</v>
      </c>
      <c r="M212" s="132">
        <v>677.21899999999891</v>
      </c>
      <c r="N212" s="143">
        <v>179.92733162377348</v>
      </c>
    </row>
    <row r="213" spans="2:14">
      <c r="B213" s="130">
        <v>680.21899999999891</v>
      </c>
      <c r="C213">
        <v>24.305473450468678</v>
      </c>
      <c r="D213">
        <v>680.21899999999891</v>
      </c>
      <c r="E213">
        <v>-2078.7373663310605</v>
      </c>
      <c r="F213">
        <v>680.21899999999891</v>
      </c>
      <c r="G213">
        <v>161.11696366893966</v>
      </c>
      <c r="J213" t="str">
        <f>IF(H213="","",$P$6-'Script Table'!$E$15-'Script Table'!$E$19+H213)</f>
        <v/>
      </c>
      <c r="K213" s="132">
        <f t="shared" si="14"/>
        <v>680.21899999999891</v>
      </c>
      <c r="L213" s="132">
        <f t="shared" si="15"/>
        <v>213</v>
      </c>
      <c r="M213" s="132">
        <v>679.21899999999891</v>
      </c>
      <c r="N213" s="143">
        <v>179.92643869009785</v>
      </c>
    </row>
    <row r="214" spans="2:14">
      <c r="B214" s="130">
        <v>682.21899999999891</v>
      </c>
      <c r="C214">
        <v>24.302872870421599</v>
      </c>
      <c r="D214">
        <v>682.21899999999891</v>
      </c>
      <c r="E214">
        <v>-2080.738029524015</v>
      </c>
      <c r="F214">
        <v>682.21899999999891</v>
      </c>
      <c r="G214">
        <v>159.1163004759851</v>
      </c>
      <c r="J214" t="str">
        <f>IF(H214="","",$P$6-'Script Table'!$E$15-'Script Table'!$E$19+H214)</f>
        <v/>
      </c>
      <c r="K214" s="132">
        <f t="shared" si="14"/>
        <v>682.21899999999891</v>
      </c>
      <c r="L214" s="132">
        <f t="shared" si="15"/>
        <v>214</v>
      </c>
      <c r="M214" s="132">
        <v>681.21899999999891</v>
      </c>
      <c r="N214" s="143">
        <v>179.92552360757739</v>
      </c>
    </row>
    <row r="215" spans="2:14">
      <c r="B215" s="130">
        <v>684.21899999999891</v>
      </c>
      <c r="C215">
        <v>24.300239552352274</v>
      </c>
      <c r="D215">
        <v>684.21899999999891</v>
      </c>
      <c r="E215">
        <v>-2082.7386844066068</v>
      </c>
      <c r="F215">
        <v>684.21899999999891</v>
      </c>
      <c r="G215">
        <v>157.11564559339331</v>
      </c>
      <c r="J215" t="str">
        <f>IF(H215="","",$P$6-'Script Table'!$E$15-'Script Table'!$E$19+H215)</f>
        <v/>
      </c>
      <c r="K215" s="132">
        <f t="shared" si="14"/>
        <v>684.21899999999891</v>
      </c>
      <c r="L215" s="132">
        <f t="shared" si="15"/>
        <v>215</v>
      </c>
      <c r="M215" s="132">
        <v>683.21899999999891</v>
      </c>
      <c r="N215" s="143">
        <v>179.92458573156674</v>
      </c>
    </row>
    <row r="216" spans="2:14">
      <c r="B216" s="130">
        <v>685.21899999999891</v>
      </c>
      <c r="C216">
        <v>24.298910315250119</v>
      </c>
      <c r="D216">
        <v>685.21899999999891</v>
      </c>
      <c r="E216">
        <v>-2083.73900873094</v>
      </c>
      <c r="F216">
        <v>685.21899999999891</v>
      </c>
      <c r="G216">
        <v>156.11532126906013</v>
      </c>
      <c r="J216" t="str">
        <f>IF(H216="","",$P$6-'Script Table'!$E$15-'Script Table'!$E$19+H216)</f>
        <v/>
      </c>
      <c r="K216" s="132">
        <f t="shared" si="14"/>
        <v>685.21899999999891</v>
      </c>
      <c r="L216" s="132">
        <f t="shared" si="15"/>
        <v>216</v>
      </c>
      <c r="M216" s="132">
        <v>684.71899999999891</v>
      </c>
      <c r="N216" s="143">
        <v>179.92386506131319</v>
      </c>
    </row>
    <row r="217" spans="2:14">
      <c r="B217" s="130">
        <v>686.21899999999891</v>
      </c>
      <c r="C217">
        <v>24.297572579877222</v>
      </c>
      <c r="D217">
        <v>686.21899999999891</v>
      </c>
      <c r="E217">
        <v>-2084.73933097706</v>
      </c>
      <c r="F217">
        <v>686.21899999999891</v>
      </c>
      <c r="G217">
        <v>155.11499902294008</v>
      </c>
      <c r="J217" t="str">
        <f>IF(H217="","",$P$6-'Script Table'!$E$15-'Script Table'!$E$19+H217)</f>
        <v/>
      </c>
      <c r="K217" s="132">
        <f t="shared" si="14"/>
        <v>686.21899999999891</v>
      </c>
      <c r="L217" s="132">
        <f t="shared" si="15"/>
        <v>217</v>
      </c>
      <c r="M217" s="132">
        <v>685.71899999999891</v>
      </c>
      <c r="N217" s="143">
        <v>179.92337814581401</v>
      </c>
    </row>
    <row r="218" spans="2:14">
      <c r="B218" s="130">
        <v>687.21899999999891</v>
      </c>
      <c r="C218">
        <v>24.296226233778693</v>
      </c>
      <c r="D218">
        <v>687.21899999999891</v>
      </c>
      <c r="E218">
        <v>-2085.7396511447437</v>
      </c>
      <c r="F218">
        <v>687.21899999999891</v>
      </c>
      <c r="G218">
        <v>154.11467885525644</v>
      </c>
      <c r="J218" t="str">
        <f>IF(H218="","",$P$6-'Script Table'!$E$15-'Script Table'!$E$19+H218)</f>
        <v/>
      </c>
      <c r="K218" s="132">
        <f t="shared" si="14"/>
        <v>687.21899999999891</v>
      </c>
      <c r="L218" s="132">
        <f t="shared" si="15"/>
        <v>218</v>
      </c>
      <c r="M218" s="132">
        <v>686.71899999999891</v>
      </c>
      <c r="N218" s="143">
        <v>179.92288478716873</v>
      </c>
    </row>
    <row r="219" spans="2:14">
      <c r="B219" s="130">
        <v>688.21899999999891</v>
      </c>
      <c r="C219">
        <v>24.294871163697078</v>
      </c>
      <c r="D219">
        <v>688.21899999999891</v>
      </c>
      <c r="E219">
        <v>-2086.7399692337613</v>
      </c>
      <c r="F219">
        <v>688.21899999999891</v>
      </c>
      <c r="G219">
        <v>153.11436076623886</v>
      </c>
      <c r="J219" t="str">
        <f>IF(H219="","",$P$6-'Script Table'!$E$15-'Script Table'!$E$19+H219)</f>
        <v/>
      </c>
      <c r="K219" s="132">
        <f t="shared" si="14"/>
        <v>688.21899999999891</v>
      </c>
      <c r="L219" s="132">
        <f t="shared" si="15"/>
        <v>219</v>
      </c>
      <c r="M219" s="132">
        <v>687.71899999999891</v>
      </c>
      <c r="N219" s="143">
        <v>179.92238493936824</v>
      </c>
    </row>
    <row r="220" spans="2:14">
      <c r="B220" s="130">
        <v>689.21899999999891</v>
      </c>
      <c r="C220">
        <v>24.293507254887913</v>
      </c>
      <c r="D220">
        <v>689.21899999999891</v>
      </c>
      <c r="E220">
        <v>-2087.7402852438831</v>
      </c>
      <c r="F220">
        <v>689.21899999999891</v>
      </c>
      <c r="G220">
        <v>152.11404475611698</v>
      </c>
      <c r="J220" t="str">
        <f>IF(H220="","",$P$6-'Script Table'!$E$15-'Script Table'!$E$19+H220)</f>
        <v/>
      </c>
      <c r="K220" s="132">
        <f t="shared" si="14"/>
        <v>689.21899999999891</v>
      </c>
      <c r="L220" s="132">
        <f t="shared" si="15"/>
        <v>220</v>
      </c>
      <c r="M220" s="132">
        <v>688.71899999999891</v>
      </c>
      <c r="N220" s="143">
        <v>179.9218785171999</v>
      </c>
    </row>
    <row r="221" spans="2:14">
      <c r="B221" s="130">
        <v>690.21899999999891</v>
      </c>
      <c r="C221">
        <v>24.292134390730606</v>
      </c>
      <c r="D221">
        <v>690.21899999999891</v>
      </c>
      <c r="E221">
        <v>-2088.7405991748687</v>
      </c>
      <c r="F221">
        <v>690.21899999999891</v>
      </c>
      <c r="G221">
        <v>151.11373082513137</v>
      </c>
      <c r="J221" t="str">
        <f>IF(H221="","",$P$6-'Script Table'!$E$15-'Script Table'!$E$19+H221)</f>
        <v/>
      </c>
      <c r="K221" s="132">
        <f t="shared" si="14"/>
        <v>690.21899999999891</v>
      </c>
      <c r="L221" s="132">
        <f t="shared" si="15"/>
        <v>221</v>
      </c>
      <c r="M221" s="132">
        <v>689.71899999999891</v>
      </c>
      <c r="N221" s="143">
        <v>179.92136541316165</v>
      </c>
    </row>
    <row r="222" spans="2:14">
      <c r="B222" s="130">
        <v>691.21899999999891</v>
      </c>
      <c r="C222">
        <v>24.290752452493876</v>
      </c>
      <c r="D222">
        <v>691.21899999999891</v>
      </c>
      <c r="E222">
        <v>-2089.7409110264744</v>
      </c>
      <c r="F222">
        <v>691.21899999999891</v>
      </c>
      <c r="G222">
        <v>150.11341897352577</v>
      </c>
      <c r="J222" t="str">
        <f>IF(H222="","",$P$6-'Script Table'!$E$15-'Script Table'!$E$19+H222)</f>
        <v/>
      </c>
      <c r="K222" s="132">
        <f t="shared" si="14"/>
        <v>691.21899999999891</v>
      </c>
      <c r="L222" s="132">
        <f t="shared" si="15"/>
        <v>222</v>
      </c>
      <c r="M222" s="132">
        <v>690.71899999999891</v>
      </c>
      <c r="N222" s="143">
        <v>179.92084550631637</v>
      </c>
    </row>
    <row r="223" spans="2:14">
      <c r="B223" s="130">
        <v>692.21899999999891</v>
      </c>
      <c r="C223">
        <v>24.289361319181449</v>
      </c>
      <c r="D223">
        <v>692.21899999999891</v>
      </c>
      <c r="E223">
        <v>-2090.7412207984494</v>
      </c>
      <c r="F223">
        <v>692.21899999999891</v>
      </c>
      <c r="G223">
        <v>149.11310920155074</v>
      </c>
      <c r="J223" t="str">
        <f>IF(H223="","",$P$6-'Script Table'!$E$15-'Script Table'!$E$19+H223)</f>
        <v/>
      </c>
      <c r="K223" s="132">
        <f t="shared" si="14"/>
        <v>692.21899999999891</v>
      </c>
      <c r="L223" s="132">
        <f t="shared" si="15"/>
        <v>223</v>
      </c>
      <c r="M223" s="132">
        <v>691.71899999999891</v>
      </c>
      <c r="N223" s="143">
        <v>179.92031866688697</v>
      </c>
    </row>
    <row r="224" spans="2:14">
      <c r="B224" s="130">
        <v>693.21899999999891</v>
      </c>
      <c r="C224">
        <v>24.287960867419326</v>
      </c>
      <c r="D224">
        <v>693.21899999999891</v>
      </c>
      <c r="E224">
        <v>-2091.7415284905383</v>
      </c>
      <c r="F224">
        <v>693.21899999999891</v>
      </c>
      <c r="G224">
        <v>148.11280150946186</v>
      </c>
      <c r="J224" t="str">
        <f>IF(H224="","",$P$6-'Script Table'!$E$15-'Script Table'!$E$19+H224)</f>
        <v/>
      </c>
      <c r="K224" s="132">
        <f t="shared" si="14"/>
        <v>693.21899999999891</v>
      </c>
      <c r="L224" s="132">
        <f t="shared" si="15"/>
        <v>224</v>
      </c>
      <c r="M224" s="132">
        <v>692.71899999999891</v>
      </c>
      <c r="N224" s="143">
        <v>179.9197847586388</v>
      </c>
    </row>
    <row r="225" spans="2:14">
      <c r="B225" s="130">
        <v>694.21899999999891</v>
      </c>
      <c r="C225">
        <v>24.286550971363852</v>
      </c>
      <c r="D225">
        <v>694.21899999999891</v>
      </c>
      <c r="E225">
        <v>-2092.741834102475</v>
      </c>
      <c r="F225">
        <v>694.21899999999891</v>
      </c>
      <c r="G225">
        <v>147.11249589752515</v>
      </c>
      <c r="J225" t="str">
        <f>IF(H225="","",$P$6-'Script Table'!$E$15-'Script Table'!$E$19+H225)</f>
        <v/>
      </c>
      <c r="K225" s="132">
        <f t="shared" si="14"/>
        <v>694.21899999999891</v>
      </c>
      <c r="L225" s="132">
        <f t="shared" si="15"/>
        <v>225</v>
      </c>
      <c r="M225" s="132">
        <v>693.71899999999891</v>
      </c>
      <c r="N225" s="143">
        <v>179.91924364006971</v>
      </c>
    </row>
    <row r="226" spans="2:14">
      <c r="B226" s="130">
        <v>695.21899999999891</v>
      </c>
      <c r="C226">
        <v>24.285131502619699</v>
      </c>
      <c r="D226">
        <v>695.21899999999891</v>
      </c>
      <c r="E226">
        <v>-2093.7421376339885</v>
      </c>
      <c r="F226">
        <v>695.21899999999891</v>
      </c>
      <c r="G226">
        <v>146.11219236601164</v>
      </c>
      <c r="J226" t="str">
        <f>IF(H226="","",$P$6-'Script Table'!$E$15-'Script Table'!$E$19+H226)</f>
        <v/>
      </c>
      <c r="K226" s="132">
        <f t="shared" si="14"/>
        <v>695.21899999999891</v>
      </c>
      <c r="L226" s="132">
        <f t="shared" si="15"/>
        <v>226</v>
      </c>
      <c r="M226" s="132">
        <v>694.71899999999891</v>
      </c>
      <c r="N226" s="143">
        <v>179.91869516497914</v>
      </c>
    </row>
    <row r="227" spans="2:14">
      <c r="B227" s="130">
        <v>696.21899999999891</v>
      </c>
      <c r="C227">
        <v>24.283702330162097</v>
      </c>
      <c r="D227">
        <v>696.21899999999891</v>
      </c>
      <c r="E227">
        <v>-2094.7424390847996</v>
      </c>
      <c r="F227">
        <v>696.21899999999891</v>
      </c>
      <c r="G227">
        <v>145.11189091520055</v>
      </c>
      <c r="J227" t="str">
        <f>IF(H227="","",$P$6-'Script Table'!$E$15-'Script Table'!$E$19+H227)</f>
        <v/>
      </c>
      <c r="K227" s="132">
        <f t="shared" si="14"/>
        <v>696.21899999999891</v>
      </c>
      <c r="L227" s="132">
        <f t="shared" si="15"/>
        <v>227</v>
      </c>
      <c r="M227" s="132">
        <v>695.71899999999891</v>
      </c>
      <c r="N227" s="143">
        <v>179.91813918271052</v>
      </c>
    </row>
    <row r="228" spans="2:14">
      <c r="B228" s="130">
        <v>697.21899999999891</v>
      </c>
      <c r="C228">
        <v>24.28226332025995</v>
      </c>
      <c r="D228">
        <v>697.21899999999891</v>
      </c>
      <c r="E228">
        <v>-2095.7427384546222</v>
      </c>
      <c r="F228">
        <v>697.21899999999891</v>
      </c>
      <c r="G228">
        <v>144.11159154537791</v>
      </c>
      <c r="J228" t="str">
        <f>IF(H228="","",$P$6-'Script Table'!$E$15-'Script Table'!$E$19+H228)</f>
        <v/>
      </c>
      <c r="K228" s="132">
        <f t="shared" si="14"/>
        <v>697.21899999999891</v>
      </c>
      <c r="L228" s="132">
        <f t="shared" si="15"/>
        <v>228</v>
      </c>
      <c r="M228" s="132">
        <v>696.71899999999891</v>
      </c>
      <c r="N228" s="143">
        <v>179.91757553820241</v>
      </c>
    </row>
    <row r="229" spans="2:14">
      <c r="B229" s="130">
        <v>698.21899999999891</v>
      </c>
      <c r="C229">
        <v>24.280814336398372</v>
      </c>
      <c r="D229">
        <v>698.21899999999891</v>
      </c>
      <c r="E229">
        <v>-2096.7430357431622</v>
      </c>
      <c r="F229">
        <v>698.21899999999891</v>
      </c>
      <c r="G229">
        <v>143.11129425683794</v>
      </c>
      <c r="J229" t="str">
        <f>IF(H229="","",$P$6-'Script Table'!$E$15-'Script Table'!$E$19+H229)</f>
        <v/>
      </c>
      <c r="K229" s="132">
        <f t="shared" si="14"/>
        <v>698.21899999999891</v>
      </c>
      <c r="L229" s="132">
        <f t="shared" si="15"/>
        <v>229</v>
      </c>
      <c r="M229" s="132">
        <v>697.71899999999891</v>
      </c>
      <c r="N229" s="143">
        <v>179.91700407195478</v>
      </c>
    </row>
    <row r="230" spans="2:14">
      <c r="B230" s="130">
        <v>699.21899999999891</v>
      </c>
      <c r="C230">
        <v>24.279355239199454</v>
      </c>
      <c r="D230">
        <v>699.21899999999891</v>
      </c>
      <c r="E230">
        <v>-2097.7433309501162</v>
      </c>
      <c r="F230">
        <v>699.21899999999891</v>
      </c>
      <c r="G230">
        <v>142.11099904988396</v>
      </c>
      <c r="J230" t="str">
        <f>IF(H230="","",$P$6-'Script Table'!$E$15-'Script Table'!$E$19+H230)</f>
        <v/>
      </c>
      <c r="K230" s="132">
        <f t="shared" si="14"/>
        <v>699.21899999999891</v>
      </c>
      <c r="L230" s="132">
        <f t="shared" si="15"/>
        <v>230</v>
      </c>
      <c r="M230" s="132">
        <v>698.71899999999891</v>
      </c>
      <c r="N230" s="143">
        <v>179.91642461992816</v>
      </c>
    </row>
    <row r="231" spans="2:14">
      <c r="B231" s="130">
        <v>700.21899999999891</v>
      </c>
      <c r="C231">
        <v>24.277885886340879</v>
      </c>
      <c r="D231">
        <v>700.21899999999891</v>
      </c>
      <c r="E231">
        <v>-2098.7436240751736</v>
      </c>
      <c r="F231">
        <v>700.21899999999891</v>
      </c>
      <c r="G231">
        <v>141.11070592482656</v>
      </c>
      <c r="J231" t="str">
        <f>IF(H231="","",$P$6-'Script Table'!$E$15-'Script Table'!$E$19+H231)</f>
        <v/>
      </c>
      <c r="K231" s="132">
        <f t="shared" si="14"/>
        <v>700.21899999999891</v>
      </c>
      <c r="L231" s="132">
        <f t="shared" si="15"/>
        <v>231</v>
      </c>
      <c r="M231" s="132">
        <v>699.71899999999891</v>
      </c>
      <c r="N231" s="143">
        <v>179.91583701341992</v>
      </c>
    </row>
    <row r="232" spans="2:14">
      <c r="B232" s="130">
        <v>701.21899999999891</v>
      </c>
      <c r="C232">
        <v>24.276406132471905</v>
      </c>
      <c r="D232">
        <v>701.21899999999891</v>
      </c>
      <c r="E232">
        <v>-2099.7439151180133</v>
      </c>
      <c r="F232">
        <v>701.21899999999891</v>
      </c>
      <c r="G232">
        <v>140.1104148819868</v>
      </c>
      <c r="J232" t="str">
        <f>IF(H232="","",$P$6-'Script Table'!$E$15-'Script Table'!$E$19+H232)</f>
        <v/>
      </c>
      <c r="K232" s="132">
        <f t="shared" si="14"/>
        <v>701.21899999999891</v>
      </c>
      <c r="L232" s="132">
        <f t="shared" si="15"/>
        <v>232</v>
      </c>
      <c r="M232" s="132">
        <v>700.71899999999891</v>
      </c>
      <c r="N232" s="143">
        <v>179.91524107891343</v>
      </c>
    </row>
    <row r="233" spans="2:14">
      <c r="B233" s="130">
        <v>702.21899999999891</v>
      </c>
      <c r="C233">
        <v>24.27491582912652</v>
      </c>
      <c r="D233">
        <v>702.21899999999891</v>
      </c>
      <c r="E233">
        <v>-2100.7442040783067</v>
      </c>
      <c r="F233">
        <v>702.21899999999891</v>
      </c>
      <c r="G233">
        <v>139.11012592169345</v>
      </c>
      <c r="J233" t="str">
        <f>IF(H233="","",$P$6-'Script Table'!$E$15-'Script Table'!$E$19+H233)</f>
        <v/>
      </c>
      <c r="K233" s="132">
        <f t="shared" si="14"/>
        <v>702.21899999999891</v>
      </c>
      <c r="L233" s="132">
        <f t="shared" si="15"/>
        <v>233</v>
      </c>
      <c r="M233" s="132">
        <v>701.71899999999891</v>
      </c>
      <c r="N233" s="143">
        <v>179.91463663791654</v>
      </c>
    </row>
    <row r="234" spans="2:14">
      <c r="B234" s="130">
        <v>703.21899999999891</v>
      </c>
      <c r="C234">
        <v>24.273414824633537</v>
      </c>
      <c r="D234">
        <v>703.21899999999891</v>
      </c>
      <c r="E234">
        <v>-2101.7444909557144</v>
      </c>
      <c r="F234">
        <v>703.21899999999891</v>
      </c>
      <c r="G234">
        <v>138.10983904428576</v>
      </c>
      <c r="J234" t="str">
        <f>IF(H234="","",$P$6-'Script Table'!$E$15-'Script Table'!$E$19+H234)</f>
        <v/>
      </c>
      <c r="K234" s="132">
        <f t="shared" si="14"/>
        <v>703.21899999999891</v>
      </c>
      <c r="L234" s="132">
        <f t="shared" si="15"/>
        <v>234</v>
      </c>
      <c r="M234" s="132">
        <v>702.71899999999891</v>
      </c>
      <c r="N234" s="143">
        <v>179.91402350678558</v>
      </c>
    </row>
    <row r="235" spans="2:14">
      <c r="B235" s="130">
        <v>704.21899999999891</v>
      </c>
      <c r="C235">
        <v>24.271902964023443</v>
      </c>
      <c r="D235">
        <v>704.21899999999891</v>
      </c>
      <c r="E235">
        <v>-2102.744775749888</v>
      </c>
      <c r="F235">
        <v>704.21899999999891</v>
      </c>
      <c r="G235">
        <v>137.10955425011207</v>
      </c>
      <c r="J235" t="str">
        <f>IF(H235="","",$P$6-'Script Table'!$E$15-'Script Table'!$E$19+H235)</f>
        <v/>
      </c>
      <c r="K235" s="132">
        <f t="shared" si="14"/>
        <v>704.21899999999891</v>
      </c>
      <c r="L235" s="132">
        <f t="shared" si="15"/>
        <v>235</v>
      </c>
      <c r="M235" s="132">
        <v>703.71899999999891</v>
      </c>
      <c r="N235" s="143">
        <v>179.91340149653999</v>
      </c>
    </row>
    <row r="236" spans="2:14">
      <c r="B236" s="130">
        <v>705.21899999999891</v>
      </c>
      <c r="C236">
        <v>24.270380088931937</v>
      </c>
      <c r="D236">
        <v>705.21899999999891</v>
      </c>
      <c r="E236">
        <v>-2103.745058460468</v>
      </c>
      <c r="F236">
        <v>705.21899999999891</v>
      </c>
      <c r="G236">
        <v>136.10927153953207</v>
      </c>
      <c r="J236" t="str">
        <f>IF(H236="","",$P$6-'Script Table'!$E$15-'Script Table'!$E$19+H236)</f>
        <v/>
      </c>
      <c r="K236" s="132">
        <f t="shared" si="14"/>
        <v>705.21899999999891</v>
      </c>
      <c r="L236" s="132">
        <f t="shared" si="15"/>
        <v>236</v>
      </c>
      <c r="M236" s="132">
        <v>704.71899999999891</v>
      </c>
      <c r="N236" s="143">
        <v>179.91277041267199</v>
      </c>
    </row>
    <row r="237" spans="2:14">
      <c r="B237" s="130">
        <v>706.21899999999891</v>
      </c>
      <c r="C237">
        <v>24.268846037499859</v>
      </c>
      <c r="D237">
        <v>706.21899999999891</v>
      </c>
      <c r="E237">
        <v>-2104.7453390870851</v>
      </c>
      <c r="F237">
        <v>706.21899999999891</v>
      </c>
      <c r="G237">
        <v>135.10899091291503</v>
      </c>
      <c r="J237" t="str">
        <f>IF(H237="","",$P$6-'Script Table'!$E$15-'Script Table'!$E$19+H237)</f>
        <v/>
      </c>
      <c r="K237" s="132">
        <f t="shared" si="14"/>
        <v>706.21899999999891</v>
      </c>
      <c r="L237" s="132">
        <f t="shared" si="15"/>
        <v>237</v>
      </c>
      <c r="M237" s="132">
        <v>705.71899999999891</v>
      </c>
      <c r="N237" s="143">
        <v>179.91213005494052</v>
      </c>
    </row>
    <row r="238" spans="2:14">
      <c r="B238" s="130">
        <v>707.21899999999891</v>
      </c>
      <c r="C238">
        <v>24.267300644269405</v>
      </c>
      <c r="D238">
        <v>707.21899999999891</v>
      </c>
      <c r="E238">
        <v>-2105.7456176293599</v>
      </c>
      <c r="F238">
        <v>707.21899999999891</v>
      </c>
      <c r="G238">
        <v>134.10871237064021</v>
      </c>
      <c r="J238" t="str">
        <f>IF(H238="","",$P$6-'Script Table'!$E$15-'Script Table'!$E$19+H238)</f>
        <v/>
      </c>
      <c r="K238" s="132">
        <f t="shared" si="14"/>
        <v>707.21899999999891</v>
      </c>
      <c r="L238" s="132">
        <f t="shared" si="15"/>
        <v>238</v>
      </c>
      <c r="M238" s="132">
        <v>706.71899999999891</v>
      </c>
      <c r="N238" s="143">
        <v>179.9114802171577</v>
      </c>
    </row>
    <row r="239" spans="2:14">
      <c r="B239" s="130">
        <v>708.21899999999891</v>
      </c>
      <c r="C239">
        <v>24.265743740076505</v>
      </c>
      <c r="D239">
        <v>708.21899999999891</v>
      </c>
      <c r="E239">
        <v>-2106.7458940868987</v>
      </c>
      <c r="F239">
        <v>708.21899999999891</v>
      </c>
      <c r="G239">
        <v>133.1084359131014</v>
      </c>
      <c r="J239" t="str">
        <f>IF(H239="","",$P$6-'Script Table'!$E$15-'Script Table'!$E$19+H239)</f>
        <v/>
      </c>
      <c r="K239" s="132">
        <f t="shared" si="14"/>
        <v>708.21899999999891</v>
      </c>
      <c r="L239" s="132">
        <f t="shared" si="15"/>
        <v>239</v>
      </c>
      <c r="M239" s="132">
        <v>707.71899999999891</v>
      </c>
      <c r="N239" s="143">
        <v>179.91082068696952</v>
      </c>
    </row>
    <row r="240" spans="2:14">
      <c r="B240" s="130">
        <v>709.21899999999891</v>
      </c>
      <c r="C240">
        <v>24.264175151939085</v>
      </c>
      <c r="D240">
        <v>709.21899999999891</v>
      </c>
      <c r="E240">
        <v>-2107.746168459299</v>
      </c>
      <c r="F240">
        <v>709.21899999999891</v>
      </c>
      <c r="G240">
        <v>132.10816154070108</v>
      </c>
      <c r="J240" t="str">
        <f>IF(H240="","",$P$6-'Script Table'!$E$15-'Script Table'!$E$19+H240)</f>
        <v/>
      </c>
      <c r="K240" s="132">
        <f t="shared" si="14"/>
        <v>709.21899999999891</v>
      </c>
      <c r="L240" s="132">
        <f t="shared" si="15"/>
        <v>240</v>
      </c>
      <c r="M240" s="132">
        <v>708.71899999999891</v>
      </c>
      <c r="N240" s="143">
        <v>179.91015124561969</v>
      </c>
    </row>
    <row r="241" spans="2:14">
      <c r="B241" s="130">
        <v>710.21899999999891</v>
      </c>
      <c r="C241">
        <v>24.262594702941136</v>
      </c>
      <c r="D241">
        <v>710.21899999999891</v>
      </c>
      <c r="E241">
        <v>-2108.7464407461443</v>
      </c>
      <c r="F241">
        <v>710.21899999999891</v>
      </c>
      <c r="G241">
        <v>131.10788925385577</v>
      </c>
      <c r="J241" t="str">
        <f>IF(H241="","",$P$6-'Script Table'!$E$15-'Script Table'!$E$19+H241)</f>
        <v/>
      </c>
      <c r="K241" s="132">
        <f t="shared" si="14"/>
        <v>710.21899999999891</v>
      </c>
      <c r="L241" s="132">
        <f t="shared" si="15"/>
        <v>241</v>
      </c>
      <c r="M241" s="132">
        <v>709.71899999999891</v>
      </c>
      <c r="N241" s="143">
        <v>179.90947166770977</v>
      </c>
    </row>
    <row r="242" spans="2:14">
      <c r="B242" s="130">
        <v>711.21899999999891</v>
      </c>
      <c r="C242">
        <v>24.261002212112277</v>
      </c>
      <c r="D242">
        <v>711.21899999999891</v>
      </c>
      <c r="E242">
        <v>-2109.7467109470053</v>
      </c>
      <c r="F242">
        <v>711.21899999999891</v>
      </c>
      <c r="G242">
        <v>130.10761905299478</v>
      </c>
      <c r="J242" t="str">
        <f>IF(H242="","",$P$6-'Script Table'!$E$15-'Script Table'!$E$19+H242)</f>
        <v/>
      </c>
      <c r="K242" s="132">
        <f t="shared" si="14"/>
        <v>711.21899999999891</v>
      </c>
      <c r="L242" s="132">
        <f t="shared" si="15"/>
        <v>242</v>
      </c>
      <c r="M242" s="132">
        <v>710.71899999999891</v>
      </c>
      <c r="N242" s="143">
        <v>179.90878172094042</v>
      </c>
    </row>
    <row r="243" spans="2:14">
      <c r="B243" s="130">
        <v>712.21899999999891</v>
      </c>
      <c r="C243">
        <v>24.259397494302746</v>
      </c>
      <c r="D243">
        <v>712.21899999999891</v>
      </c>
      <c r="E243">
        <v>-2110.7469790614409</v>
      </c>
      <c r="F243">
        <v>712.21899999999891</v>
      </c>
      <c r="G243">
        <v>129.10735093855919</v>
      </c>
      <c r="J243" t="str">
        <f>IF(H243="","",$P$6-'Script Table'!$E$15-'Script Table'!$E$19+H243)</f>
        <v/>
      </c>
      <c r="K243" s="132">
        <f t="shared" si="14"/>
        <v>712.21899999999891</v>
      </c>
      <c r="L243" s="132">
        <f t="shared" si="15"/>
        <v>243</v>
      </c>
      <c r="M243" s="132">
        <v>711.71899999999891</v>
      </c>
      <c r="N243" s="143">
        <v>179.90808116585018</v>
      </c>
    </row>
    <row r="244" spans="2:14">
      <c r="B244" s="130">
        <v>713.21899999999891</v>
      </c>
      <c r="C244">
        <v>24.257780360053424</v>
      </c>
      <c r="D244">
        <v>713.21899999999891</v>
      </c>
      <c r="E244">
        <v>-2111.7472450889954</v>
      </c>
      <c r="F244">
        <v>713.21899999999891</v>
      </c>
      <c r="G244">
        <v>128.10708491100468</v>
      </c>
      <c r="J244" t="str">
        <f>IF(H244="","",$P$6-'Script Table'!$E$15-'Script Table'!$E$19+H244)</f>
        <v/>
      </c>
      <c r="K244" s="132">
        <f t="shared" si="14"/>
        <v>713.21899999999891</v>
      </c>
      <c r="L244" s="132">
        <f t="shared" si="15"/>
        <v>244</v>
      </c>
      <c r="M244" s="132">
        <v>712.71899999999891</v>
      </c>
      <c r="N244" s="143">
        <v>179.90736975553017</v>
      </c>
    </row>
    <row r="245" spans="2:14">
      <c r="B245" s="130">
        <v>714.21899999999891</v>
      </c>
      <c r="C245">
        <v>24.256150615460857</v>
      </c>
      <c r="D245">
        <v>714.21899999999891</v>
      </c>
      <c r="E245">
        <v>-2112.7475090291982</v>
      </c>
      <c r="F245">
        <v>714.21899999999891</v>
      </c>
      <c r="G245">
        <v>127.10682097080189</v>
      </c>
      <c r="J245" t="str">
        <f>IF(H245="","",$P$6-'Script Table'!$E$15-'Script Table'!$E$19+H245)</f>
        <v/>
      </c>
      <c r="K245" s="132">
        <f t="shared" si="14"/>
        <v>714.21899999999891</v>
      </c>
      <c r="L245" s="132">
        <f t="shared" si="15"/>
        <v>245</v>
      </c>
      <c r="M245" s="132">
        <v>713.71899999999891</v>
      </c>
      <c r="N245" s="143">
        <v>179.90664723533783</v>
      </c>
    </row>
    <row r="246" spans="2:14">
      <c r="B246" s="130">
        <v>715.21899999999891</v>
      </c>
      <c r="C246">
        <v>24.254508062036862</v>
      </c>
      <c r="D246">
        <v>715.21899999999891</v>
      </c>
      <c r="E246">
        <v>-2113.7477708815641</v>
      </c>
      <c r="F246">
        <v>715.21899999999891</v>
      </c>
      <c r="G246">
        <v>126.10655911843605</v>
      </c>
      <c r="J246" t="str">
        <f>IF(H246="","",$P$6-'Script Table'!$E$15-'Script Table'!$E$19+H246)</f>
        <v/>
      </c>
      <c r="K246" s="132">
        <f t="shared" si="14"/>
        <v>715.21899999999891</v>
      </c>
      <c r="L246" s="132">
        <f t="shared" si="15"/>
        <v>246</v>
      </c>
      <c r="M246" s="132">
        <v>714.71899999999891</v>
      </c>
      <c r="N246" s="143">
        <v>179.90591334258664</v>
      </c>
    </row>
    <row r="247" spans="2:14">
      <c r="B247" s="130">
        <v>716.21899999999891</v>
      </c>
      <c r="C247">
        <v>24.252852496562575</v>
      </c>
      <c r="D247">
        <v>716.21899999999891</v>
      </c>
      <c r="E247">
        <v>-2114.7480306455932</v>
      </c>
      <c r="F247">
        <v>716.21899999999891</v>
      </c>
      <c r="G247">
        <v>125.10629935440693</v>
      </c>
      <c r="J247" t="str">
        <f>IF(H247="","",$P$6-'Script Table'!$E$15-'Script Table'!$E$19+H247)</f>
        <v/>
      </c>
      <c r="K247" s="132">
        <f t="shared" si="14"/>
        <v>716.21899999999891</v>
      </c>
      <c r="L247" s="132">
        <f t="shared" si="15"/>
        <v>247</v>
      </c>
      <c r="M247" s="132">
        <v>715.71899999999891</v>
      </c>
      <c r="N247" s="143">
        <v>179.90516780622772</v>
      </c>
    </row>
    <row r="248" spans="2:14">
      <c r="B248" s="130">
        <v>717.21899999999891</v>
      </c>
      <c r="C248">
        <v>24.251183710936623</v>
      </c>
      <c r="D248">
        <v>717.21899999999891</v>
      </c>
      <c r="E248">
        <v>-2115.748288320769</v>
      </c>
      <c r="F248">
        <v>717.21899999999891</v>
      </c>
      <c r="G248">
        <v>124.10604167923111</v>
      </c>
      <c r="J248" t="str">
        <f>IF(H248="","",$P$6-'Script Table'!$E$15-'Script Table'!$E$19+H248)</f>
        <v/>
      </c>
      <c r="K248" s="132">
        <f t="shared" si="14"/>
        <v>717.21899999999891</v>
      </c>
      <c r="L248" s="132">
        <f t="shared" si="15"/>
        <v>248</v>
      </c>
      <c r="M248" s="132">
        <v>716.71899999999891</v>
      </c>
      <c r="N248" s="143">
        <v>179.9044103465128</v>
      </c>
    </row>
    <row r="249" spans="2:14">
      <c r="B249" s="130">
        <v>718.21899999999891</v>
      </c>
      <c r="C249">
        <v>24.249501492017131</v>
      </c>
      <c r="D249">
        <v>718.21899999999891</v>
      </c>
      <c r="E249">
        <v>-2116.7485439065576</v>
      </c>
      <c r="F249">
        <v>718.21899999999891</v>
      </c>
      <c r="G249">
        <v>123.10578609344248</v>
      </c>
      <c r="J249" t="str">
        <f>IF(H249="","",$P$6-'Script Table'!$E$15-'Script Table'!$E$19+H249)</f>
        <v/>
      </c>
      <c r="K249" s="132">
        <f t="shared" si="14"/>
        <v>718.21899999999891</v>
      </c>
      <c r="L249" s="132">
        <f t="shared" si="15"/>
        <v>249</v>
      </c>
      <c r="M249" s="132">
        <v>717.71899999999891</v>
      </c>
      <c r="N249" s="143">
        <v>179.90364067464145</v>
      </c>
    </row>
    <row r="250" spans="2:14">
      <c r="B250" s="130">
        <v>719.21899999999891</v>
      </c>
      <c r="C250">
        <v>24.24780562145726</v>
      </c>
      <c r="D250">
        <v>719.21899999999891</v>
      </c>
      <c r="E250">
        <v>-2117.7487974024093</v>
      </c>
      <c r="F250">
        <v>719.21899999999891</v>
      </c>
      <c r="G250">
        <v>122.10553259759081</v>
      </c>
      <c r="J250" t="str">
        <f>IF(H250="","",$P$6-'Script Table'!$E$15-'Script Table'!$E$19+H250)</f>
        <v/>
      </c>
      <c r="K250" s="132">
        <f t="shared" si="14"/>
        <v>719.21899999999891</v>
      </c>
      <c r="L250" s="132">
        <f t="shared" si="15"/>
        <v>250</v>
      </c>
      <c r="M250" s="132">
        <v>718.71899999999891</v>
      </c>
      <c r="N250" s="143">
        <v>179.90285849239001</v>
      </c>
    </row>
    <row r="251" spans="2:14">
      <c r="B251" s="130">
        <v>720.21899999999891</v>
      </c>
      <c r="C251">
        <v>24.246095875534007</v>
      </c>
      <c r="D251">
        <v>720.21899999999891</v>
      </c>
      <c r="E251">
        <v>-2118.7490488077547</v>
      </c>
      <c r="F251">
        <v>720.21899999999891</v>
      </c>
      <c r="G251">
        <v>121.10528119224546</v>
      </c>
      <c r="J251" t="str">
        <f>IF(H251="","",$P$6-'Script Table'!$E$15-'Script Table'!$E$19+H251)</f>
        <v/>
      </c>
      <c r="K251" s="132">
        <f t="shared" si="14"/>
        <v>720.21899999999891</v>
      </c>
      <c r="L251" s="132">
        <f t="shared" si="15"/>
        <v>251</v>
      </c>
      <c r="M251" s="132">
        <v>719.71899999999891</v>
      </c>
      <c r="N251" s="143">
        <v>179.90206349172584</v>
      </c>
    </row>
    <row r="252" spans="2:14">
      <c r="B252" s="130">
        <v>721.21899999999891</v>
      </c>
      <c r="C252">
        <v>24.244372024969856</v>
      </c>
      <c r="D252">
        <v>721.21899999999891</v>
      </c>
      <c r="E252">
        <v>-2119.7492981220066</v>
      </c>
      <c r="F252">
        <v>721.21899999999891</v>
      </c>
      <c r="G252">
        <v>120.1050318779935</v>
      </c>
      <c r="J252" t="str">
        <f>IF(H252="","",$P$6-'Script Table'!$E$15-'Script Table'!$E$19+H252)</f>
        <v/>
      </c>
      <c r="K252" s="132">
        <f t="shared" si="14"/>
        <v>721.21899999999891</v>
      </c>
      <c r="L252" s="132">
        <f t="shared" si="15"/>
        <v>252</v>
      </c>
      <c r="M252" s="132">
        <v>720.71899999999891</v>
      </c>
      <c r="N252" s="143">
        <v>179.90125535439779</v>
      </c>
    </row>
    <row r="253" spans="2:14">
      <c r="B253" s="130">
        <v>722.21899999999891</v>
      </c>
      <c r="C253">
        <v>24.242633834746943</v>
      </c>
      <c r="D253">
        <v>722.21899999999891</v>
      </c>
      <c r="E253">
        <v>-2120.7495453445576</v>
      </c>
      <c r="F253">
        <v>722.21899999999891</v>
      </c>
      <c r="G253">
        <v>119.10478465544247</v>
      </c>
      <c r="J253" t="str">
        <f>IF(H253="","",$P$6-'Script Table'!$E$15-'Script Table'!$E$19+H253)</f>
        <v/>
      </c>
      <c r="K253" s="132">
        <f t="shared" si="14"/>
        <v>722.21899999999891</v>
      </c>
      <c r="L253" s="132">
        <f t="shared" si="15"/>
        <v>253</v>
      </c>
      <c r="M253" s="132">
        <v>721.71899999999891</v>
      </c>
      <c r="N253" s="143">
        <v>179.90043375150663</v>
      </c>
    </row>
    <row r="254" spans="2:14">
      <c r="B254" s="130">
        <v>723.21899999999891</v>
      </c>
      <c r="C254">
        <v>24.240881063913381</v>
      </c>
      <c r="D254">
        <v>723.21899999999891</v>
      </c>
      <c r="E254">
        <v>-2121.7497904747802</v>
      </c>
      <c r="F254">
        <v>723.21899999999891</v>
      </c>
      <c r="G254">
        <v>118.10453952521993</v>
      </c>
      <c r="J254" t="str">
        <f>IF(H254="","",$P$6-'Script Table'!$E$15-'Script Table'!$E$19+H254)</f>
        <v/>
      </c>
      <c r="K254" s="132">
        <f t="shared" si="14"/>
        <v>723.21899999999891</v>
      </c>
      <c r="L254" s="132">
        <f t="shared" si="15"/>
        <v>254</v>
      </c>
      <c r="M254" s="132">
        <v>722.71899999999891</v>
      </c>
      <c r="N254" s="143">
        <v>179.89959834305668</v>
      </c>
    </row>
    <row r="255" spans="2:14">
      <c r="B255" s="130">
        <v>724.21899999999891</v>
      </c>
      <c r="C255">
        <v>24.239113465381354</v>
      </c>
      <c r="D255">
        <v>724.21899999999891</v>
      </c>
      <c r="E255">
        <v>-2122.7500335120244</v>
      </c>
      <c r="F255">
        <v>724.21899999999891</v>
      </c>
      <c r="G255">
        <v>117.10429648797572</v>
      </c>
      <c r="J255" t="str">
        <f>IF(H255="","",$P$6-'Script Table'!$E$15-'Script Table'!$E$19+H255)</f>
        <v/>
      </c>
      <c r="K255" s="132">
        <f t="shared" si="14"/>
        <v>724.21899999999891</v>
      </c>
      <c r="L255" s="132">
        <f t="shared" si="15"/>
        <v>255</v>
      </c>
      <c r="M255" s="132">
        <v>723.71899999999891</v>
      </c>
      <c r="N255" s="143">
        <v>179.89874877748366</v>
      </c>
    </row>
    <row r="256" spans="2:14">
      <c r="B256" s="130">
        <v>725.21899999999891</v>
      </c>
      <c r="C256">
        <v>24.237330785716438</v>
      </c>
      <c r="D256">
        <v>725.21899999999891</v>
      </c>
      <c r="E256">
        <v>-2123.7502744556186</v>
      </c>
      <c r="F256">
        <v>725.21899999999891</v>
      </c>
      <c r="G256">
        <v>116.10405554438148</v>
      </c>
      <c r="J256" t="str">
        <f>IF(H256="","",$P$6-'Script Table'!$E$15-'Script Table'!$E$19+H256)</f>
        <v/>
      </c>
      <c r="K256" s="132">
        <f t="shared" si="14"/>
        <v>725.21899999999891</v>
      </c>
      <c r="L256" s="132">
        <f t="shared" si="15"/>
        <v>256</v>
      </c>
      <c r="M256" s="132">
        <v>724.71899999999891</v>
      </c>
      <c r="N256" s="143">
        <v>179.8978846911522</v>
      </c>
    </row>
    <row r="257" spans="2:14">
      <c r="B257" s="130">
        <v>726.21899999999891</v>
      </c>
      <c r="C257">
        <v>24.235532764917853</v>
      </c>
      <c r="D257">
        <v>726.21899999999891</v>
      </c>
      <c r="E257">
        <v>-2124.7505133048685</v>
      </c>
      <c r="F257">
        <v>726.21899999999891</v>
      </c>
      <c r="G257">
        <v>115.10381669513163</v>
      </c>
      <c r="J257" t="str">
        <f>IF(H257="","",$P$6-'Script Table'!$E$15-'Script Table'!$E$19+H257)</f>
        <v/>
      </c>
      <c r="K257" s="132">
        <f t="shared" si="14"/>
        <v>726.21899999999891</v>
      </c>
      <c r="L257" s="132">
        <f t="shared" si="15"/>
        <v>257</v>
      </c>
      <c r="M257" s="132">
        <v>725.71899999999891</v>
      </c>
      <c r="N257" s="143">
        <v>179.89700570783651</v>
      </c>
    </row>
    <row r="258" spans="2:14">
      <c r="B258" s="130">
        <v>727.21899999999891</v>
      </c>
      <c r="C258">
        <v>24.233719136189077</v>
      </c>
      <c r="D258">
        <v>727.21899999999891</v>
      </c>
      <c r="E258">
        <v>-2125.7507500590555</v>
      </c>
      <c r="F258">
        <v>727.21899999999891</v>
      </c>
      <c r="G258">
        <v>114.10357994094466</v>
      </c>
      <c r="J258" t="str">
        <f>IF(H258="","",$P$6-'Script Table'!$E$15-'Script Table'!$E$19+H258)</f>
        <v/>
      </c>
      <c r="K258" s="132">
        <f t="shared" si="14"/>
        <v>727.21899999999891</v>
      </c>
      <c r="L258" s="132">
        <f t="shared" si="15"/>
        <v>258</v>
      </c>
      <c r="M258" s="132">
        <v>726.71899999999891</v>
      </c>
      <c r="N258" s="143">
        <v>179.89611143816751</v>
      </c>
    </row>
    <row r="259" spans="2:14">
      <c r="B259" s="130">
        <v>728.21899999999891</v>
      </c>
      <c r="C259">
        <v>24.231889625698294</v>
      </c>
      <c r="D259">
        <v>728.21899999999891</v>
      </c>
      <c r="E259">
        <v>-2126.7509847174351</v>
      </c>
      <c r="F259">
        <v>728.21899999999891</v>
      </c>
      <c r="G259">
        <v>113.10334528256499</v>
      </c>
      <c r="J259" t="str">
        <f>IF(H259="","",$P$6-'Script Table'!$E$15-'Script Table'!$E$19+H259)</f>
        <v/>
      </c>
      <c r="K259" s="132">
        <f t="shared" si="14"/>
        <v>728.21899999999891</v>
      </c>
      <c r="L259" s="132">
        <f t="shared" si="15"/>
        <v>259</v>
      </c>
      <c r="M259" s="132">
        <v>727.71899999999891</v>
      </c>
      <c r="N259" s="143">
        <v>179.89520147905083</v>
      </c>
    </row>
    <row r="260" spans="2:14">
      <c r="B260" s="130">
        <v>729.21899999999891</v>
      </c>
      <c r="C260">
        <v>24.23004395232817</v>
      </c>
      <c r="D260">
        <v>729.21899999999891</v>
      </c>
      <c r="E260">
        <v>-2127.7512172792349</v>
      </c>
      <c r="F260">
        <v>729.21899999999891</v>
      </c>
      <c r="G260">
        <v>112.10311272076524</v>
      </c>
      <c r="J260" t="str">
        <f>IF(H260="","",$P$6-'Script Table'!$E$15-'Script Table'!$E$19+H260)</f>
        <v/>
      </c>
      <c r="K260" s="132">
        <f t="shared" ref="K260:K323" si="16">F260</f>
        <v>729.21899999999891</v>
      </c>
      <c r="L260" s="132">
        <f t="shared" si="15"/>
        <v>260</v>
      </c>
      <c r="M260" s="132">
        <v>728.71899999999891</v>
      </c>
      <c r="N260" s="143">
        <v>179.89427541305506</v>
      </c>
    </row>
    <row r="261" spans="2:14">
      <c r="B261" s="130">
        <v>730.21899999999891</v>
      </c>
      <c r="C261">
        <v>24.228181827414414</v>
      </c>
      <c r="D261">
        <v>730.21899999999891</v>
      </c>
      <c r="E261">
        <v>-2128.751447743658</v>
      </c>
      <c r="F261">
        <v>730.21899999999891</v>
      </c>
      <c r="G261">
        <v>111.10288225634213</v>
      </c>
      <c r="J261" t="str">
        <f>IF(H261="","",$P$6-'Script Table'!$E$15-'Script Table'!$E$19+H261)</f>
        <v/>
      </c>
      <c r="K261" s="132">
        <f t="shared" si="16"/>
        <v>730.21899999999891</v>
      </c>
      <c r="L261" s="132">
        <f t="shared" si="15"/>
        <v>261</v>
      </c>
      <c r="M261" s="132">
        <v>729.71899999999891</v>
      </c>
      <c r="N261" s="143">
        <v>179.89333280776978</v>
      </c>
    </row>
    <row r="262" spans="2:14">
      <c r="B262" s="130">
        <v>731.21899999999891</v>
      </c>
      <c r="C262">
        <v>24.226302954472374</v>
      </c>
      <c r="D262">
        <v>731.21899999999891</v>
      </c>
      <c r="E262">
        <v>-2129.7516761098759</v>
      </c>
      <c r="F262">
        <v>731.21899999999891</v>
      </c>
      <c r="G262">
        <v>110.1026538901242</v>
      </c>
      <c r="J262" t="str">
        <f>IF(H262="","",$P$6-'Script Table'!$E$15-'Script Table'!$E$19+H262)</f>
        <v/>
      </c>
      <c r="K262" s="132">
        <f t="shared" si="16"/>
        <v>731.21899999999891</v>
      </c>
      <c r="L262" s="132">
        <f t="shared" ref="L262:L325" si="17">L261+1</f>
        <v>262</v>
      </c>
      <c r="M262" s="132">
        <v>730.71899999999891</v>
      </c>
      <c r="N262" s="143">
        <v>179.89237321511928</v>
      </c>
    </row>
    <row r="263" spans="2:14">
      <c r="B263" s="130">
        <v>732.21899999999891</v>
      </c>
      <c r="C263">
        <v>24.224407028911163</v>
      </c>
      <c r="D263">
        <v>732.21899999999891</v>
      </c>
      <c r="E263">
        <v>-2130.7519023770315</v>
      </c>
      <c r="F263">
        <v>732.21899999999891</v>
      </c>
      <c r="G263">
        <v>109.10242762296866</v>
      </c>
      <c r="J263" t="str">
        <f>IF(H263="","",$P$6-'Script Table'!$E$15-'Script Table'!$E$19+H263)</f>
        <v/>
      </c>
      <c r="K263" s="132">
        <f t="shared" si="16"/>
        <v>732.21899999999891</v>
      </c>
      <c r="L263" s="132">
        <f t="shared" si="17"/>
        <v>263</v>
      </c>
      <c r="M263" s="132">
        <v>731.71899999999891</v>
      </c>
      <c r="N263" s="143">
        <v>179.89139617064833</v>
      </c>
    </row>
    <row r="264" spans="2:14">
      <c r="B264" s="130">
        <v>733.21899999999891</v>
      </c>
      <c r="C264">
        <v>24.222493737734553</v>
      </c>
      <c r="D264">
        <v>733.21899999999891</v>
      </c>
      <c r="E264">
        <v>-2131.7521265442342</v>
      </c>
      <c r="F264">
        <v>733.21899999999891</v>
      </c>
      <c r="G264">
        <v>108.1022034557659</v>
      </c>
      <c r="J264" t="str">
        <f>IF(H264="","",$P$6-'Script Table'!$E$15-'Script Table'!$E$19+H264)</f>
        <v/>
      </c>
      <c r="K264" s="132">
        <f t="shared" si="16"/>
        <v>733.21899999999891</v>
      </c>
      <c r="L264" s="132">
        <f t="shared" si="17"/>
        <v>264</v>
      </c>
      <c r="M264" s="132">
        <v>732.71899999999891</v>
      </c>
      <c r="N264" s="143">
        <v>179.89040119276407</v>
      </c>
    </row>
    <row r="265" spans="2:14">
      <c r="B265" s="130">
        <v>734.21899999999891</v>
      </c>
      <c r="C265">
        <v>24.22056275922785</v>
      </c>
      <c r="D265">
        <v>734.21899999999891</v>
      </c>
      <c r="E265">
        <v>-2132.7523486105624</v>
      </c>
      <c r="F265">
        <v>734.21899999999891</v>
      </c>
      <c r="G265">
        <v>107.1019813894377</v>
      </c>
      <c r="J265" t="str">
        <f>IF(H265="","",$P$6-'Script Table'!$E$15-'Script Table'!$E$19+H265)</f>
        <v/>
      </c>
      <c r="K265" s="132">
        <f t="shared" si="16"/>
        <v>734.21899999999891</v>
      </c>
      <c r="L265" s="132">
        <f t="shared" si="17"/>
        <v>265</v>
      </c>
      <c r="M265" s="132">
        <v>733.71899999999891</v>
      </c>
      <c r="N265" s="143">
        <v>179.88938778193304</v>
      </c>
    </row>
    <row r="266" spans="2:14">
      <c r="B266" s="130">
        <v>735.21899999999891</v>
      </c>
      <c r="C266">
        <v>24.218613762630024</v>
      </c>
      <c r="D266">
        <v>735.21899999999891</v>
      </c>
      <c r="E266">
        <v>-2133.7525685750584</v>
      </c>
      <c r="F266">
        <v>735.21899999999891</v>
      </c>
      <c r="G266">
        <v>106.10176142494174</v>
      </c>
      <c r="J266" t="str">
        <f>IF(H266="","",$P$6-'Script Table'!$E$15-'Script Table'!$E$19+H266)</f>
        <v/>
      </c>
      <c r="K266" s="132">
        <f t="shared" si="16"/>
        <v>735.21899999999891</v>
      </c>
      <c r="L266" s="132">
        <f t="shared" si="17"/>
        <v>266</v>
      </c>
      <c r="M266" s="132">
        <v>734.71899999999891</v>
      </c>
      <c r="N266" s="143">
        <v>179.88835541983573</v>
      </c>
    </row>
    <row r="267" spans="2:14">
      <c r="B267" s="130">
        <v>736.21899999999891</v>
      </c>
      <c r="C267">
        <v>24.216646407790225</v>
      </c>
      <c r="D267">
        <v>736.21899999999891</v>
      </c>
      <c r="E267">
        <v>-2134.7527864367294</v>
      </c>
      <c r="F267">
        <v>736.21899999999891</v>
      </c>
      <c r="G267">
        <v>105.10154356327075</v>
      </c>
      <c r="J267" t="str">
        <f>IF(H267="","",$P$6-'Script Table'!$E$15-'Script Table'!$E$19+H267)</f>
        <v/>
      </c>
      <c r="K267" s="132">
        <f t="shared" si="16"/>
        <v>736.21899999999891</v>
      </c>
      <c r="L267" s="132">
        <f t="shared" si="17"/>
        <v>267</v>
      </c>
      <c r="M267" s="132">
        <v>735.71899999999891</v>
      </c>
      <c r="N267" s="143">
        <v>179.88730356847256</v>
      </c>
    </row>
    <row r="268" spans="2:14">
      <c r="B268" s="130">
        <v>737.21899999999891</v>
      </c>
      <c r="C268">
        <v>24.214660344807768</v>
      </c>
      <c r="D268">
        <v>737.21899999999891</v>
      </c>
      <c r="E268">
        <v>-2135.7530021945427</v>
      </c>
      <c r="F268">
        <v>737.21899999999891</v>
      </c>
      <c r="G268">
        <v>104.10132780545746</v>
      </c>
      <c r="J268" t="str">
        <f>IF(H268="","",$P$6-'Script Table'!$E$15-'Script Table'!$E$19+H268)</f>
        <v/>
      </c>
      <c r="K268" s="132">
        <f t="shared" si="16"/>
        <v>737.21899999999891</v>
      </c>
      <c r="L268" s="132">
        <f t="shared" si="17"/>
        <v>268</v>
      </c>
      <c r="M268" s="132">
        <v>736.71899999999891</v>
      </c>
      <c r="N268" s="143">
        <v>179.88623166921624</v>
      </c>
    </row>
    <row r="269" spans="2:14">
      <c r="B269" s="130">
        <v>738.21899999999891</v>
      </c>
      <c r="C269">
        <v>24.212655213654578</v>
      </c>
      <c r="D269">
        <v>738.21899999999891</v>
      </c>
      <c r="E269">
        <v>-2136.7532158474264</v>
      </c>
      <c r="F269">
        <v>738.21899999999891</v>
      </c>
      <c r="G269">
        <v>103.1011141525737</v>
      </c>
      <c r="J269" t="str">
        <f>IF(H269="","",$P$6-'Script Table'!$E$15-'Script Table'!$E$19+H269)</f>
        <v/>
      </c>
      <c r="K269" s="132">
        <f t="shared" si="16"/>
        <v>738.21899999999891</v>
      </c>
      <c r="L269" s="132">
        <f t="shared" si="17"/>
        <v>269</v>
      </c>
      <c r="M269" s="132">
        <v>737.71899999999891</v>
      </c>
      <c r="N269" s="143">
        <v>179.88513914180717</v>
      </c>
    </row>
    <row r="270" spans="2:14">
      <c r="B270" s="130">
        <v>739.21899999999891</v>
      </c>
      <c r="C270">
        <v>24.210630643779169</v>
      </c>
      <c r="D270">
        <v>739.21899999999891</v>
      </c>
      <c r="E270">
        <v>-2137.7534273942679</v>
      </c>
      <c r="F270">
        <v>739.21899999999891</v>
      </c>
      <c r="G270">
        <v>102.10090260573224</v>
      </c>
      <c r="J270" t="str">
        <f>IF(H270="","",$P$6-'Script Table'!$E$15-'Script Table'!$E$19+H270)</f>
        <v/>
      </c>
      <c r="K270" s="132">
        <f t="shared" si="16"/>
        <v>739.21899999999891</v>
      </c>
      <c r="L270" s="132">
        <f t="shared" si="17"/>
        <v>270</v>
      </c>
      <c r="M270" s="132">
        <v>738.71899999999891</v>
      </c>
      <c r="N270" s="143">
        <v>179.88402538329535</v>
      </c>
    </row>
    <row r="271" spans="2:14">
      <c r="B271" s="130">
        <v>740.21899999999891</v>
      </c>
      <c r="C271">
        <v>24.208586253690957</v>
      </c>
      <c r="D271">
        <v>740.21899999999891</v>
      </c>
      <c r="E271">
        <v>-2138.7536368339088</v>
      </c>
      <c r="F271">
        <v>740.21899999999891</v>
      </c>
      <c r="G271">
        <v>101.10069316609133</v>
      </c>
      <c r="J271" t="str">
        <f>IF(H271="","",$P$6-'Script Table'!$E$15-'Script Table'!$E$19+H271)</f>
        <v/>
      </c>
      <c r="K271" s="132">
        <f t="shared" si="16"/>
        <v>740.21899999999891</v>
      </c>
      <c r="L271" s="132">
        <f t="shared" si="17"/>
        <v>271</v>
      </c>
      <c r="M271" s="132">
        <v>739.71899999999891</v>
      </c>
      <c r="N271" s="143">
        <v>179.88288976691317</v>
      </c>
    </row>
    <row r="272" spans="2:14">
      <c r="B272" s="130">
        <v>741.21899999999891</v>
      </c>
      <c r="C272">
        <v>24.206521650523719</v>
      </c>
      <c r="D272">
        <v>741.21899999999891</v>
      </c>
      <c r="E272">
        <v>-2139.7538441651463</v>
      </c>
      <c r="F272">
        <v>741.21899999999891</v>
      </c>
      <c r="G272">
        <v>100.10048583485377</v>
      </c>
      <c r="J272" t="str">
        <f>IF(H272="","",$P$6-'Script Table'!$E$15-'Script Table'!$E$19+H272)</f>
        <v/>
      </c>
      <c r="K272" s="132">
        <f t="shared" si="16"/>
        <v>741.21899999999891</v>
      </c>
      <c r="L272" s="132">
        <f t="shared" si="17"/>
        <v>272</v>
      </c>
      <c r="M272" s="132">
        <v>740.71899999999891</v>
      </c>
      <c r="N272" s="143">
        <v>179.88173164088118</v>
      </c>
    </row>
    <row r="273" spans="2:14">
      <c r="B273" s="130">
        <v>742.21899999999891</v>
      </c>
      <c r="C273">
        <v>24.204436429576983</v>
      </c>
      <c r="D273">
        <v>742.21899999999891</v>
      </c>
      <c r="E273">
        <v>-2140.7540493867268</v>
      </c>
      <c r="F273">
        <v>742.21899999999891</v>
      </c>
      <c r="G273">
        <v>99.100280613273299</v>
      </c>
      <c r="J273" t="str">
        <f>IF(H273="","",$P$6-'Script Table'!$E$15-'Script Table'!$E$19+H273)</f>
        <v/>
      </c>
      <c r="K273" s="132">
        <f t="shared" si="16"/>
        <v>742.21899999999891</v>
      </c>
      <c r="L273" s="132">
        <f t="shared" si="17"/>
        <v>273</v>
      </c>
      <c r="M273" s="132">
        <v>741.71899999999891</v>
      </c>
      <c r="N273" s="143">
        <v>179.88055032714291</v>
      </c>
    </row>
    <row r="274" spans="2:14">
      <c r="B274" s="130">
        <v>743.21899999999891</v>
      </c>
      <c r="C274">
        <v>24.202330173833985</v>
      </c>
      <c r="D274">
        <v>743.21899999999891</v>
      </c>
      <c r="E274">
        <v>-2141.7542524973483</v>
      </c>
      <c r="F274">
        <v>743.21899999999891</v>
      </c>
      <c r="G274">
        <v>98.100077502651857</v>
      </c>
      <c r="J274" t="str">
        <f>IF(H274="","",$P$6-'Script Table'!$E$15-'Script Table'!$E$19+H274)</f>
        <v/>
      </c>
      <c r="K274" s="132">
        <f t="shared" si="16"/>
        <v>743.21899999999891</v>
      </c>
      <c r="L274" s="132">
        <f t="shared" si="17"/>
        <v>274</v>
      </c>
      <c r="M274" s="132">
        <v>742.71899999999891</v>
      </c>
      <c r="N274" s="143">
        <v>179.8793451200232</v>
      </c>
    </row>
    <row r="275" spans="2:14">
      <c r="B275" s="130">
        <v>744.21899999999891</v>
      </c>
      <c r="C275">
        <v>24.200202453454594</v>
      </c>
      <c r="D275">
        <v>744.21899999999891</v>
      </c>
      <c r="E275">
        <v>-2142.7544534956533</v>
      </c>
      <c r="F275">
        <v>744.21899999999891</v>
      </c>
      <c r="G275">
        <v>97.099876504346867</v>
      </c>
      <c r="J275" t="str">
        <f>IF(H275="","",$P$6-'Script Table'!$E$15-'Script Table'!$E$19+H275)</f>
        <v/>
      </c>
      <c r="K275" s="132">
        <f t="shared" si="16"/>
        <v>744.21899999999891</v>
      </c>
      <c r="L275" s="132">
        <f t="shared" si="17"/>
        <v>275</v>
      </c>
      <c r="M275" s="132">
        <v>743.71899999999891</v>
      </c>
      <c r="N275" s="143">
        <v>179.87811528479278</v>
      </c>
    </row>
    <row r="276" spans="2:14">
      <c r="B276" s="130">
        <v>745.21899999999891</v>
      </c>
      <c r="C276">
        <v>24.19805282524187</v>
      </c>
      <c r="D276">
        <v>745.21899999999891</v>
      </c>
      <c r="E276">
        <v>-2143.7546523802293</v>
      </c>
      <c r="F276">
        <v>745.21899999999891</v>
      </c>
      <c r="G276">
        <v>96.099677619770773</v>
      </c>
      <c r="J276" t="str">
        <f>IF(H276="","",$P$6-'Script Table'!$E$15-'Script Table'!$E$19+H276)</f>
        <v/>
      </c>
      <c r="K276" s="132">
        <f t="shared" si="16"/>
        <v>745.21899999999891</v>
      </c>
      <c r="L276" s="132">
        <f t="shared" si="17"/>
        <v>276</v>
      </c>
      <c r="M276" s="132">
        <v>744.71899999999891</v>
      </c>
      <c r="N276" s="143">
        <v>179.87686005615876</v>
      </c>
    </row>
    <row r="277" spans="2:14">
      <c r="B277" s="130">
        <v>746.21899999999891</v>
      </c>
      <c r="C277">
        <v>24.195880832080313</v>
      </c>
      <c r="D277">
        <v>746.21899999999891</v>
      </c>
      <c r="E277">
        <v>-2144.7548491496045</v>
      </c>
      <c r="F277">
        <v>746.21899999999891</v>
      </c>
      <c r="G277">
        <v>95.099480850395594</v>
      </c>
      <c r="J277" t="str">
        <f>IF(H277="","",$P$6-'Script Table'!$E$15-'Script Table'!$E$19+H277)</f>
        <v/>
      </c>
      <c r="K277" s="132">
        <f t="shared" si="16"/>
        <v>746.21899999999891</v>
      </c>
      <c r="L277" s="132">
        <f t="shared" si="17"/>
        <v>277</v>
      </c>
      <c r="M277" s="132">
        <v>745.71899999999891</v>
      </c>
      <c r="N277" s="143">
        <v>179.87557863664154</v>
      </c>
    </row>
    <row r="278" spans="2:14">
      <c r="B278" s="130">
        <v>747.21899999999891</v>
      </c>
      <c r="C278">
        <v>24.193686002344183</v>
      </c>
      <c r="D278">
        <v>747.21899999999891</v>
      </c>
      <c r="E278">
        <v>-2145.7550438022417</v>
      </c>
      <c r="F278">
        <v>747.21899999999891</v>
      </c>
      <c r="G278">
        <v>94.099286197758374</v>
      </c>
      <c r="J278" t="str">
        <f>IF(H278="","",$P$6-'Script Table'!$E$15-'Script Table'!$E$19+H278)</f>
        <v/>
      </c>
      <c r="K278" s="132">
        <f t="shared" si="16"/>
        <v>747.21899999999891</v>
      </c>
      <c r="L278" s="132">
        <f t="shared" si="17"/>
        <v>278</v>
      </c>
      <c r="M278" s="132">
        <v>746.71899999999891</v>
      </c>
      <c r="N278" s="143">
        <v>179.87427019486034</v>
      </c>
    </row>
    <row r="279" spans="2:14">
      <c r="B279" s="130">
        <v>748.21899999999891</v>
      </c>
      <c r="C279">
        <v>24.191467849273799</v>
      </c>
      <c r="D279">
        <v>748.21899999999891</v>
      </c>
      <c r="E279">
        <v>-2146.7552363365426</v>
      </c>
      <c r="F279">
        <v>748.21899999999891</v>
      </c>
      <c r="G279">
        <v>93.099093663457552</v>
      </c>
      <c r="J279" t="str">
        <f>IF(H279="","",$P$6-'Script Table'!$E$15-'Script Table'!$E$19+H279)</f>
        <v/>
      </c>
      <c r="K279" s="132">
        <f t="shared" si="16"/>
        <v>748.21899999999891</v>
      </c>
      <c r="L279" s="132">
        <f t="shared" si="17"/>
        <v>279</v>
      </c>
      <c r="M279" s="132">
        <v>747.71899999999891</v>
      </c>
      <c r="N279" s="143">
        <v>179.87293386369939</v>
      </c>
    </row>
    <row r="280" spans="2:14">
      <c r="B280" s="130">
        <v>749.21899999999891</v>
      </c>
      <c r="C280">
        <v>24.189225870317802</v>
      </c>
      <c r="D280">
        <v>749.21899999999891</v>
      </c>
      <c r="E280">
        <v>-2147.755426750834</v>
      </c>
      <c r="F280">
        <v>749.21899999999891</v>
      </c>
      <c r="G280">
        <v>92.098903249166142</v>
      </c>
      <c r="J280" t="str">
        <f>IF(H280="","",$P$6-'Script Table'!$E$15-'Script Table'!$E$19+H280)</f>
        <v/>
      </c>
      <c r="K280" s="132">
        <f t="shared" si="16"/>
        <v>749.21899999999891</v>
      </c>
      <c r="L280" s="132">
        <f t="shared" si="17"/>
        <v>280</v>
      </c>
      <c r="M280" s="132">
        <v>748.71899999999891</v>
      </c>
      <c r="N280" s="143">
        <v>179.87156873835593</v>
      </c>
    </row>
    <row r="281" spans="2:14">
      <c r="B281" s="130">
        <v>750.21899999999891</v>
      </c>
      <c r="C281">
        <v>24.186959546438999</v>
      </c>
      <c r="D281">
        <v>750.21899999999891</v>
      </c>
      <c r="E281">
        <v>-2148.7556150433738</v>
      </c>
      <c r="F281">
        <v>750.21899999999891</v>
      </c>
      <c r="G281">
        <v>91.098714956626281</v>
      </c>
      <c r="J281" t="str">
        <f>IF(H281="","",$P$6-'Script Table'!$E$15-'Script Table'!$E$19+H281)</f>
        <v/>
      </c>
      <c r="K281" s="132">
        <f t="shared" si="16"/>
        <v>750.21899999999891</v>
      </c>
      <c r="L281" s="132">
        <f t="shared" si="17"/>
        <v>281</v>
      </c>
      <c r="M281" s="132">
        <v>749.71899999999891</v>
      </c>
      <c r="N281" s="143">
        <v>179.87017387425567</v>
      </c>
    </row>
    <row r="282" spans="2:14">
      <c r="B282" s="130">
        <v>751.21899999999891</v>
      </c>
      <c r="C282">
        <v>24.18466834138146</v>
      </c>
      <c r="D282">
        <v>751.21899999999891</v>
      </c>
      <c r="E282">
        <v>-2149.7558012123413</v>
      </c>
      <c r="F282">
        <v>751.21899999999891</v>
      </c>
      <c r="G282">
        <v>90.098528787658779</v>
      </c>
      <c r="J282" t="str">
        <f>IF(H282="","",$P$6-'Script Table'!$E$15-'Script Table'!$E$19+H282)</f>
        <v/>
      </c>
      <c r="K282" s="132">
        <f t="shared" si="16"/>
        <v>751.21899999999891</v>
      </c>
      <c r="L282" s="132">
        <f t="shared" si="17"/>
        <v>282</v>
      </c>
      <c r="M282" s="132">
        <v>750.71899999999891</v>
      </c>
      <c r="N282" s="143">
        <v>179.86874828483116</v>
      </c>
    </row>
    <row r="283" spans="2:14">
      <c r="B283" s="130">
        <v>752.21899999999891</v>
      </c>
      <c r="C283">
        <v>24.182351700896088</v>
      </c>
      <c r="D283">
        <v>752.21899999999891</v>
      </c>
      <c r="E283">
        <v>-2150.7559852558329</v>
      </c>
      <c r="F283">
        <v>752.21899999999891</v>
      </c>
      <c r="G283">
        <v>89.098344744167207</v>
      </c>
      <c r="J283" t="str">
        <f>IF(H283="","",$P$6-'Script Table'!$E$15-'Script Table'!$E$19+H283)</f>
        <v/>
      </c>
      <c r="K283" s="132">
        <f t="shared" si="16"/>
        <v>752.21899999999891</v>
      </c>
      <c r="L283" s="132">
        <f t="shared" si="17"/>
        <v>283</v>
      </c>
      <c r="M283" s="132">
        <v>751.71899999999891</v>
      </c>
      <c r="N283" s="143">
        <v>179.86729093914263</v>
      </c>
    </row>
    <row r="284" spans="2:14">
      <c r="B284" s="130">
        <v>753.21899999999891</v>
      </c>
      <c r="C284">
        <v>24.180009051921893</v>
      </c>
      <c r="D284">
        <v>753.21899999999891</v>
      </c>
      <c r="E284">
        <v>-2151.7561671718618</v>
      </c>
      <c r="F284">
        <v>753.21899999999891</v>
      </c>
      <c r="G284">
        <v>88.098162828138356</v>
      </c>
      <c r="J284" t="str">
        <f>IF(H284="","",$P$6-'Script Table'!$E$15-'Script Table'!$E$19+H284)</f>
        <v/>
      </c>
      <c r="K284" s="132">
        <f t="shared" si="16"/>
        <v>753.21899999999891</v>
      </c>
      <c r="L284" s="132">
        <f t="shared" si="17"/>
        <v>284</v>
      </c>
      <c r="M284" s="132">
        <v>752.71899999999891</v>
      </c>
      <c r="N284" s="143">
        <v>179.86580075934117</v>
      </c>
    </row>
    <row r="285" spans="2:14">
      <c r="B285" s="130">
        <v>754.21899999999891</v>
      </c>
      <c r="C285">
        <v>24.177639801719781</v>
      </c>
      <c r="D285">
        <v>754.21899999999891</v>
      </c>
      <c r="E285">
        <v>-2152.7563469583447</v>
      </c>
      <c r="F285">
        <v>754.21899999999891</v>
      </c>
      <c r="G285">
        <v>87.097983041655425</v>
      </c>
      <c r="J285" t="str">
        <f>IF(H285="","",$P$6-'Script Table'!$E$15-'Script Table'!$E$19+H285)</f>
        <v/>
      </c>
      <c r="K285" s="132">
        <f t="shared" si="16"/>
        <v>754.21899999999891</v>
      </c>
      <c r="L285" s="132">
        <f t="shared" si="17"/>
        <v>285</v>
      </c>
      <c r="M285" s="132">
        <v>753.71899999999891</v>
      </c>
      <c r="N285" s="143">
        <v>179.8642766179461</v>
      </c>
    </row>
    <row r="286" spans="2:14">
      <c r="B286" s="130">
        <v>755.21899999999891</v>
      </c>
      <c r="C286">
        <v>24.175243336955489</v>
      </c>
      <c r="D286">
        <v>755.21899999999891</v>
      </c>
      <c r="E286">
        <v>-2153.7565246131053</v>
      </c>
      <c r="F286">
        <v>755.21899999999891</v>
      </c>
      <c r="G286">
        <v>86.097805386894834</v>
      </c>
      <c r="J286" t="str">
        <f>IF(H286="","",$P$6-'Script Table'!$E$15-'Script Table'!$E$19+H286)</f>
        <v/>
      </c>
      <c r="K286" s="132">
        <f t="shared" si="16"/>
        <v>755.21899999999891</v>
      </c>
      <c r="L286" s="132">
        <f t="shared" si="17"/>
        <v>286</v>
      </c>
      <c r="M286" s="132">
        <v>754.71899999999891</v>
      </c>
      <c r="N286" s="143">
        <v>179.86271733493291</v>
      </c>
    </row>
    <row r="287" spans="2:14">
      <c r="B287" s="130">
        <v>756.21899999999891</v>
      </c>
      <c r="C287">
        <v>24.172819022728131</v>
      </c>
      <c r="D287">
        <v>756.21899999999891</v>
      </c>
      <c r="E287">
        <v>-2154.7567001338657</v>
      </c>
      <c r="F287">
        <v>756.21899999999891</v>
      </c>
      <c r="G287">
        <v>85.097629866134412</v>
      </c>
      <c r="J287" t="str">
        <f>IF(H287="","",$P$6-'Script Table'!$E$15-'Script Table'!$E$19+H287)</f>
        <v/>
      </c>
      <c r="K287" s="132">
        <f t="shared" si="16"/>
        <v>756.21899999999891</v>
      </c>
      <c r="L287" s="132">
        <f t="shared" si="17"/>
        <v>287</v>
      </c>
      <c r="M287" s="132">
        <v>755.71899999999891</v>
      </c>
      <c r="N287" s="143">
        <v>179.86112167461647</v>
      </c>
    </row>
    <row r="288" spans="2:14">
      <c r="B288" s="130">
        <v>757.21899999999891</v>
      </c>
      <c r="C288">
        <v>24.170366201540205</v>
      </c>
      <c r="D288">
        <v>757.21899999999891</v>
      </c>
      <c r="E288">
        <v>-2155.7568735182372</v>
      </c>
      <c r="F288">
        <v>757.21899999999891</v>
      </c>
      <c r="G288">
        <v>84.097456481762947</v>
      </c>
      <c r="J288" t="str">
        <f>IF(H288="","",$P$6-'Script Table'!$E$15-'Script Table'!$E$19+H288)</f>
        <v/>
      </c>
      <c r="K288" s="132">
        <f t="shared" si="16"/>
        <v>757.21899999999891</v>
      </c>
      <c r="L288" s="132">
        <f t="shared" si="17"/>
        <v>288</v>
      </c>
      <c r="M288" s="132">
        <v>756.71899999999891</v>
      </c>
      <c r="N288" s="143">
        <v>179.85948834229598</v>
      </c>
    </row>
    <row r="289" spans="2:14">
      <c r="B289" s="130">
        <v>758.21899999999891</v>
      </c>
      <c r="C289">
        <v>24.167884192204877</v>
      </c>
      <c r="D289">
        <v>758.21899999999891</v>
      </c>
      <c r="E289">
        <v>-2156.7570447637158</v>
      </c>
      <c r="F289">
        <v>758.21899999999891</v>
      </c>
      <c r="G289">
        <v>83.097285236284279</v>
      </c>
      <c r="J289" t="str">
        <f>IF(H289="","",$P$6-'Script Table'!$E$15-'Script Table'!$E$19+H289)</f>
        <v/>
      </c>
      <c r="K289" s="132">
        <f t="shared" si="16"/>
        <v>758.21899999999891</v>
      </c>
      <c r="L289" s="132">
        <f t="shared" si="17"/>
        <v>289</v>
      </c>
      <c r="M289" s="132">
        <v>757.71899999999891</v>
      </c>
      <c r="N289" s="143">
        <v>179.85781598066237</v>
      </c>
    </row>
    <row r="290" spans="2:14">
      <c r="B290" s="130">
        <v>759.21899999999891</v>
      </c>
      <c r="C290">
        <v>24.165372288685791</v>
      </c>
      <c r="D290">
        <v>759.21899999999891</v>
      </c>
      <c r="E290">
        <v>-2157.7572138676792</v>
      </c>
      <c r="F290">
        <v>759.21899999999891</v>
      </c>
      <c r="G290">
        <v>82.097116132320934</v>
      </c>
      <c r="J290" t="str">
        <f>IF(H290="","",$P$6-'Script Table'!$E$15-'Script Table'!$E$19+H290)</f>
        <v/>
      </c>
      <c r="K290" s="132">
        <f t="shared" si="16"/>
        <v>759.21899999999891</v>
      </c>
      <c r="L290" s="132">
        <f t="shared" si="17"/>
        <v>290</v>
      </c>
      <c r="M290" s="132">
        <v>758.71899999999891</v>
      </c>
      <c r="N290" s="143">
        <v>179.85610316593227</v>
      </c>
    </row>
    <row r="291" spans="2:14">
      <c r="B291" s="130">
        <v>760.21899999999891</v>
      </c>
      <c r="C291">
        <v>24.16282975886433</v>
      </c>
      <c r="D291">
        <v>760.21899999999891</v>
      </c>
      <c r="E291">
        <v>-2158.7573808273705</v>
      </c>
      <c r="F291">
        <v>760.21899999999891</v>
      </c>
      <c r="G291">
        <v>81.096949172629593</v>
      </c>
      <c r="J291" t="str">
        <f>IF(H291="","",$P$6-'Script Table'!$E$15-'Script Table'!$E$19+H291)</f>
        <v/>
      </c>
      <c r="K291" s="132">
        <f t="shared" si="16"/>
        <v>760.21899999999891</v>
      </c>
      <c r="L291" s="132">
        <f t="shared" si="17"/>
        <v>291</v>
      </c>
      <c r="M291" s="132">
        <v>759.71899999999891</v>
      </c>
      <c r="N291" s="143">
        <v>179.85434840368961</v>
      </c>
    </row>
    <row r="292" spans="2:14">
      <c r="B292" s="130">
        <v>761.21899999999891</v>
      </c>
      <c r="C292">
        <v>24.160255843228661</v>
      </c>
      <c r="D292">
        <v>761.21899999999891</v>
      </c>
      <c r="E292">
        <v>-2159.7575456398981</v>
      </c>
      <c r="F292">
        <v>761.21899999999891</v>
      </c>
      <c r="G292">
        <v>80.096784360101992</v>
      </c>
      <c r="J292" t="str">
        <f>IF(H292="","",$P$6-'Script Table'!$E$15-'Script Table'!$E$19+H292)</f>
        <v/>
      </c>
      <c r="K292" s="132">
        <f t="shared" si="16"/>
        <v>761.21899999999891</v>
      </c>
      <c r="L292" s="132">
        <f t="shared" si="17"/>
        <v>292</v>
      </c>
      <c r="M292" s="132">
        <v>760.71899999999891</v>
      </c>
      <c r="N292" s="143">
        <v>179.85255012440643</v>
      </c>
    </row>
    <row r="293" spans="2:14">
      <c r="B293" s="130">
        <v>762.21899999999891</v>
      </c>
      <c r="C293">
        <v>24.157649753478612</v>
      </c>
      <c r="D293">
        <v>762.21899999999891</v>
      </c>
      <c r="E293">
        <v>-2160.7577083022238</v>
      </c>
      <c r="F293">
        <v>762.21899999999891</v>
      </c>
      <c r="G293">
        <v>79.0966216977763</v>
      </c>
      <c r="J293" t="str">
        <f>IF(H293="","",$P$6-'Script Table'!$E$15-'Script Table'!$E$19+H293)</f>
        <v/>
      </c>
      <c r="K293" s="132">
        <f t="shared" si="16"/>
        <v>762.21899999999891</v>
      </c>
      <c r="L293" s="132">
        <f t="shared" si="17"/>
        <v>293</v>
      </c>
      <c r="M293" s="132">
        <v>761.71899999999891</v>
      </c>
      <c r="N293" s="143">
        <v>179.85070667861848</v>
      </c>
    </row>
    <row r="294" spans="2:14">
      <c r="B294" s="130">
        <v>763.21899999999891</v>
      </c>
      <c r="C294">
        <v>24.155010671039562</v>
      </c>
      <c r="D294">
        <v>763.21899999999891</v>
      </c>
      <c r="E294">
        <v>-2161.7578688111521</v>
      </c>
      <c r="F294">
        <v>763.21899999999891</v>
      </c>
      <c r="G294">
        <v>78.096461188848025</v>
      </c>
      <c r="J294" t="str">
        <f>IF(H294="","",$P$6-'Script Table'!$E$15-'Script Table'!$E$19+H294)</f>
        <v/>
      </c>
      <c r="K294" s="132">
        <f t="shared" si="16"/>
        <v>763.21899999999891</v>
      </c>
      <c r="L294" s="132">
        <f t="shared" si="17"/>
        <v>294</v>
      </c>
      <c r="M294" s="132">
        <v>762.71899999999891</v>
      </c>
      <c r="N294" s="143">
        <v>179.84881633171275</v>
      </c>
    </row>
    <row r="295" spans="2:14">
      <c r="B295" s="130">
        <v>764.21899999999891</v>
      </c>
      <c r="C295">
        <v>24.152337745478246</v>
      </c>
      <c r="D295">
        <v>764.21899999999891</v>
      </c>
      <c r="E295">
        <v>-2162.7580271633233</v>
      </c>
      <c r="F295">
        <v>764.21899999999891</v>
      </c>
      <c r="G295">
        <v>77.096302836676841</v>
      </c>
      <c r="J295" t="str">
        <f>IF(H295="","",$P$6-'Script Table'!$E$15-'Script Table'!$E$19+H295)</f>
        <v/>
      </c>
      <c r="K295" s="132">
        <f t="shared" si="16"/>
        <v>764.21899999999891</v>
      </c>
      <c r="L295" s="132">
        <f t="shared" si="17"/>
        <v>295</v>
      </c>
      <c r="M295" s="132">
        <v>763.71899999999891</v>
      </c>
      <c r="N295" s="143">
        <v>179.84687725830747</v>
      </c>
    </row>
    <row r="296" spans="2:14">
      <c r="B296" s="130">
        <v>765.21899999999891</v>
      </c>
      <c r="C296">
        <v>24.149630092812313</v>
      </c>
      <c r="D296">
        <v>765.21899999999891</v>
      </c>
      <c r="E296">
        <v>-2163.7581833551972</v>
      </c>
      <c r="F296">
        <v>765.21899999999891</v>
      </c>
      <c r="G296">
        <v>76.096146644802957</v>
      </c>
      <c r="J296" t="str">
        <f>IF(H296="","",$P$6-'Script Table'!$E$15-'Script Table'!$E$19+H296)</f>
        <v/>
      </c>
      <c r="K296" s="132">
        <f t="shared" si="16"/>
        <v>765.21899999999891</v>
      </c>
      <c r="L296" s="132">
        <f t="shared" si="17"/>
        <v>296</v>
      </c>
      <c r="M296" s="132">
        <v>764.71899999999891</v>
      </c>
      <c r="N296" s="143">
        <v>179.84488753616409</v>
      </c>
    </row>
    <row r="297" spans="2:14">
      <c r="B297" s="130">
        <v>766.21899999999891</v>
      </c>
      <c r="C297">
        <v>24.146886793705043</v>
      </c>
      <c r="D297">
        <v>766.21899999999891</v>
      </c>
      <c r="E297">
        <v>-2164.7583373830475</v>
      </c>
      <c r="F297">
        <v>766.21899999999891</v>
      </c>
      <c r="G297">
        <v>75.095992616952572</v>
      </c>
      <c r="J297" t="str">
        <f>IF(H297="","",$P$6-'Script Table'!$E$15-'Script Table'!$E$19+H297)</f>
        <v/>
      </c>
      <c r="K297" s="132">
        <f t="shared" si="16"/>
        <v>766.21899999999891</v>
      </c>
      <c r="L297" s="132">
        <f t="shared" si="17"/>
        <v>297</v>
      </c>
      <c r="M297" s="132">
        <v>765.71899999999891</v>
      </c>
      <c r="N297" s="143">
        <v>179.84284513960819</v>
      </c>
    </row>
    <row r="298" spans="2:14">
      <c r="B298" s="130">
        <v>767.21899999999891</v>
      </c>
      <c r="C298">
        <v>24.1441068915356</v>
      </c>
      <c r="D298">
        <v>767.21899999999891</v>
      </c>
      <c r="E298">
        <v>-2165.7584892429459</v>
      </c>
      <c r="F298">
        <v>767.21899999999891</v>
      </c>
      <c r="G298">
        <v>74.095840757054248</v>
      </c>
      <c r="J298" t="str">
        <f>IF(H298="","",$P$6-'Script Table'!$E$15-'Script Table'!$E$19+H298)</f>
        <v/>
      </c>
      <c r="K298" s="132">
        <f t="shared" si="16"/>
        <v>767.21899999999891</v>
      </c>
      <c r="L298" s="132">
        <f t="shared" si="17"/>
        <v>298</v>
      </c>
      <c r="M298" s="132">
        <v>766.71899999999891</v>
      </c>
      <c r="N298" s="143">
        <v>179.84074793239699</v>
      </c>
    </row>
    <row r="299" spans="2:14">
      <c r="B299" s="130">
        <v>768.21899999999891</v>
      </c>
      <c r="C299">
        <v>24.141289390334268</v>
      </c>
      <c r="D299">
        <v>768.21899999999891</v>
      </c>
      <c r="E299">
        <v>-2166.7586389307471</v>
      </c>
      <c r="F299">
        <v>768.21899999999891</v>
      </c>
      <c r="G299">
        <v>73.095691069253007</v>
      </c>
      <c r="J299" t="str">
        <f>IF(H299="","",$P$6-'Script Table'!$E$15-'Script Table'!$E$19+H299)</f>
        <v/>
      </c>
      <c r="K299" s="132">
        <f t="shared" si="16"/>
        <v>768.21899999999891</v>
      </c>
      <c r="L299" s="132">
        <f t="shared" si="17"/>
        <v>299</v>
      </c>
      <c r="M299" s="132">
        <v>767.71899999999891</v>
      </c>
      <c r="N299" s="143">
        <v>179.83859365998401</v>
      </c>
    </row>
    <row r="300" spans="2:14">
      <c r="B300" s="130">
        <v>769.21899999999891</v>
      </c>
      <c r="C300">
        <v>24.138433252571211</v>
      </c>
      <c r="D300">
        <v>769.21899999999891</v>
      </c>
      <c r="E300">
        <v>-2167.7587864420743</v>
      </c>
      <c r="F300">
        <v>769.21899999999891</v>
      </c>
      <c r="G300">
        <v>72.095543557925794</v>
      </c>
      <c r="J300" t="str">
        <f>IF(H300="","",$P$6-'Script Table'!$E$15-'Script Table'!$E$19+H300)</f>
        <v/>
      </c>
      <c r="K300" s="132">
        <f t="shared" si="16"/>
        <v>769.21899999999891</v>
      </c>
      <c r="L300" s="132">
        <f t="shared" si="17"/>
        <v>300</v>
      </c>
      <c r="M300" s="132">
        <v>768.71899999999891</v>
      </c>
      <c r="N300" s="143">
        <v>179.83637994112578</v>
      </c>
    </row>
    <row r="301" spans="2:14">
      <c r="B301" s="130">
        <v>770.21899999999891</v>
      </c>
      <c r="C301">
        <v>24.135537396786084</v>
      </c>
      <c r="D301">
        <v>770.21899999999891</v>
      </c>
      <c r="E301">
        <v>-2168.7589317723041</v>
      </c>
      <c r="F301">
        <v>770.21899999999891</v>
      </c>
      <c r="G301">
        <v>71.095398227696023</v>
      </c>
      <c r="J301" t="str">
        <f>IF(H301="","",$P$6-'Script Table'!$E$15-'Script Table'!$E$19+H301)</f>
        <v/>
      </c>
      <c r="K301" s="132">
        <f t="shared" si="16"/>
        <v>770.21899999999891</v>
      </c>
      <c r="L301" s="132">
        <f t="shared" si="17"/>
        <v>301</v>
      </c>
      <c r="M301" s="132">
        <v>769.71899999999891</v>
      </c>
      <c r="N301" s="143">
        <v>179.83410425876428</v>
      </c>
    </row>
    <row r="302" spans="2:14">
      <c r="B302" s="130">
        <v>771.21899999999891</v>
      </c>
      <c r="C302">
        <v>24.132600695044598</v>
      </c>
      <c r="D302">
        <v>771.21899999999891</v>
      </c>
      <c r="E302">
        <v>-2169.7590749165483</v>
      </c>
      <c r="F302">
        <v>771.21899999999891</v>
      </c>
      <c r="G302">
        <v>70.095255083451775</v>
      </c>
      <c r="J302" t="str">
        <f>IF(H302="","",$P$6-'Script Table'!$E$15-'Script Table'!$E$19+H302)</f>
        <v/>
      </c>
      <c r="K302" s="132">
        <f t="shared" si="16"/>
        <v>771.21899999999891</v>
      </c>
      <c r="L302" s="132">
        <f t="shared" si="17"/>
        <v>302</v>
      </c>
      <c r="M302" s="132">
        <v>770.71899999999891</v>
      </c>
      <c r="N302" s="143">
        <v>179.83176395011074</v>
      </c>
    </row>
    <row r="303" spans="2:14">
      <c r="B303" s="130">
        <v>772.21899999999891</v>
      </c>
      <c r="C303">
        <v>24.129621970207026</v>
      </c>
      <c r="D303">
        <v>772.21899999999891</v>
      </c>
      <c r="E303">
        <v>-2170.7592158696325</v>
      </c>
      <c r="F303">
        <v>772.21899999999891</v>
      </c>
      <c r="G303">
        <v>69.09511413036762</v>
      </c>
      <c r="J303" t="str">
        <f>IF(H303="","",$P$6-'Script Table'!$E$15-'Script Table'!$E$19+H303)</f>
        <v/>
      </c>
      <c r="K303" s="132">
        <f t="shared" si="16"/>
        <v>772.21899999999891</v>
      </c>
      <c r="L303" s="132">
        <f t="shared" si="17"/>
        <v>303</v>
      </c>
      <c r="M303" s="132">
        <v>771.71899999999891</v>
      </c>
      <c r="N303" s="143">
        <v>179.82935619587073</v>
      </c>
    </row>
    <row r="304" spans="2:14">
      <c r="B304" s="130">
        <v>773.21899999999891</v>
      </c>
      <c r="C304">
        <v>24.126599992991952</v>
      </c>
      <c r="D304">
        <v>773.21899999999891</v>
      </c>
      <c r="E304">
        <v>-2171.7593546260782</v>
      </c>
      <c r="F304">
        <v>773.21899999999891</v>
      </c>
      <c r="G304">
        <v>68.094975373921898</v>
      </c>
      <c r="J304" t="str">
        <f>IF(H304="","",$P$6-'Script Table'!$E$15-'Script Table'!$E$19+H304)</f>
        <v/>
      </c>
      <c r="K304" s="132">
        <f t="shared" si="16"/>
        <v>773.21899999999891</v>
      </c>
      <c r="L304" s="132">
        <f t="shared" si="17"/>
        <v>304</v>
      </c>
      <c r="M304" s="132">
        <v>772.71899999999891</v>
      </c>
      <c r="N304" s="143">
        <v>179.82687800851272</v>
      </c>
    </row>
    <row r="305" spans="2:14">
      <c r="B305" s="130">
        <v>774.21899999999891</v>
      </c>
      <c r="C305">
        <v>24.1235334788175</v>
      </c>
      <c r="D305">
        <v>774.21899999999891</v>
      </c>
      <c r="E305">
        <v>-2172.7594911800757</v>
      </c>
      <c r="F305">
        <v>774.21899999999891</v>
      </c>
      <c r="G305">
        <v>67.094838819924462</v>
      </c>
      <c r="J305" t="str">
        <f>IF(H305="","",$P$6-'Script Table'!$E$15-'Script Table'!$E$19+H305)</f>
        <v/>
      </c>
      <c r="K305" s="132">
        <f t="shared" si="16"/>
        <v>774.21899999999891</v>
      </c>
      <c r="L305" s="132">
        <f t="shared" si="17"/>
        <v>305</v>
      </c>
      <c r="M305" s="132">
        <v>773.71899999999891</v>
      </c>
      <c r="N305" s="143">
        <v>179.82432621951722</v>
      </c>
    </row>
    <row r="306" spans="2:14">
      <c r="B306" s="130">
        <v>775.21899999999891</v>
      </c>
      <c r="C306">
        <v>24.120421084400618</v>
      </c>
      <c r="D306">
        <v>775.21899999999891</v>
      </c>
      <c r="E306">
        <v>-2173.759625525463</v>
      </c>
      <c r="F306">
        <v>775.21899999999891</v>
      </c>
      <c r="G306">
        <v>66.094704474537139</v>
      </c>
      <c r="J306" t="str">
        <f>IF(H306="","",$P$6-'Script Table'!$E$15-'Script Table'!$E$19+H306)</f>
        <v/>
      </c>
      <c r="K306" s="132">
        <f t="shared" si="16"/>
        <v>775.21899999999891</v>
      </c>
      <c r="L306" s="132">
        <f t="shared" si="17"/>
        <v>306</v>
      </c>
      <c r="M306" s="132">
        <v>774.71899999999891</v>
      </c>
      <c r="N306" s="143">
        <v>179.82169746551568</v>
      </c>
    </row>
    <row r="307" spans="2:14">
      <c r="B307" s="130">
        <v>776.21899999999891</v>
      </c>
      <c r="C307">
        <v>24.117261404093771</v>
      </c>
      <c r="D307">
        <v>776.21899999999891</v>
      </c>
      <c r="E307">
        <v>-2174.7597576556941</v>
      </c>
      <c r="F307">
        <v>776.21899999999891</v>
      </c>
      <c r="G307">
        <v>65.094572344306016</v>
      </c>
      <c r="J307" t="str">
        <f>IF(H307="","",$P$6-'Script Table'!$E$15-'Script Table'!$E$19+H307)</f>
        <v/>
      </c>
      <c r="K307" s="132">
        <f t="shared" si="16"/>
        <v>776.21899999999891</v>
      </c>
      <c r="L307" s="132">
        <f t="shared" si="17"/>
        <v>307</v>
      </c>
      <c r="M307" s="132">
        <v>775.71899999999891</v>
      </c>
      <c r="N307" s="143">
        <v>179.81898817324236</v>
      </c>
    </row>
    <row r="308" spans="2:14">
      <c r="B308" s="130">
        <v>777.21899999999891</v>
      </c>
      <c r="C308">
        <v>24.114052965937422</v>
      </c>
      <c r="D308">
        <v>777.21899999999891</v>
      </c>
      <c r="E308">
        <v>-2175.7598875638132</v>
      </c>
      <c r="F308">
        <v>777.21899999999891</v>
      </c>
      <c r="G308">
        <v>64.09444243618691</v>
      </c>
      <c r="J308" t="str">
        <f>IF(H308="","",$P$6-'Script Table'!$E$15-'Script Table'!$E$19+H308)</f>
        <v/>
      </c>
      <c r="K308" s="132">
        <f t="shared" si="16"/>
        <v>777.21899999999891</v>
      </c>
      <c r="L308" s="132">
        <f t="shared" si="17"/>
        <v>308</v>
      </c>
      <c r="M308" s="132">
        <v>776.71899999999891</v>
      </c>
      <c r="N308" s="143">
        <v>179.81619454325238</v>
      </c>
    </row>
    <row r="309" spans="2:14">
      <c r="B309" s="130">
        <v>778.21899999999891</v>
      </c>
      <c r="C309">
        <v>24.110794227405645</v>
      </c>
      <c r="D309">
        <v>778.21899999999891</v>
      </c>
      <c r="E309">
        <v>-2176.7600152424175</v>
      </c>
      <c r="F309">
        <v>778.21899999999891</v>
      </c>
      <c r="G309">
        <v>63.094314757582652</v>
      </c>
      <c r="J309" t="str">
        <f>IF(H309="","",$P$6-'Script Table'!$E$15-'Script Table'!$E$19+H309)</f>
        <v/>
      </c>
      <c r="K309" s="132">
        <f t="shared" si="16"/>
        <v>778.21899999999891</v>
      </c>
      <c r="L309" s="132">
        <f t="shared" si="17"/>
        <v>309</v>
      </c>
      <c r="M309" s="132">
        <v>777.71899999999891</v>
      </c>
      <c r="N309" s="143">
        <v>179.81331253233645</v>
      </c>
    </row>
    <row r="310" spans="2:14">
      <c r="B310" s="130">
        <v>779.21899999999891</v>
      </c>
      <c r="C310">
        <v>24.107483570822684</v>
      </c>
      <c r="D310">
        <v>779.21899999999891</v>
      </c>
      <c r="E310">
        <v>-2177.7601406836229</v>
      </c>
      <c r="F310">
        <v>779.21899999999891</v>
      </c>
      <c r="G310">
        <v>62.094189316377197</v>
      </c>
      <c r="J310" t="str">
        <f>IF(H310="","",$P$6-'Script Table'!$E$15-'Script Table'!$E$19+H310)</f>
        <v/>
      </c>
      <c r="K310" s="132">
        <f t="shared" si="16"/>
        <v>779.21899999999891</v>
      </c>
      <c r="L310" s="132">
        <f t="shared" si="17"/>
        <v>310</v>
      </c>
      <c r="M310" s="132">
        <v>778.71899999999891</v>
      </c>
      <c r="N310" s="143">
        <v>179.81033783466819</v>
      </c>
    </row>
    <row r="311" spans="2:14">
      <c r="B311" s="130">
        <v>780.21899999999891</v>
      </c>
      <c r="C311">
        <v>24.104119298428948</v>
      </c>
      <c r="D311">
        <v>780.21899999999891</v>
      </c>
      <c r="E311">
        <v>-2178.7602638790254</v>
      </c>
      <c r="F311">
        <v>780.21899999999891</v>
      </c>
      <c r="G311">
        <v>61.09406612097473</v>
      </c>
      <c r="J311" t="str">
        <f>IF(H311="","",$P$6-'Script Table'!$E$15-'Script Table'!$E$19+H311)</f>
        <v/>
      </c>
      <c r="K311" s="132">
        <f t="shared" si="16"/>
        <v>780.21899999999891</v>
      </c>
      <c r="L311" s="132">
        <f t="shared" si="17"/>
        <v>311</v>
      </c>
      <c r="M311" s="132">
        <v>779.71899999999891</v>
      </c>
      <c r="N311" s="143">
        <v>179.80726586171733</v>
      </c>
    </row>
    <row r="312" spans="2:14">
      <c r="B312" s="130">
        <v>781.21899999999891</v>
      </c>
      <c r="C312">
        <v>24.100699627078058</v>
      </c>
      <c r="D312">
        <v>781.21899999999891</v>
      </c>
      <c r="E312">
        <v>-2179.7603848196532</v>
      </c>
      <c r="F312">
        <v>781.21899999999891</v>
      </c>
      <c r="G312">
        <v>60.093945180346964</v>
      </c>
      <c r="J312" t="str">
        <f>IF(H312="","",$P$6-'Script Table'!$E$15-'Script Table'!$E$19+H312)</f>
        <v/>
      </c>
      <c r="K312" s="132">
        <f t="shared" si="16"/>
        <v>781.21899999999891</v>
      </c>
      <c r="L312" s="132">
        <f t="shared" si="17"/>
        <v>312</v>
      </c>
      <c r="M312" s="132">
        <v>780.71899999999891</v>
      </c>
      <c r="N312" s="143">
        <v>179.80409172110808</v>
      </c>
    </row>
    <row r="313" spans="2:14">
      <c r="B313" s="130">
        <v>782.21899999999891</v>
      </c>
      <c r="C313">
        <v>24.097222682551791</v>
      </c>
      <c r="D313">
        <v>782.21899999999891</v>
      </c>
      <c r="E313">
        <v>-2180.7605034959242</v>
      </c>
      <c r="F313">
        <v>782.21899999999891</v>
      </c>
      <c r="G313">
        <v>59.093826504075878</v>
      </c>
      <c r="J313" t="str">
        <f>IF(H313="","",$P$6-'Script Table'!$E$15-'Script Table'!$E$19+H313)</f>
        <v/>
      </c>
      <c r="K313" s="132">
        <f t="shared" si="16"/>
        <v>782.21899999999891</v>
      </c>
      <c r="L313" s="132">
        <f t="shared" si="17"/>
        <v>313</v>
      </c>
      <c r="M313" s="132">
        <v>781.71899999999891</v>
      </c>
      <c r="N313" s="143">
        <v>179.80081019472735</v>
      </c>
    </row>
    <row r="314" spans="2:14">
      <c r="B314" s="130">
        <v>783.21899999999891</v>
      </c>
      <c r="C314">
        <v>24.093686493488928</v>
      </c>
      <c r="D314">
        <v>783.21899999999891</v>
      </c>
      <c r="E314">
        <v>-2181.7606198975905</v>
      </c>
      <c r="F314">
        <v>783.21899999999891</v>
      </c>
      <c r="G314">
        <v>58.093710102409659</v>
      </c>
      <c r="J314" t="str">
        <f>IF(H314="","",$P$6-'Script Table'!$E$15-'Script Table'!$E$19+H314)</f>
        <v/>
      </c>
      <c r="K314" s="132">
        <f t="shared" si="16"/>
        <v>783.21899999999891</v>
      </c>
      <c r="L314" s="132">
        <f t="shared" si="17"/>
        <v>314</v>
      </c>
      <c r="M314" s="132">
        <v>782.71899999999891</v>
      </c>
      <c r="N314" s="143">
        <v>179.79741571659866</v>
      </c>
    </row>
    <row r="315" spans="2:14">
      <c r="B315" s="130">
        <v>784.21899999999891</v>
      </c>
      <c r="C315">
        <v>24.090088984938607</v>
      </c>
      <c r="D315">
        <v>784.21899999999891</v>
      </c>
      <c r="E315">
        <v>-2182.7607340136792</v>
      </c>
      <c r="F315">
        <v>784.21899999999891</v>
      </c>
      <c r="G315">
        <v>57.093595986320906</v>
      </c>
      <c r="J315" t="str">
        <f>IF(H315="","",$P$6-'Script Table'!$E$15-'Script Table'!$E$19+H315)</f>
        <v/>
      </c>
      <c r="K315" s="132">
        <f t="shared" si="16"/>
        <v>784.21899999999891</v>
      </c>
      <c r="L315" s="132">
        <f t="shared" si="17"/>
        <v>315</v>
      </c>
      <c r="M315" s="132">
        <v>783.71899999999891</v>
      </c>
      <c r="N315" s="143">
        <v>179.79390235136734</v>
      </c>
    </row>
    <row r="316" spans="2:14">
      <c r="B316" s="130">
        <v>784.71899999999891</v>
      </c>
      <c r="C316">
        <v>24.08826641634402</v>
      </c>
      <c r="D316">
        <v>784.71899999999891</v>
      </c>
      <c r="E316">
        <v>-2183.2607902104123</v>
      </c>
      <c r="F316">
        <v>784.71899999999891</v>
      </c>
      <c r="G316">
        <v>56.593539789587794</v>
      </c>
      <c r="J316" t="str">
        <f>IF(H316="","",$P$6-'Script Table'!$E$15-'Script Table'!$E$19+H316)</f>
        <v/>
      </c>
      <c r="K316" s="132">
        <f t="shared" si="16"/>
        <v>784.71899999999891</v>
      </c>
      <c r="L316" s="132">
        <f t="shared" si="17"/>
        <v>316</v>
      </c>
      <c r="M316" s="132">
        <v>784.46899999999891</v>
      </c>
      <c r="N316" s="143">
        <v>179.79117341884489</v>
      </c>
    </row>
    <row r="317" spans="2:14">
      <c r="B317" s="130">
        <v>785.21899999999891</v>
      </c>
      <c r="C317">
        <v>24.086427683434568</v>
      </c>
      <c r="D317">
        <v>785.21899999999891</v>
      </c>
      <c r="E317">
        <v>-2183.7608458312484</v>
      </c>
      <c r="F317">
        <v>785.21899999999891</v>
      </c>
      <c r="G317">
        <v>56.093484168751729</v>
      </c>
      <c r="J317" t="str">
        <f>IF(H317="","",$P$6-'Script Table'!$E$15-'Script Table'!$E$19+H317)</f>
        <v/>
      </c>
      <c r="K317" s="132">
        <f t="shared" si="16"/>
        <v>785.21899999999891</v>
      </c>
      <c r="L317" s="132">
        <f t="shared" si="17"/>
        <v>317</v>
      </c>
      <c r="M317" s="132">
        <v>784.96899999999891</v>
      </c>
      <c r="N317" s="143">
        <v>179.7893211151588</v>
      </c>
    </row>
    <row r="318" spans="2:14">
      <c r="B318" s="130">
        <v>785.71899999999891</v>
      </c>
      <c r="C318">
        <v>24.084572490380964</v>
      </c>
      <c r="D318">
        <v>785.71899999999891</v>
      </c>
      <c r="E318">
        <v>-2184.2609008745671</v>
      </c>
      <c r="F318">
        <v>785.71899999999891</v>
      </c>
      <c r="G318">
        <v>55.593429125432976</v>
      </c>
      <c r="J318" t="str">
        <f>IF(H318="","",$P$6-'Script Table'!$E$15-'Script Table'!$E$19+H318)</f>
        <v/>
      </c>
      <c r="K318" s="132">
        <f t="shared" si="16"/>
        <v>785.71899999999891</v>
      </c>
      <c r="L318" s="132">
        <f t="shared" si="17"/>
        <v>318</v>
      </c>
      <c r="M318" s="132">
        <v>785.46899999999891</v>
      </c>
      <c r="N318" s="143">
        <v>179.78743491161657</v>
      </c>
    </row>
    <row r="319" spans="2:14">
      <c r="B319" s="130">
        <v>786.21899999999891</v>
      </c>
      <c r="C319">
        <v>24.08270053325375</v>
      </c>
      <c r="D319">
        <v>786.21899999999891</v>
      </c>
      <c r="E319">
        <v>-2184.7609553386892</v>
      </c>
      <c r="F319">
        <v>786.21899999999891</v>
      </c>
      <c r="G319">
        <v>55.093374661310918</v>
      </c>
      <c r="J319" t="str">
        <f>IF(H319="","",$P$6-'Script Table'!$E$15-'Script Table'!$E$19+H319)</f>
        <v/>
      </c>
      <c r="K319" s="132">
        <f t="shared" si="16"/>
        <v>786.21899999999891</v>
      </c>
      <c r="L319" s="132">
        <f t="shared" si="17"/>
        <v>319</v>
      </c>
      <c r="M319" s="132">
        <v>785.96899999999891</v>
      </c>
      <c r="N319" s="143">
        <v>179.78551387998897</v>
      </c>
    </row>
    <row r="320" spans="2:14">
      <c r="B320" s="130">
        <v>786.71899999999891</v>
      </c>
      <c r="C320">
        <v>24.080811499634706</v>
      </c>
      <c r="D320">
        <v>786.71899999999891</v>
      </c>
      <c r="E320">
        <v>-2185.2610092218724</v>
      </c>
      <c r="F320">
        <v>786.71899999999891</v>
      </c>
      <c r="G320">
        <v>54.593320778127691</v>
      </c>
      <c r="J320" t="str">
        <f>IF(H320="","",$P$6-'Script Table'!$E$15-'Script Table'!$E$19+H320)</f>
        <v/>
      </c>
      <c r="K320" s="132">
        <f t="shared" si="16"/>
        <v>786.71899999999891</v>
      </c>
      <c r="L320" s="132">
        <f t="shared" si="17"/>
        <v>320</v>
      </c>
      <c r="M320" s="132">
        <v>786.46899999999891</v>
      </c>
      <c r="N320" s="143">
        <v>179.78355704751715</v>
      </c>
    </row>
    <row r="321" spans="2:14">
      <c r="B321" s="130">
        <v>787.21899999999891</v>
      </c>
      <c r="C321">
        <v>24.078905068217772</v>
      </c>
      <c r="D321">
        <v>787.21899999999891</v>
      </c>
      <c r="E321">
        <v>-2185.7610625223092</v>
      </c>
      <c r="F321">
        <v>787.21899999999891</v>
      </c>
      <c r="G321">
        <v>54.093267477690915</v>
      </c>
      <c r="J321" t="str">
        <f>IF(H321="","",$P$6-'Script Table'!$E$15-'Script Table'!$E$19+H321)</f>
        <v/>
      </c>
      <c r="K321" s="132">
        <f t="shared" si="16"/>
        <v>787.21899999999891</v>
      </c>
      <c r="L321" s="132">
        <f t="shared" si="17"/>
        <v>321</v>
      </c>
      <c r="M321" s="132">
        <v>786.96899999999891</v>
      </c>
      <c r="N321" s="143">
        <v>179.78156339571115</v>
      </c>
    </row>
    <row r="322" spans="2:14">
      <c r="B322" s="130">
        <v>787.71899999999891</v>
      </c>
      <c r="C322">
        <v>24.076980908396049</v>
      </c>
      <c r="D322">
        <v>787.71899999999891</v>
      </c>
      <c r="E322">
        <v>-2186.2611152381214</v>
      </c>
      <c r="F322">
        <v>787.71899999999891</v>
      </c>
      <c r="G322">
        <v>53.593214761878698</v>
      </c>
      <c r="J322" t="str">
        <f>IF(H322="","",$P$6-'Script Table'!$E$15-'Script Table'!$E$19+H322)</f>
        <v/>
      </c>
      <c r="K322" s="132">
        <f t="shared" si="16"/>
        <v>787.71899999999891</v>
      </c>
      <c r="L322" s="132">
        <f t="shared" si="17"/>
        <v>322</v>
      </c>
      <c r="M322" s="132">
        <v>787.46899999999891</v>
      </c>
      <c r="N322" s="143">
        <v>179.77953185875421</v>
      </c>
    </row>
    <row r="323" spans="2:14">
      <c r="B323" s="130">
        <v>788.21899999999891</v>
      </c>
      <c r="C323">
        <v>24.075038679831739</v>
      </c>
      <c r="D323">
        <v>788.21899999999891</v>
      </c>
      <c r="E323">
        <v>-2186.7611673673587</v>
      </c>
      <c r="F323">
        <v>788.21899999999891</v>
      </c>
      <c r="G323">
        <v>53.093162632641452</v>
      </c>
      <c r="J323" t="str">
        <f>IF(H323="","",$P$6-'Script Table'!$E$15-'Script Table'!$E$19+H323)</f>
        <v/>
      </c>
      <c r="K323" s="132">
        <f t="shared" si="16"/>
        <v>788.21899999999891</v>
      </c>
      <c r="L323" s="132">
        <f t="shared" si="17"/>
        <v>323</v>
      </c>
      <c r="M323" s="132">
        <v>787.96899999999891</v>
      </c>
      <c r="N323" s="143">
        <v>179.7774613215484</v>
      </c>
    </row>
    <row r="324" spans="2:14">
      <c r="B324" s="130">
        <v>788.71899999999891</v>
      </c>
      <c r="C324">
        <v>24.073078032005967</v>
      </c>
      <c r="D324">
        <v>788.71899999999891</v>
      </c>
      <c r="E324">
        <v>-2187.2612189079937</v>
      </c>
      <c r="F324">
        <v>788.71899999999891</v>
      </c>
      <c r="G324">
        <v>52.593111092006438</v>
      </c>
      <c r="J324" t="str">
        <f>IF(H324="","",$P$6-'Script Table'!$E$15-'Script Table'!$E$19+H324)</f>
        <v/>
      </c>
      <c r="K324" s="132">
        <f t="shared" ref="K324:K387" si="18">F324</f>
        <v>788.71899999999891</v>
      </c>
      <c r="L324" s="132">
        <f t="shared" si="17"/>
        <v>324</v>
      </c>
      <c r="M324" s="132">
        <v>788.46899999999891</v>
      </c>
      <c r="N324" s="143">
        <v>179.77535061740866</v>
      </c>
    </row>
    <row r="325" spans="2:14">
      <c r="B325" s="130">
        <v>789.21899999999891</v>
      </c>
      <c r="C325">
        <v>24.071098603745423</v>
      </c>
      <c r="D325">
        <v>789.21899999999891</v>
      </c>
      <c r="E325">
        <v>-2187.7612698579187</v>
      </c>
      <c r="F325">
        <v>789.21899999999891</v>
      </c>
      <c r="G325">
        <v>52.093060142081413</v>
      </c>
      <c r="J325" t="str">
        <f>IF(H325="","",$P$6-'Script Table'!$E$15-'Script Table'!$E$19+H325)</f>
        <v/>
      </c>
      <c r="K325" s="132">
        <f t="shared" si="18"/>
        <v>789.21899999999891</v>
      </c>
      <c r="L325" s="132">
        <f t="shared" si="17"/>
        <v>325</v>
      </c>
      <c r="M325" s="132">
        <v>788.96899999999891</v>
      </c>
      <c r="N325" s="143">
        <v>179.77319852540651</v>
      </c>
    </row>
    <row r="326" spans="2:14">
      <c r="B326" s="130">
        <v>789.71899999999891</v>
      </c>
      <c r="C326">
        <v>24.069100022722601</v>
      </c>
      <c r="D326">
        <v>789.71899999999891</v>
      </c>
      <c r="E326">
        <v>-2188.261320214941</v>
      </c>
      <c r="F326">
        <v>789.71899999999891</v>
      </c>
      <c r="G326">
        <v>51.593009785059166</v>
      </c>
      <c r="J326" t="str">
        <f>IF(H326="","",$P$6-'Script Table'!$E$15-'Script Table'!$E$19+H326)</f>
        <v/>
      </c>
      <c r="K326" s="132">
        <f t="shared" si="18"/>
        <v>789.71899999999891</v>
      </c>
      <c r="L326" s="132">
        <f t="shared" ref="L326:L389" si="19">L325+1</f>
        <v>326</v>
      </c>
      <c r="M326" s="132">
        <v>789.46899999999891</v>
      </c>
      <c r="N326" s="143">
        <v>179.77100376734438</v>
      </c>
    </row>
    <row r="327" spans="2:14">
      <c r="B327" s="130">
        <v>790.21899999999891</v>
      </c>
      <c r="C327">
        <v>24.067081904926422</v>
      </c>
      <c r="D327">
        <v>790.21899999999891</v>
      </c>
      <c r="E327">
        <v>-2188.7613699767762</v>
      </c>
      <c r="F327">
        <v>790.21899999999891</v>
      </c>
      <c r="G327">
        <v>51.092960023223895</v>
      </c>
      <c r="J327" t="str">
        <f>IF(H327="","",$P$6-'Script Table'!$E$15-'Script Table'!$E$19+H327)</f>
        <v/>
      </c>
      <c r="K327" s="132">
        <f t="shared" si="18"/>
        <v>790.21899999999891</v>
      </c>
      <c r="L327" s="132">
        <f t="shared" si="19"/>
        <v>327</v>
      </c>
      <c r="M327" s="132">
        <v>789.96899999999891</v>
      </c>
      <c r="N327" s="143">
        <v>179.7687650043608</v>
      </c>
    </row>
    <row r="328" spans="2:14">
      <c r="B328" s="130">
        <v>790.71899999999891</v>
      </c>
      <c r="C328">
        <v>24.065043854099716</v>
      </c>
      <c r="D328">
        <v>790.71899999999891</v>
      </c>
      <c r="E328">
        <v>-2189.2614191410462</v>
      </c>
      <c r="F328">
        <v>790.71899999999891</v>
      </c>
      <c r="G328">
        <v>50.592910858953928</v>
      </c>
      <c r="J328" t="str">
        <f>IF(H328="","",$P$6-'Script Table'!$E$15-'Script Table'!$E$19+H328)</f>
        <v/>
      </c>
      <c r="K328" s="132">
        <f t="shared" si="18"/>
        <v>790.71899999999891</v>
      </c>
      <c r="L328" s="132">
        <f t="shared" si="19"/>
        <v>328</v>
      </c>
      <c r="M328" s="132">
        <v>790.46899999999891</v>
      </c>
      <c r="N328" s="143">
        <v>179.76648083313535</v>
      </c>
    </row>
    <row r="329" spans="2:14">
      <c r="B329" s="130">
        <v>791.21899999999891</v>
      </c>
      <c r="C329">
        <v>24.062985461139878</v>
      </c>
      <c r="D329">
        <v>791.21899999999891</v>
      </c>
      <c r="E329">
        <v>-2189.7614677052729</v>
      </c>
      <c r="F329">
        <v>791.21899999999891</v>
      </c>
      <c r="G329">
        <v>50.092862294727183</v>
      </c>
      <c r="J329" t="str">
        <f>IF(H329="","",$P$6-'Script Table'!$E$15-'Script Table'!$E$19+H329)</f>
        <v/>
      </c>
      <c r="K329" s="132">
        <f t="shared" si="18"/>
        <v>791.21899999999891</v>
      </c>
      <c r="L329" s="132">
        <f t="shared" si="19"/>
        <v>329</v>
      </c>
      <c r="M329" s="132">
        <v>790.96899999999891</v>
      </c>
      <c r="N329" s="143">
        <v>179.76414978166585</v>
      </c>
    </row>
    <row r="330" spans="2:14">
      <c r="B330" s="130">
        <v>791.71899999999891</v>
      </c>
      <c r="C330">
        <v>24.060906303458548</v>
      </c>
      <c r="D330">
        <v>791.71899999999891</v>
      </c>
      <c r="E330">
        <v>-2190.2615156668712</v>
      </c>
      <c r="F330">
        <v>791.71899999999891</v>
      </c>
      <c r="G330">
        <v>49.592814333128899</v>
      </c>
      <c r="J330" t="str">
        <f>IF(H330="","",$P$6-'Script Table'!$E$15-'Script Table'!$E$19+H330)</f>
        <v/>
      </c>
      <c r="K330" s="132">
        <f t="shared" si="18"/>
        <v>791.71899999999891</v>
      </c>
      <c r="L330" s="132">
        <f t="shared" si="19"/>
        <v>330</v>
      </c>
      <c r="M330" s="132">
        <v>791.46899999999891</v>
      </c>
      <c r="N330" s="143">
        <v>179.76177030457424</v>
      </c>
    </row>
    <row r="331" spans="2:14">
      <c r="B331" s="130">
        <v>792.21899999999891</v>
      </c>
      <c r="C331">
        <v>24.058805944296015</v>
      </c>
      <c r="D331">
        <v>792.21899999999891</v>
      </c>
      <c r="E331">
        <v>-2190.7615630231453</v>
      </c>
      <c r="F331">
        <v>792.21899999999891</v>
      </c>
      <c r="G331">
        <v>49.092766976854818</v>
      </c>
      <c r="J331" t="str">
        <f>IF(H331="","",$P$6-'Script Table'!$E$15-'Script Table'!$E$19+H331)</f>
        <v/>
      </c>
      <c r="K331" s="132">
        <f t="shared" si="18"/>
        <v>792.21899999999891</v>
      </c>
      <c r="L331" s="132">
        <f t="shared" si="19"/>
        <v>331</v>
      </c>
      <c r="M331" s="132">
        <v>791.96899999999891</v>
      </c>
      <c r="N331" s="143">
        <v>179.7593407779182</v>
      </c>
    </row>
    <row r="332" spans="2:14">
      <c r="B332" s="130">
        <v>792.71899999999891</v>
      </c>
      <c r="C332">
        <v>24.056683931985379</v>
      </c>
      <c r="D332">
        <v>792.71899999999891</v>
      </c>
      <c r="E332">
        <v>-2191.2616097712789</v>
      </c>
      <c r="F332">
        <v>792.71899999999891</v>
      </c>
      <c r="G332">
        <v>48.592720228721191</v>
      </c>
      <c r="J332" t="str">
        <f>IF(H332="","",$P$6-'Script Table'!$E$15-'Script Table'!$E$19+H332)</f>
        <v/>
      </c>
      <c r="K332" s="132">
        <f t="shared" si="18"/>
        <v>792.71899999999891</v>
      </c>
      <c r="L332" s="132">
        <f t="shared" si="19"/>
        <v>332</v>
      </c>
      <c r="M332" s="132">
        <v>792.46899999999891</v>
      </c>
      <c r="N332" s="143">
        <v>179.75685949343273</v>
      </c>
    </row>
    <row r="333" spans="2:14">
      <c r="B333" s="130">
        <v>793.21899999999891</v>
      </c>
      <c r="C333">
        <v>24.054539799161077</v>
      </c>
      <c r="D333">
        <v>793.21899999999891</v>
      </c>
      <c r="E333">
        <v>-2191.7616559083303</v>
      </c>
      <c r="F333">
        <v>793.21899999999891</v>
      </c>
      <c r="G333">
        <v>48.092674091669778</v>
      </c>
      <c r="J333" t="str">
        <f>IF(H333="","",$P$6-'Script Table'!$E$15-'Script Table'!$E$19+H333)</f>
        <v/>
      </c>
      <c r="K333" s="132">
        <f t="shared" si="18"/>
        <v>793.21899999999891</v>
      </c>
      <c r="L333" s="132">
        <f t="shared" si="19"/>
        <v>333</v>
      </c>
      <c r="M333" s="132">
        <v>792.96899999999891</v>
      </c>
      <c r="N333" s="143">
        <v>179.75432465215621</v>
      </c>
    </row>
    <row r="334" spans="2:14">
      <c r="B334" s="130">
        <v>793.71899999999891</v>
      </c>
      <c r="C334">
        <v>24.052373061905961</v>
      </c>
      <c r="D334">
        <v>793.71899999999891</v>
      </c>
      <c r="E334">
        <v>-2192.261701431225</v>
      </c>
      <c r="F334">
        <v>793.71899999999891</v>
      </c>
      <c r="G334">
        <v>47.592628568775126</v>
      </c>
      <c r="J334" t="str">
        <f>IF(H334="","",$P$6-'Script Table'!$E$15-'Script Table'!$E$19+H334)</f>
        <v/>
      </c>
      <c r="K334" s="132">
        <f t="shared" si="18"/>
        <v>793.71899999999891</v>
      </c>
      <c r="L334" s="132">
        <f t="shared" si="19"/>
        <v>334</v>
      </c>
      <c r="M334" s="132">
        <v>793.46899999999891</v>
      </c>
      <c r="N334" s="143">
        <v>179.75173435738856</v>
      </c>
    </row>
    <row r="335" spans="2:14">
      <c r="B335" s="130">
        <v>794.21899999999891</v>
      </c>
      <c r="C335">
        <v>24.050183218830018</v>
      </c>
      <c r="D335">
        <v>794.21899999999891</v>
      </c>
      <c r="E335">
        <v>-2192.7617463367446</v>
      </c>
      <c r="F335">
        <v>794.21899999999891</v>
      </c>
      <c r="G335">
        <v>47.092583663255482</v>
      </c>
      <c r="J335" t="str">
        <f>IF(H335="","",$P$6-'Script Table'!$E$15-'Script Table'!$E$19+H335)</f>
        <v/>
      </c>
      <c r="K335" s="132">
        <f t="shared" si="18"/>
        <v>794.21899999999891</v>
      </c>
      <c r="L335" s="132">
        <f t="shared" si="19"/>
        <v>335</v>
      </c>
      <c r="M335" s="132">
        <v>793.96899999999891</v>
      </c>
      <c r="N335" s="143">
        <v>179.74908660685642</v>
      </c>
    </row>
    <row r="336" spans="2:14">
      <c r="B336" s="130">
        <v>794.71899999999891</v>
      </c>
      <c r="C336">
        <v>24.047969750073594</v>
      </c>
      <c r="D336">
        <v>794.71899999999891</v>
      </c>
      <c r="E336">
        <v>-2193.2617906215214</v>
      </c>
      <c r="F336">
        <v>794.71899999999891</v>
      </c>
      <c r="G336">
        <v>46.592539378478705</v>
      </c>
      <c r="J336" t="str">
        <f>IF(H336="","",$P$6-'Script Table'!$E$15-'Script Table'!$E$19+H336)</f>
        <v/>
      </c>
      <c r="K336" s="132">
        <f t="shared" si="18"/>
        <v>794.71899999999891</v>
      </c>
      <c r="L336" s="132">
        <f t="shared" si="19"/>
        <v>336</v>
      </c>
      <c r="M336" s="132">
        <v>794.46899999999891</v>
      </c>
      <c r="N336" s="143">
        <v>179.7463792840646</v>
      </c>
    </row>
    <row r="337" spans="2:14">
      <c r="B337" s="130">
        <v>795.21899999999891</v>
      </c>
      <c r="C337">
        <v>24.045732116226699</v>
      </c>
      <c r="D337">
        <v>795.21899999999891</v>
      </c>
      <c r="E337">
        <v>-2193.7618342820251</v>
      </c>
      <c r="F337">
        <v>795.21899999999891</v>
      </c>
      <c r="G337">
        <v>46.092495717974998</v>
      </c>
      <c r="J337" t="str">
        <f>IF(H337="","",$P$6-'Script Table'!$E$15-'Script Table'!$E$19+H337)</f>
        <v/>
      </c>
      <c r="K337" s="132">
        <f t="shared" si="18"/>
        <v>795.21899999999891</v>
      </c>
      <c r="L337" s="132">
        <f t="shared" si="19"/>
        <v>337</v>
      </c>
      <c r="M337" s="132">
        <v>794.96899999999891</v>
      </c>
      <c r="N337" s="143">
        <v>179.74361014867642</v>
      </c>
    </row>
    <row r="338" spans="2:14">
      <c r="B338" s="130">
        <v>795.71899999999891</v>
      </c>
      <c r="C338">
        <v>24.043469757155226</v>
      </c>
      <c r="D338">
        <v>795.71899999999891</v>
      </c>
      <c r="E338">
        <v>-2194.2618773145532</v>
      </c>
      <c r="F338">
        <v>795.71899999999891</v>
      </c>
      <c r="G338">
        <v>45.592452685446915</v>
      </c>
      <c r="J338" t="str">
        <f>IF(H338="","",$P$6-'Script Table'!$E$15-'Script Table'!$E$19+H338)</f>
        <v/>
      </c>
      <c r="K338" s="132">
        <f t="shared" si="18"/>
        <v>795.71899999999891</v>
      </c>
      <c r="L338" s="132">
        <f t="shared" si="19"/>
        <v>338</v>
      </c>
      <c r="M338" s="132">
        <v>795.46899999999891</v>
      </c>
      <c r="N338" s="143">
        <v>179.74077682584985</v>
      </c>
    </row>
    <row r="339" spans="2:14">
      <c r="B339" s="130">
        <v>796.21899999999891</v>
      </c>
      <c r="C339">
        <v>24.041182090723868</v>
      </c>
      <c r="D339">
        <v>796.21899999999891</v>
      </c>
      <c r="E339">
        <v>-2194.7619197152208</v>
      </c>
      <c r="F339">
        <v>796.21899999999891</v>
      </c>
      <c r="G339">
        <v>45.092410284779362</v>
      </c>
      <c r="J339" t="str">
        <f>IF(H339="","",$P$6-'Script Table'!$E$15-'Script Table'!$E$19+H339)</f>
        <v/>
      </c>
      <c r="K339" s="132">
        <f t="shared" si="18"/>
        <v>796.21899999999891</v>
      </c>
      <c r="L339" s="132">
        <f t="shared" si="19"/>
        <v>339</v>
      </c>
      <c r="M339" s="132">
        <v>795.96899999999891</v>
      </c>
      <c r="N339" s="143">
        <v>179.73787679439843</v>
      </c>
    </row>
    <row r="340" spans="2:14">
      <c r="B340" s="130">
        <v>796.71899999999891</v>
      </c>
      <c r="C340">
        <v>24.038868511404015</v>
      </c>
      <c r="D340">
        <v>796.71899999999891</v>
      </c>
      <c r="E340">
        <v>-2195.261961479946</v>
      </c>
      <c r="F340">
        <v>796.71899999999891</v>
      </c>
      <c r="G340">
        <v>44.592368520054151</v>
      </c>
      <c r="J340" t="str">
        <f>IF(H340="","",$P$6-'Script Table'!$E$15-'Script Table'!$E$19+H340)</f>
        <v/>
      </c>
      <c r="K340" s="132">
        <f t="shared" si="18"/>
        <v>796.71899999999891</v>
      </c>
      <c r="L340" s="132">
        <f t="shared" si="19"/>
        <v>340</v>
      </c>
      <c r="M340" s="132">
        <v>796.46899999999891</v>
      </c>
      <c r="N340" s="143">
        <v>179.73490737361035</v>
      </c>
    </row>
    <row r="341" spans="2:14">
      <c r="B341" s="130">
        <v>797.21899999999891</v>
      </c>
      <c r="C341">
        <v>24.036528388754022</v>
      </c>
      <c r="D341">
        <v>797.21899999999891</v>
      </c>
      <c r="E341">
        <v>-2195.7620026044351</v>
      </c>
      <c r="F341">
        <v>797.21899999999891</v>
      </c>
      <c r="G341">
        <v>44.092327395565007</v>
      </c>
      <c r="J341" t="str">
        <f>IF(H341="","",$P$6-'Script Table'!$E$15-'Script Table'!$E$19+H341)</f>
        <v/>
      </c>
      <c r="K341" s="132">
        <f t="shared" si="18"/>
        <v>797.21899999999891</v>
      </c>
      <c r="L341" s="132">
        <f t="shared" si="19"/>
        <v>341</v>
      </c>
      <c r="M341" s="132">
        <v>796.96899999999891</v>
      </c>
      <c r="N341" s="143">
        <v>179.73186570862393</v>
      </c>
    </row>
    <row r="342" spans="2:14">
      <c r="B342" s="130">
        <v>797.71899999999891</v>
      </c>
      <c r="C342">
        <v>24.034161065757303</v>
      </c>
      <c r="D342">
        <v>797.71899999999891</v>
      </c>
      <c r="E342">
        <v>-2196.2620430841689</v>
      </c>
      <c r="F342">
        <v>797.71899999999891</v>
      </c>
      <c r="G342">
        <v>43.59228691583121</v>
      </c>
      <c r="J342" t="str">
        <f>IF(H342="","",$P$6-'Script Table'!$E$15-'Script Table'!$E$19+H342)</f>
        <v/>
      </c>
      <c r="K342" s="132">
        <f t="shared" si="18"/>
        <v>797.71899999999891</v>
      </c>
      <c r="L342" s="132">
        <f t="shared" si="19"/>
        <v>342</v>
      </c>
      <c r="M342" s="132">
        <v>797.46899999999891</v>
      </c>
      <c r="N342" s="143">
        <v>179.72874875413598</v>
      </c>
    </row>
    <row r="343" spans="2:14">
      <c r="B343" s="130">
        <v>798.21899999999891</v>
      </c>
      <c r="C343">
        <v>24.031765857002284</v>
      </c>
      <c r="D343">
        <v>798.21899999999891</v>
      </c>
      <c r="E343">
        <v>-2196.7620829143857</v>
      </c>
      <c r="F343">
        <v>798.21899999999891</v>
      </c>
      <c r="G343">
        <v>43.092247085614417</v>
      </c>
      <c r="J343" t="str">
        <f>IF(H343="","",$P$6-'Script Table'!$E$15-'Script Table'!$E$19+H343)</f>
        <v/>
      </c>
      <c r="K343" s="132">
        <f t="shared" si="18"/>
        <v>798.21899999999891</v>
      </c>
      <c r="L343" s="132">
        <f t="shared" si="19"/>
        <v>343</v>
      </c>
      <c r="M343" s="132">
        <v>797.96899999999891</v>
      </c>
      <c r="N343" s="143">
        <v>179.72555325627962</v>
      </c>
    </row>
    <row r="344" spans="2:14">
      <c r="B344" s="130">
        <v>798.71899999999891</v>
      </c>
      <c r="C344">
        <v>24.029342046686324</v>
      </c>
      <c r="D344">
        <v>798.71899999999891</v>
      </c>
      <c r="E344">
        <v>-2197.2621220900605</v>
      </c>
      <c r="F344">
        <v>798.71899999999891</v>
      </c>
      <c r="G344">
        <v>42.592207909939589</v>
      </c>
      <c r="J344" t="str">
        <f>IF(H344="","",$P$6-'Script Table'!$E$15-'Script Table'!$E$19+H344)</f>
        <v/>
      </c>
      <c r="K344" s="132">
        <f t="shared" si="18"/>
        <v>798.71899999999891</v>
      </c>
      <c r="L344" s="132">
        <f t="shared" si="19"/>
        <v>344</v>
      </c>
      <c r="M344" s="132">
        <v>798.46899999999891</v>
      </c>
      <c r="N344" s="143">
        <v>179.72227573245112</v>
      </c>
    </row>
    <row r="345" spans="2:14">
      <c r="B345" s="130">
        <v>799.21899999999891</v>
      </c>
      <c r="C345">
        <v>24.026888886423553</v>
      </c>
      <c r="D345">
        <v>799.21899999999891</v>
      </c>
      <c r="E345">
        <v>-2197.762160605886</v>
      </c>
      <c r="F345">
        <v>799.21899999999891</v>
      </c>
      <c r="G345">
        <v>42.09216939411408</v>
      </c>
      <c r="J345" t="str">
        <f>IF(H345="","",$P$6-'Script Table'!$E$15-'Script Table'!$E$19+H345)</f>
        <v/>
      </c>
      <c r="K345" s="132">
        <f t="shared" si="18"/>
        <v>799.21899999999891</v>
      </c>
      <c r="L345" s="132">
        <f t="shared" si="19"/>
        <v>345</v>
      </c>
      <c r="M345" s="132">
        <v>798.96899999999891</v>
      </c>
      <c r="N345" s="143">
        <v>179.7189124488427</v>
      </c>
    </row>
    <row r="346" spans="2:14">
      <c r="B346" s="130">
        <v>799.71899999999891</v>
      </c>
      <c r="C346">
        <v>24.024405592834476</v>
      </c>
      <c r="D346">
        <v>799.71899999999891</v>
      </c>
      <c r="E346">
        <v>-2198.2621984562502</v>
      </c>
      <c r="F346">
        <v>799.71899999999891</v>
      </c>
      <c r="G346">
        <v>41.592131543749929</v>
      </c>
      <c r="J346" t="str">
        <f>IF(H346="","",$P$6-'Script Table'!$E$15-'Script Table'!$E$19+H346)</f>
        <v/>
      </c>
      <c r="K346" s="132">
        <f t="shared" si="18"/>
        <v>799.71899999999891</v>
      </c>
      <c r="L346" s="132">
        <f t="shared" si="19"/>
        <v>346</v>
      </c>
      <c r="M346" s="132">
        <v>799.46899999999891</v>
      </c>
      <c r="N346" s="143">
        <v>179.71545939543313</v>
      </c>
    </row>
    <row r="347" spans="2:14">
      <c r="B347" s="130">
        <v>800.21899999999891</v>
      </c>
      <c r="C347">
        <v>24.021891344892527</v>
      </c>
      <c r="D347">
        <v>800.21899999999891</v>
      </c>
      <c r="E347">
        <v>-2198.762235635209</v>
      </c>
      <c r="F347">
        <v>800.21899999999891</v>
      </c>
      <c r="G347">
        <v>41.092094364791137</v>
      </c>
      <c r="J347" t="str">
        <f>IF(H347="","",$P$6-'Script Table'!$E$15-'Script Table'!$E$19+H347)</f>
        <v/>
      </c>
      <c r="K347" s="132">
        <f t="shared" si="18"/>
        <v>800.21899999999891</v>
      </c>
      <c r="L347" s="132">
        <f t="shared" si="19"/>
        <v>347</v>
      </c>
      <c r="M347" s="132">
        <v>799.96899999999891</v>
      </c>
      <c r="N347" s="143">
        <v>179.7119122581349</v>
      </c>
    </row>
    <row r="348" spans="2:14">
      <c r="B348" s="130">
        <v>800.71899999999891</v>
      </c>
      <c r="C348">
        <v>24.019345280999989</v>
      </c>
      <c r="D348">
        <v>800.71899999999891</v>
      </c>
      <c r="E348">
        <v>-2199.2622721364587</v>
      </c>
      <c r="F348">
        <v>800.71899999999891</v>
      </c>
      <c r="G348">
        <v>40.592057863541413</v>
      </c>
      <c r="J348" t="str">
        <f>IF(H348="","",$P$6-'Script Table'!$E$15-'Script Table'!$E$19+H348)</f>
        <v/>
      </c>
      <c r="K348" s="132">
        <f t="shared" si="18"/>
        <v>800.71899999999891</v>
      </c>
      <c r="L348" s="132">
        <f t="shared" si="19"/>
        <v>348</v>
      </c>
      <c r="M348" s="132">
        <v>800.46899999999891</v>
      </c>
      <c r="N348" s="143">
        <v>179.70826638778325</v>
      </c>
    </row>
    <row r="349" spans="2:14">
      <c r="B349" s="130">
        <v>801.21899999999891</v>
      </c>
      <c r="C349">
        <v>24.016766495762727</v>
      </c>
      <c r="D349">
        <v>801.21899999999891</v>
      </c>
      <c r="E349">
        <v>-2199.7623079533078</v>
      </c>
      <c r="F349">
        <v>801.21899999999891</v>
      </c>
      <c r="G349">
        <v>40.092022046692364</v>
      </c>
      <c r="J349" t="str">
        <f>IF(H349="","",$P$6-'Script Table'!$E$15-'Script Table'!$E$19+H349)</f>
        <v/>
      </c>
      <c r="K349" s="132">
        <f t="shared" si="18"/>
        <v>801.21899999999891</v>
      </c>
      <c r="L349" s="132">
        <f t="shared" si="19"/>
        <v>349</v>
      </c>
      <c r="M349" s="132">
        <v>800.96899999999891</v>
      </c>
      <c r="N349" s="143">
        <v>179.70451676562294</v>
      </c>
    </row>
    <row r="350" spans="2:14">
      <c r="B350" s="130">
        <v>801.71899999999891</v>
      </c>
      <c r="C350">
        <v>24.014154036429773</v>
      </c>
      <c r="D350">
        <v>801.71899999999891</v>
      </c>
      <c r="E350">
        <v>-2200.2623430786371</v>
      </c>
      <c r="F350">
        <v>801.71899999999891</v>
      </c>
      <c r="G350">
        <v>39.591986921363059</v>
      </c>
      <c r="J350" t="str">
        <f>IF(H350="","",$P$6-'Script Table'!$E$15-'Script Table'!$E$19+H350)</f>
        <v/>
      </c>
      <c r="K350" s="132">
        <f t="shared" si="18"/>
        <v>801.71899999999891</v>
      </c>
      <c r="L350" s="132">
        <f t="shared" si="19"/>
        <v>350</v>
      </c>
      <c r="M350" s="132">
        <v>801.46899999999891</v>
      </c>
      <c r="N350" s="143">
        <v>179.70065796489828</v>
      </c>
    </row>
    <row r="351" spans="2:14">
      <c r="B351" s="130">
        <v>802.21899999999891</v>
      </c>
      <c r="C351">
        <v>24.011506898960075</v>
      </c>
      <c r="D351">
        <v>802.21899999999891</v>
      </c>
      <c r="E351">
        <v>-2200.7623775048646</v>
      </c>
      <c r="F351">
        <v>802.21899999999891</v>
      </c>
      <c r="G351">
        <v>39.091952495135502</v>
      </c>
      <c r="J351" t="str">
        <f>IF(H351="","",$P$6-'Script Table'!$E$15-'Script Table'!$E$19+H351)</f>
        <v/>
      </c>
      <c r="K351" s="132">
        <f t="shared" si="18"/>
        <v>802.21899999999891</v>
      </c>
      <c r="L351" s="132">
        <f t="shared" si="19"/>
        <v>351</v>
      </c>
      <c r="M351" s="132">
        <v>801.96899999999891</v>
      </c>
      <c r="N351" s="143">
        <v>179.69668410813381</v>
      </c>
    </row>
    <row r="352" spans="2:14">
      <c r="B352" s="130">
        <v>802.71899999999891</v>
      </c>
      <c r="C352">
        <v>24.008824023674979</v>
      </c>
      <c r="D352">
        <v>802.71899999999891</v>
      </c>
      <c r="E352">
        <v>-2201.2624112239009</v>
      </c>
      <c r="F352">
        <v>802.71899999999891</v>
      </c>
      <c r="G352">
        <v>38.591918776099192</v>
      </c>
      <c r="J352" t="str">
        <f>IF(H352="","",$P$6-'Script Table'!$E$15-'Script Table'!$E$19+H352)</f>
        <v/>
      </c>
      <c r="K352" s="132">
        <f t="shared" si="18"/>
        <v>802.71899999999891</v>
      </c>
      <c r="L352" s="132">
        <f t="shared" si="19"/>
        <v>352</v>
      </c>
      <c r="M352" s="132">
        <v>802.46899999999891</v>
      </c>
      <c r="N352" s="143">
        <v>179.69258881965769</v>
      </c>
    </row>
    <row r="353" spans="2:14">
      <c r="B353" s="130">
        <v>803.21899999999891</v>
      </c>
      <c r="C353">
        <v>24.006104290450264</v>
      </c>
      <c r="D353">
        <v>803.21899999999891</v>
      </c>
      <c r="E353">
        <v>-2201.7624442270994</v>
      </c>
      <c r="F353">
        <v>803.21899999999891</v>
      </c>
      <c r="G353">
        <v>38.091885772900696</v>
      </c>
      <c r="J353" t="str">
        <f>IF(H353="","",$P$6-'Script Table'!$E$15-'Script Table'!$E$19+H353)</f>
        <v/>
      </c>
      <c r="K353" s="132">
        <f t="shared" si="18"/>
        <v>803.21899999999891</v>
      </c>
      <c r="L353" s="132">
        <f t="shared" si="19"/>
        <v>353</v>
      </c>
      <c r="M353" s="132">
        <v>802.96899999999891</v>
      </c>
      <c r="N353" s="143">
        <v>179.68836517283876</v>
      </c>
    </row>
    <row r="354" spans="2:14">
      <c r="B354" s="130">
        <v>803.71899999999891</v>
      </c>
      <c r="C354">
        <v>24.003346513397279</v>
      </c>
      <c r="D354">
        <v>803.71899999999891</v>
      </c>
      <c r="E354">
        <v>-2202.2624765052051</v>
      </c>
      <c r="F354">
        <v>803.71899999999891</v>
      </c>
      <c r="G354">
        <v>37.591853494795032</v>
      </c>
      <c r="J354" t="str">
        <f>IF(H354="","",$P$6-'Script Table'!$E$15-'Script Table'!$E$19+H354)</f>
        <v/>
      </c>
      <c r="K354" s="132">
        <f t="shared" si="18"/>
        <v>803.71899999999891</v>
      </c>
      <c r="L354" s="132">
        <f t="shared" si="19"/>
        <v>354</v>
      </c>
      <c r="M354" s="132">
        <v>803.46899999999891</v>
      </c>
      <c r="N354" s="143">
        <v>179.68400563154205</v>
      </c>
    </row>
    <row r="355" spans="2:14">
      <c r="B355" s="130">
        <v>804.21899999999891</v>
      </c>
      <c r="C355">
        <v>24.00054943497733</v>
      </c>
      <c r="D355">
        <v>804.21899999999891</v>
      </c>
      <c r="E355">
        <v>-2202.7625080482894</v>
      </c>
      <c r="F355">
        <v>804.21899999999891</v>
      </c>
      <c r="G355">
        <v>37.091821951710699</v>
      </c>
      <c r="J355" t="str">
        <f>IF(H355="","",$P$6-'Script Table'!$E$15-'Script Table'!$E$19+H355)</f>
        <v/>
      </c>
      <c r="K355" s="132">
        <f t="shared" si="18"/>
        <v>804.21899999999891</v>
      </c>
      <c r="L355" s="132">
        <f t="shared" si="19"/>
        <v>355</v>
      </c>
      <c r="M355" s="132">
        <v>803.96899999999891</v>
      </c>
      <c r="N355" s="143">
        <v>179.67950198517738</v>
      </c>
    </row>
    <row r="356" spans="2:14">
      <c r="B356" s="130">
        <v>804.41899999999896</v>
      </c>
      <c r="C356">
        <v>23.99941922522564</v>
      </c>
      <c r="D356">
        <v>804.41899999999896</v>
      </c>
      <c r="E356">
        <v>-2202.9625204568692</v>
      </c>
      <c r="F356">
        <v>804.41899999999896</v>
      </c>
      <c r="G356">
        <v>36.891809543130876</v>
      </c>
      <c r="J356" t="str">
        <f>IF(H356="","",$P$6-'Script Table'!$E$15-'Script Table'!$E$19+H356)</f>
        <v/>
      </c>
      <c r="K356" s="132">
        <f t="shared" si="18"/>
        <v>804.41899999999896</v>
      </c>
      <c r="L356" s="132">
        <f t="shared" si="19"/>
        <v>356</v>
      </c>
      <c r="M356" s="132">
        <v>804.31899999999894</v>
      </c>
      <c r="N356" s="143">
        <v>179.67624228927301</v>
      </c>
    </row>
    <row r="357" spans="2:14">
      <c r="B357" s="130">
        <v>804.61899999999901</v>
      </c>
      <c r="C357">
        <v>23.998282424052807</v>
      </c>
      <c r="D357">
        <v>804.61899999999901</v>
      </c>
      <c r="E357">
        <v>-2203.1625327454185</v>
      </c>
      <c r="F357">
        <v>804.61899999999901</v>
      </c>
      <c r="G357">
        <v>36.691797254581616</v>
      </c>
      <c r="J357" t="str">
        <f>IF(H357="","",$P$6-'Script Table'!$E$15-'Script Table'!$E$19+H357)</f>
        <v/>
      </c>
      <c r="K357" s="132">
        <f t="shared" si="18"/>
        <v>804.61899999999901</v>
      </c>
      <c r="L357" s="132">
        <f t="shared" si="19"/>
        <v>357</v>
      </c>
      <c r="M357" s="132">
        <v>804.51899999999898</v>
      </c>
      <c r="N357" s="143">
        <v>179.67435396857863</v>
      </c>
    </row>
    <row r="358" spans="2:14">
      <c r="B358" s="130">
        <v>804.81899999999905</v>
      </c>
      <c r="C358">
        <v>23.997138939703024</v>
      </c>
      <c r="D358">
        <v>804.81899999999905</v>
      </c>
      <c r="E358">
        <v>-2203.3625449131964</v>
      </c>
      <c r="F358">
        <v>804.81899999999905</v>
      </c>
      <c r="G358">
        <v>36.491785086803702</v>
      </c>
      <c r="J358" t="str">
        <f>IF(H358="","",$P$6-'Script Table'!$E$15-'Script Table'!$E$19+H358)</f>
        <v/>
      </c>
      <c r="K358" s="132">
        <f t="shared" si="18"/>
        <v>804.81899999999905</v>
      </c>
      <c r="L358" s="132">
        <f t="shared" si="19"/>
        <v>358</v>
      </c>
      <c r="M358" s="132">
        <v>804.71899999999903</v>
      </c>
      <c r="N358" s="143">
        <v>179.67243936146855</v>
      </c>
    </row>
    <row r="359" spans="2:14">
      <c r="B359" s="130">
        <v>805.0189999999991</v>
      </c>
      <c r="C359">
        <v>23.995988678071242</v>
      </c>
      <c r="D359">
        <v>805.0189999999991</v>
      </c>
      <c r="E359">
        <v>-2203.5625569594372</v>
      </c>
      <c r="F359">
        <v>805.0189999999991</v>
      </c>
      <c r="G359">
        <v>36.29177304056293</v>
      </c>
      <c r="J359" t="str">
        <f>IF(H359="","",$P$6-'Script Table'!$E$15-'Script Table'!$E$19+H359)</f>
        <v/>
      </c>
      <c r="K359" s="132">
        <f t="shared" si="18"/>
        <v>805.0189999999991</v>
      </c>
      <c r="L359" s="132">
        <f t="shared" si="19"/>
        <v>359</v>
      </c>
      <c r="M359" s="132">
        <v>804.91899999999907</v>
      </c>
      <c r="N359" s="143">
        <v>179.67049779492032</v>
      </c>
    </row>
    <row r="360" spans="2:14">
      <c r="B360" s="130">
        <v>805.21899999999914</v>
      </c>
      <c r="C360">
        <v>23.994831542616289</v>
      </c>
      <c r="D360">
        <v>805.21899999999914</v>
      </c>
      <c r="E360">
        <v>-2203.7625688833537</v>
      </c>
      <c r="F360">
        <v>805.21899999999914</v>
      </c>
      <c r="G360">
        <v>36.091761116646467</v>
      </c>
      <c r="J360" t="str">
        <f>IF(H360="","",$P$6-'Script Table'!$E$15-'Script Table'!$E$19+H360)</f>
        <v/>
      </c>
      <c r="K360" s="132">
        <f t="shared" si="18"/>
        <v>805.21899999999914</v>
      </c>
      <c r="L360" s="132">
        <f t="shared" si="19"/>
        <v>360</v>
      </c>
      <c r="M360" s="132">
        <v>805.11899999999912</v>
      </c>
      <c r="N360" s="143">
        <v>179.66852857103083</v>
      </c>
    </row>
    <row r="361" spans="2:14">
      <c r="B361" s="130">
        <v>805.41899999999919</v>
      </c>
      <c r="C361">
        <v>23.99366743427041</v>
      </c>
      <c r="D361">
        <v>805.41899999999919</v>
      </c>
      <c r="E361">
        <v>-2203.9625806841323</v>
      </c>
      <c r="F361">
        <v>805.41899999999919</v>
      </c>
      <c r="G361">
        <v>35.891749315867855</v>
      </c>
      <c r="J361" t="str">
        <f>IF(H361="","",$P$6-'Script Table'!$E$15-'Script Table'!$E$19+H361)</f>
        <v/>
      </c>
      <c r="K361" s="132">
        <f t="shared" si="18"/>
        <v>805.41899999999919</v>
      </c>
      <c r="L361" s="132">
        <f t="shared" si="19"/>
        <v>361</v>
      </c>
      <c r="M361" s="132">
        <v>805.31899999999916</v>
      </c>
      <c r="N361" s="143">
        <v>179.666530965974</v>
      </c>
    </row>
    <row r="362" spans="2:14">
      <c r="B362" s="130">
        <v>805.61899999999923</v>
      </c>
      <c r="C362">
        <v>23.992496251345145</v>
      </c>
      <c r="D362">
        <v>805.61899999999923</v>
      </c>
      <c r="E362">
        <v>-2204.1625923609349</v>
      </c>
      <c r="F362">
        <v>805.61899999999923</v>
      </c>
      <c r="G362">
        <v>35.691737639065195</v>
      </c>
      <c r="J362" t="str">
        <f>IF(H362="","",$P$6-'Script Table'!$E$15-'Script Table'!$E$19+H362)</f>
        <v/>
      </c>
      <c r="K362" s="132">
        <f t="shared" si="18"/>
        <v>805.61899999999923</v>
      </c>
      <c r="L362" s="132">
        <f t="shared" si="19"/>
        <v>362</v>
      </c>
      <c r="M362" s="132">
        <v>805.51899999999921</v>
      </c>
      <c r="N362" s="143">
        <v>179.66450422896398</v>
      </c>
    </row>
    <row r="363" spans="2:14">
      <c r="B363" s="130">
        <v>805.81899999999928</v>
      </c>
      <c r="C363">
        <v>23.991317889433383</v>
      </c>
      <c r="D363">
        <v>805.81899999999928</v>
      </c>
      <c r="E363">
        <v>-2204.3626039128958</v>
      </c>
      <c r="F363">
        <v>805.81899999999928</v>
      </c>
      <c r="G363">
        <v>35.491726087104325</v>
      </c>
      <c r="J363" t="str">
        <f>IF(H363="","",$P$6-'Script Table'!$E$15-'Script Table'!$E$19+H363)</f>
        <v/>
      </c>
      <c r="K363" s="132">
        <f t="shared" si="18"/>
        <v>805.81899999999928</v>
      </c>
      <c r="L363" s="132">
        <f t="shared" si="19"/>
        <v>363</v>
      </c>
      <c r="M363" s="132">
        <v>805.71899999999926</v>
      </c>
      <c r="N363" s="143">
        <v>179.6624475811515</v>
      </c>
    </row>
    <row r="364" spans="2:14">
      <c r="B364" s="130">
        <v>806.01899999999932</v>
      </c>
      <c r="C364">
        <v>23.990132241307364</v>
      </c>
      <c r="D364">
        <v>806.01899999999932</v>
      </c>
      <c r="E364">
        <v>-2204.5626153391227</v>
      </c>
      <c r="F364">
        <v>806.01899999999932</v>
      </c>
      <c r="G364">
        <v>35.29171466087746</v>
      </c>
      <c r="J364" t="str">
        <f>IF(H364="","",$P$6-'Script Table'!$E$15-'Script Table'!$E$19+H364)</f>
        <v/>
      </c>
      <c r="K364" s="132">
        <f t="shared" si="18"/>
        <v>806.01899999999932</v>
      </c>
      <c r="L364" s="132">
        <f t="shared" si="19"/>
        <v>364</v>
      </c>
      <c r="M364" s="132">
        <v>805.9189999999993</v>
      </c>
      <c r="N364" s="143">
        <v>179.6603602144705</v>
      </c>
    </row>
    <row r="365" spans="2:14">
      <c r="B365" s="130">
        <v>806.21899999999937</v>
      </c>
      <c r="C365">
        <v>23.988939196812595</v>
      </c>
      <c r="D365">
        <v>806.21899999999937</v>
      </c>
      <c r="E365">
        <v>-2204.7626266386919</v>
      </c>
      <c r="F365">
        <v>806.21899999999937</v>
      </c>
      <c r="G365">
        <v>35.091703361308191</v>
      </c>
      <c r="J365" t="str">
        <f>IF(H365="","",$P$6-'Script Table'!$E$15-'Script Table'!$E$19+H365)</f>
        <v/>
      </c>
      <c r="K365" s="132">
        <f t="shared" si="18"/>
        <v>806.21899999999937</v>
      </c>
      <c r="L365" s="132">
        <f t="shared" si="19"/>
        <v>365</v>
      </c>
      <c r="M365" s="132">
        <v>806.11899999999935</v>
      </c>
      <c r="N365" s="143">
        <v>179.65824129045578</v>
      </c>
    </row>
    <row r="366" spans="2:14">
      <c r="B366" s="130">
        <v>806.41899999999941</v>
      </c>
      <c r="C366">
        <v>23.987738642757396</v>
      </c>
      <c r="D366">
        <v>806.41899999999941</v>
      </c>
      <c r="E366">
        <v>-2204.9626378106509</v>
      </c>
      <c r="F366">
        <v>806.41899999999941</v>
      </c>
      <c r="G366">
        <v>34.891692189349214</v>
      </c>
      <c r="J366" t="str">
        <f>IF(H366="","",$P$6-'Script Table'!$E$15-'Script Table'!$E$19+H366)</f>
        <v/>
      </c>
      <c r="K366" s="132">
        <f t="shared" si="18"/>
        <v>806.41899999999941</v>
      </c>
      <c r="L366" s="132">
        <f t="shared" si="19"/>
        <v>366</v>
      </c>
      <c r="M366" s="132">
        <v>806.31899999999939</v>
      </c>
      <c r="N366" s="143">
        <v>179.65608993900651</v>
      </c>
    </row>
    <row r="367" spans="2:14">
      <c r="B367" s="130">
        <v>806.61899999999946</v>
      </c>
      <c r="C367">
        <v>23.986530462797965</v>
      </c>
      <c r="D367">
        <v>806.61899999999946</v>
      </c>
      <c r="E367">
        <v>-2205.1626488540155</v>
      </c>
      <c r="F367">
        <v>806.61899999999946</v>
      </c>
      <c r="G367">
        <v>34.691681145984603</v>
      </c>
      <c r="J367" t="str">
        <f>IF(H367="","",$P$6-'Script Table'!$E$15-'Script Table'!$E$19+H367)</f>
        <v/>
      </c>
      <c r="K367" s="132">
        <f t="shared" si="18"/>
        <v>806.61899999999946</v>
      </c>
      <c r="L367" s="132">
        <f t="shared" si="19"/>
        <v>367</v>
      </c>
      <c r="M367" s="132">
        <v>806.51899999999944</v>
      </c>
      <c r="N367" s="143">
        <v>179.6539052570912</v>
      </c>
    </row>
    <row r="368" spans="2:14">
      <c r="B368" s="130">
        <v>806.81899999999951</v>
      </c>
      <c r="C368">
        <v>23.985314537318843</v>
      </c>
      <c r="D368">
        <v>806.81899999999951</v>
      </c>
      <c r="E368">
        <v>-2205.3626597677667</v>
      </c>
      <c r="F368">
        <v>806.81899999999951</v>
      </c>
      <c r="G368">
        <v>34.491670232233446</v>
      </c>
      <c r="J368" t="str">
        <f>IF(H368="","",$P$6-'Script Table'!$E$15-'Script Table'!$E$19+H368)</f>
        <v/>
      </c>
      <c r="K368" s="132">
        <f t="shared" si="18"/>
        <v>806.81899999999951</v>
      </c>
      <c r="L368" s="132">
        <f t="shared" si="19"/>
        <v>368</v>
      </c>
      <c r="M368" s="132">
        <v>806.71899999999948</v>
      </c>
      <c r="N368" s="143">
        <v>179.65168630742929</v>
      </c>
    </row>
    <row r="369" spans="2:14">
      <c r="B369" s="130">
        <v>807.01899999999955</v>
      </c>
      <c r="C369">
        <v>23.984090743308407</v>
      </c>
      <c r="D369">
        <v>807.01899999999955</v>
      </c>
      <c r="E369">
        <v>-2205.562670550853</v>
      </c>
      <c r="F369">
        <v>807.01899999999955</v>
      </c>
      <c r="G369">
        <v>34.291659449147119</v>
      </c>
      <c r="J369" t="str">
        <f>IF(H369="","",$P$6-'Script Table'!$E$15-'Script Table'!$E$19+H369)</f>
        <v/>
      </c>
      <c r="K369" s="132">
        <f t="shared" si="18"/>
        <v>807.01899999999955</v>
      </c>
      <c r="L369" s="132">
        <f t="shared" si="19"/>
        <v>369</v>
      </c>
      <c r="M369" s="132">
        <v>806.91899999999953</v>
      </c>
      <c r="N369" s="143">
        <v>179.6494321170793</v>
      </c>
    </row>
    <row r="370" spans="2:14">
      <c r="B370" s="130">
        <v>807.2189999999996</v>
      </c>
      <c r="C370">
        <v>23.982858954229481</v>
      </c>
      <c r="D370">
        <v>807.2189999999996</v>
      </c>
      <c r="E370">
        <v>-2205.7626812021849</v>
      </c>
      <c r="F370">
        <v>807.2189999999996</v>
      </c>
      <c r="G370">
        <v>34.091648797815196</v>
      </c>
      <c r="J370" t="str">
        <f>IF(H370="","",$P$6-'Script Table'!$E$15-'Script Table'!$E$19+H370)</f>
        <v/>
      </c>
      <c r="K370" s="132">
        <f t="shared" si="18"/>
        <v>807.2189999999996</v>
      </c>
      <c r="L370" s="132">
        <f t="shared" si="19"/>
        <v>370</v>
      </c>
      <c r="M370" s="132">
        <v>807.11899999999957</v>
      </c>
      <c r="N370" s="143">
        <v>179.64714167602145</v>
      </c>
    </row>
    <row r="371" spans="2:14">
      <c r="B371" s="130">
        <v>807.41899999999964</v>
      </c>
      <c r="C371">
        <v>23.981619039884599</v>
      </c>
      <c r="D371">
        <v>807.41899999999964</v>
      </c>
      <c r="E371">
        <v>-2205.962691720636</v>
      </c>
      <c r="F371">
        <v>807.41899999999964</v>
      </c>
      <c r="G371">
        <v>33.891638279364088</v>
      </c>
      <c r="J371" t="str">
        <f>IF(H371="","",$P$6-'Script Table'!$E$15-'Script Table'!$E$19+H371)</f>
        <v/>
      </c>
      <c r="K371" s="132">
        <f t="shared" si="18"/>
        <v>807.41899999999964</v>
      </c>
      <c r="L371" s="132">
        <f t="shared" si="19"/>
        <v>371</v>
      </c>
      <c r="M371" s="132">
        <v>807.31899999999962</v>
      </c>
      <c r="N371" s="143">
        <v>179.64481393564157</v>
      </c>
    </row>
    <row r="372" spans="2:14">
      <c r="B372" s="130">
        <v>807.61899999999969</v>
      </c>
      <c r="C372">
        <v>23.980370866275951</v>
      </c>
      <c r="D372">
        <v>807.61899999999969</v>
      </c>
      <c r="E372">
        <v>-2206.1627021050399</v>
      </c>
      <c r="F372">
        <v>807.61899999999969</v>
      </c>
      <c r="G372">
        <v>33.69162789496022</v>
      </c>
      <c r="J372" t="str">
        <f>IF(H372="","",$P$6-'Script Table'!$E$15-'Script Table'!$E$19+H372)</f>
        <v/>
      </c>
      <c r="K372" s="132">
        <f t="shared" si="18"/>
        <v>807.61899999999969</v>
      </c>
      <c r="L372" s="132">
        <f t="shared" si="19"/>
        <v>372</v>
      </c>
      <c r="M372" s="132">
        <v>807.51899999999966</v>
      </c>
      <c r="N372" s="143">
        <v>179.64244780719963</v>
      </c>
    </row>
    <row r="373" spans="2:14">
      <c r="B373" s="130">
        <v>807.81899999999973</v>
      </c>
      <c r="C373">
        <v>23.979114295459659</v>
      </c>
      <c r="D373">
        <v>807.81899999999973</v>
      </c>
      <c r="E373">
        <v>-2206.3627123541883</v>
      </c>
      <c r="F373">
        <v>807.81899999999973</v>
      </c>
      <c r="G373">
        <v>33.491617645811857</v>
      </c>
      <c r="J373" t="str">
        <f>IF(H373="","",$P$6-'Script Table'!$E$15-'Script Table'!$E$19+H373)</f>
        <v/>
      </c>
      <c r="K373" s="132">
        <f t="shared" si="18"/>
        <v>807.81899999999973</v>
      </c>
      <c r="L373" s="132">
        <f t="shared" si="19"/>
        <v>373</v>
      </c>
      <c r="M373" s="132">
        <v>807.71899999999971</v>
      </c>
      <c r="N373" s="143">
        <v>179.64004216020575</v>
      </c>
    </row>
    <row r="374" spans="2:14">
      <c r="B374" s="130">
        <v>808.01899999999978</v>
      </c>
      <c r="C374">
        <v>23.977849185394195</v>
      </c>
      <c r="D374">
        <v>808.01899999999978</v>
      </c>
      <c r="E374">
        <v>-2206.5627224668315</v>
      </c>
      <c r="F374">
        <v>808.01899999999978</v>
      </c>
      <c r="G374">
        <v>33.291607533168644</v>
      </c>
      <c r="J374" t="str">
        <f>IF(H374="","",$P$6-'Script Table'!$E$15-'Script Table'!$E$19+H374)</f>
        <v/>
      </c>
      <c r="K374" s="132">
        <f t="shared" si="18"/>
        <v>808.01899999999978</v>
      </c>
      <c r="L374" s="132">
        <f t="shared" si="19"/>
        <v>374</v>
      </c>
      <c r="M374" s="132">
        <v>807.91899999999976</v>
      </c>
      <c r="N374" s="143">
        <v>179.63759582074795</v>
      </c>
    </row>
    <row r="375" spans="2:14">
      <c r="B375" s="130">
        <v>808.21899999999982</v>
      </c>
      <c r="C375">
        <v>23.976575389782866</v>
      </c>
      <c r="D375">
        <v>808.21899999999982</v>
      </c>
      <c r="E375">
        <v>-2206.7627324416717</v>
      </c>
      <c r="F375">
        <v>808.21899999999982</v>
      </c>
      <c r="G375">
        <v>33.091597558328431</v>
      </c>
      <c r="J375" t="str">
        <f>IF(H375="","",$P$6-'Script Table'!$E$15-'Script Table'!$E$19+H375)</f>
        <v/>
      </c>
      <c r="K375" s="132">
        <f t="shared" si="18"/>
        <v>808.21899999999982</v>
      </c>
      <c r="L375" s="132">
        <f t="shared" si="19"/>
        <v>375</v>
      </c>
      <c r="M375" s="132">
        <v>808.1189999999998</v>
      </c>
      <c r="N375" s="143">
        <v>179.63510756977956</v>
      </c>
    </row>
    <row r="376" spans="2:14">
      <c r="B376" s="130">
        <v>808.41899999999987</v>
      </c>
      <c r="C376">
        <v>23.975292757909916</v>
      </c>
      <c r="D376">
        <v>808.41899999999987</v>
      </c>
      <c r="E376">
        <v>-2206.9627422773665</v>
      </c>
      <c r="F376">
        <v>808.41899999999987</v>
      </c>
      <c r="G376">
        <v>32.891587722633631</v>
      </c>
      <c r="J376" t="str">
        <f>IF(H376="","",$P$6-'Script Table'!$E$15-'Script Table'!$E$19+H376)</f>
        <v/>
      </c>
      <c r="K376" s="132">
        <f t="shared" si="18"/>
        <v>808.41899999999987</v>
      </c>
      <c r="L376" s="132">
        <f t="shared" si="19"/>
        <v>376</v>
      </c>
      <c r="M376" s="132">
        <v>808.31899999999985</v>
      </c>
      <c r="N376" s="143">
        <v>179.63257614130794</v>
      </c>
    </row>
    <row r="377" spans="2:14">
      <c r="B377" s="130">
        <v>808.61899999999991</v>
      </c>
      <c r="C377">
        <v>23.974001134470271</v>
      </c>
      <c r="D377">
        <v>808.61899999999991</v>
      </c>
      <c r="E377">
        <v>-2207.1627519725221</v>
      </c>
      <c r="F377">
        <v>808.61899999999991</v>
      </c>
      <c r="G377">
        <v>32.691578027478045</v>
      </c>
      <c r="J377" t="str">
        <f>IF(H377="","",$P$6-'Script Table'!$E$15-'Script Table'!$E$19+H377)</f>
        <v/>
      </c>
      <c r="K377" s="132">
        <f t="shared" si="18"/>
        <v>808.61899999999991</v>
      </c>
      <c r="L377" s="132">
        <f t="shared" si="19"/>
        <v>377</v>
      </c>
      <c r="M377" s="132">
        <v>808.51899999999989</v>
      </c>
      <c r="N377" s="143">
        <v>179.63000022055598</v>
      </c>
    </row>
    <row r="378" spans="2:14">
      <c r="B378" s="130">
        <v>808.81899999999996</v>
      </c>
      <c r="C378">
        <v>23.972700359392416</v>
      </c>
      <c r="D378">
        <v>808.81899999999996</v>
      </c>
      <c r="E378">
        <v>-2207.3627615256933</v>
      </c>
      <c r="F378">
        <v>808.81899999999996</v>
      </c>
      <c r="G378">
        <v>32.49156847430686</v>
      </c>
      <c r="J378" t="str">
        <f>IF(H378="","",$P$6-'Script Table'!$E$15-'Script Table'!$E$19+H378)</f>
        <v/>
      </c>
      <c r="K378" s="132">
        <f t="shared" si="18"/>
        <v>808.81899999999996</v>
      </c>
      <c r="L378" s="132">
        <f t="shared" si="19"/>
        <v>378</v>
      </c>
      <c r="M378" s="132">
        <v>808.71899999999994</v>
      </c>
      <c r="N378" s="143">
        <v>179.62737844200606</v>
      </c>
    </row>
    <row r="379" spans="2:14">
      <c r="B379" s="130">
        <v>809.01900000000001</v>
      </c>
      <c r="C379">
        <v>23.971390267654485</v>
      </c>
      <c r="D379">
        <v>809.01900000000001</v>
      </c>
      <c r="E379">
        <v>-2207.5627709353803</v>
      </c>
      <c r="F379">
        <v>809.01900000000001</v>
      </c>
      <c r="G379">
        <v>32.291559064619832</v>
      </c>
      <c r="J379" t="str">
        <f>IF(H379="","",$P$6-'Script Table'!$E$15-'Script Table'!$E$19+H379)</f>
        <v/>
      </c>
      <c r="K379" s="132">
        <f t="shared" si="18"/>
        <v>809.01900000000001</v>
      </c>
      <c r="L379" s="132">
        <f t="shared" si="19"/>
        <v>379</v>
      </c>
      <c r="M379" s="132">
        <v>808.91899999999998</v>
      </c>
      <c r="N379" s="143">
        <v>179.62470938745025</v>
      </c>
    </row>
    <row r="380" spans="2:14">
      <c r="B380" s="130">
        <v>809.21900000000005</v>
      </c>
      <c r="C380">
        <v>23.970070689093074</v>
      </c>
      <c r="D380">
        <v>809.21900000000005</v>
      </c>
      <c r="E380">
        <v>-2207.7627802000266</v>
      </c>
      <c r="F380">
        <v>809.21900000000005</v>
      </c>
      <c r="G380">
        <v>32.091549799973563</v>
      </c>
      <c r="J380" t="str">
        <f>IF(H380="","",$P$6-'Script Table'!$E$15-'Script Table'!$E$19+H380)</f>
        <v/>
      </c>
      <c r="K380" s="132">
        <f t="shared" si="18"/>
        <v>809.21900000000005</v>
      </c>
      <c r="L380" s="132">
        <f t="shared" si="19"/>
        <v>380</v>
      </c>
      <c r="M380" s="132">
        <v>809.11900000000003</v>
      </c>
      <c r="N380" s="143">
        <v>179.62199158390763</v>
      </c>
    </row>
    <row r="381" spans="2:14">
      <c r="B381" s="130">
        <v>809.4190000000001</v>
      </c>
      <c r="C381">
        <v>23.968741448204604</v>
      </c>
      <c r="D381">
        <v>809.4190000000001</v>
      </c>
      <c r="E381">
        <v>-2207.9627893180154</v>
      </c>
      <c r="F381">
        <v>809.4190000000001</v>
      </c>
      <c r="G381">
        <v>31.891540681984679</v>
      </c>
      <c r="J381" t="str">
        <f>IF(H381="","",$P$6-'Script Table'!$E$15-'Script Table'!$E$19+H381)</f>
        <v/>
      </c>
      <c r="K381" s="132">
        <f t="shared" si="18"/>
        <v>809.4190000000001</v>
      </c>
      <c r="L381" s="132">
        <f t="shared" si="19"/>
        <v>381</v>
      </c>
      <c r="M381" s="132">
        <v>809.31900000000007</v>
      </c>
      <c r="N381" s="143">
        <v>179.6192235014874</v>
      </c>
    </row>
    <row r="382" spans="2:14">
      <c r="B382" s="130">
        <v>809.61900000000014</v>
      </c>
      <c r="C382">
        <v>23.967402363939037</v>
      </c>
      <c r="D382">
        <v>809.61900000000014</v>
      </c>
      <c r="E382">
        <v>-2208.1627982876689</v>
      </c>
      <c r="F382">
        <v>809.61900000000014</v>
      </c>
      <c r="G382">
        <v>31.691531712331198</v>
      </c>
      <c r="J382" t="str">
        <f>IF(H382="","",$P$6-'Script Table'!$E$15-'Script Table'!$E$19+H382)</f>
        <v/>
      </c>
      <c r="K382" s="132">
        <f t="shared" si="18"/>
        <v>809.61900000000014</v>
      </c>
      <c r="L382" s="132">
        <f t="shared" si="19"/>
        <v>382</v>
      </c>
      <c r="M382" s="132">
        <v>809.51900000000012</v>
      </c>
      <c r="N382" s="143">
        <v>179.61640355120292</v>
      </c>
    </row>
    <row r="383" spans="2:14">
      <c r="B383" s="130">
        <v>809.81900000000019</v>
      </c>
      <c r="C383">
        <v>23.966053249485647</v>
      </c>
      <c r="D383">
        <v>809.81900000000019</v>
      </c>
      <c r="E383">
        <v>-2208.3628071072417</v>
      </c>
      <c r="F383">
        <v>809.81900000000019</v>
      </c>
      <c r="G383">
        <v>31.491522892758439</v>
      </c>
      <c r="J383" t="str">
        <f>IF(H383="","",$P$6-'Script Table'!$E$15-'Script Table'!$E$19+H383)</f>
        <v/>
      </c>
      <c r="K383" s="132">
        <f t="shared" si="18"/>
        <v>809.81900000000019</v>
      </c>
      <c r="L383" s="132">
        <f t="shared" si="19"/>
        <v>383</v>
      </c>
      <c r="M383" s="132">
        <v>809.71900000000016</v>
      </c>
      <c r="N383" s="143">
        <v>179.61353008268546</v>
      </c>
    </row>
    <row r="384" spans="2:14">
      <c r="B384" s="130">
        <v>810.01900000000023</v>
      </c>
      <c r="C384">
        <v>23.964693912050514</v>
      </c>
      <c r="D384">
        <v>810.01900000000023</v>
      </c>
      <c r="E384">
        <v>-2208.5628157749211</v>
      </c>
      <c r="F384">
        <v>810.01900000000023</v>
      </c>
      <c r="G384">
        <v>31.291514225079027</v>
      </c>
      <c r="J384" t="str">
        <f>IF(H384="","",$P$6-'Script Table'!$E$15-'Script Table'!$E$19+H384)</f>
        <v/>
      </c>
      <c r="K384" s="132">
        <f t="shared" si="18"/>
        <v>810.01900000000023</v>
      </c>
      <c r="L384" s="132">
        <f t="shared" si="19"/>
        <v>384</v>
      </c>
      <c r="M384" s="132">
        <v>809.91900000000021</v>
      </c>
      <c r="N384" s="143">
        <v>179.610601381826</v>
      </c>
    </row>
    <row r="385" spans="2:14">
      <c r="B385" s="130">
        <v>810.21900000000028</v>
      </c>
      <c r="C385">
        <v>23.963324152625642</v>
      </c>
      <c r="D385">
        <v>810.21900000000028</v>
      </c>
      <c r="E385">
        <v>-2208.7628242888209</v>
      </c>
      <c r="F385">
        <v>810.21900000000028</v>
      </c>
      <c r="G385">
        <v>31.091505711179252</v>
      </c>
      <c r="J385" t="str">
        <f>IF(H385="","",$P$6-'Script Table'!$E$15-'Script Table'!$E$19+H385)</f>
        <v/>
      </c>
      <c r="K385" s="132">
        <f t="shared" si="18"/>
        <v>810.21900000000028</v>
      </c>
      <c r="L385" s="132">
        <f t="shared" si="19"/>
        <v>385</v>
      </c>
      <c r="M385" s="132">
        <v>810.11900000000026</v>
      </c>
      <c r="N385" s="143">
        <v>179.60761566836206</v>
      </c>
    </row>
    <row r="386" spans="2:14">
      <c r="B386" s="130">
        <v>810.41900000000032</v>
      </c>
      <c r="C386">
        <v>23.961943765749233</v>
      </c>
      <c r="D386">
        <v>810.41900000000032</v>
      </c>
      <c r="E386">
        <v>-2208.962832646981</v>
      </c>
      <c r="F386">
        <v>810.41900000000032</v>
      </c>
      <c r="G386">
        <v>30.891497353019076</v>
      </c>
      <c r="J386" t="str">
        <f>IF(H386="","",$P$6-'Script Table'!$E$15-'Script Table'!$E$19+H386)</f>
        <v/>
      </c>
      <c r="K386" s="132">
        <f t="shared" si="18"/>
        <v>810.41900000000032</v>
      </c>
      <c r="L386" s="132">
        <f t="shared" si="19"/>
        <v>386</v>
      </c>
      <c r="M386" s="132">
        <v>810.3190000000003</v>
      </c>
      <c r="N386" s="143">
        <v>179.6045710933569</v>
      </c>
    </row>
    <row r="387" spans="2:14">
      <c r="B387" s="130">
        <v>810.61900000000037</v>
      </c>
      <c r="C387">
        <v>23.960552539256952</v>
      </c>
      <c r="D387">
        <v>810.61900000000037</v>
      </c>
      <c r="E387">
        <v>-2209.1628408473603</v>
      </c>
      <c r="F387">
        <v>810.61900000000037</v>
      </c>
      <c r="G387">
        <v>30.691489152639861</v>
      </c>
      <c r="J387" t="str">
        <f>IF(H387="","",$P$6-'Script Table'!$E$15-'Script Table'!$E$19+H387)</f>
        <v/>
      </c>
      <c r="K387" s="132">
        <f t="shared" si="18"/>
        <v>810.61900000000037</v>
      </c>
      <c r="L387" s="132">
        <f t="shared" si="19"/>
        <v>387</v>
      </c>
      <c r="M387" s="132">
        <v>810.51900000000035</v>
      </c>
      <c r="N387" s="143">
        <v>179.60146573660415</v>
      </c>
    </row>
    <row r="388" spans="2:14">
      <c r="B388" s="130">
        <v>810.81900000000041</v>
      </c>
      <c r="C388">
        <v>23.959150254023935</v>
      </c>
      <c r="D388">
        <v>810.81900000000041</v>
      </c>
      <c r="E388">
        <v>-2209.3628488878353</v>
      </c>
      <c r="F388">
        <v>810.81900000000041</v>
      </c>
      <c r="G388">
        <v>30.49148111216482</v>
      </c>
      <c r="J388" t="str">
        <f>IF(H388="","",$P$6-'Script Table'!$E$15-'Script Table'!$E$19+H388)</f>
        <v/>
      </c>
      <c r="K388" s="132">
        <f t="shared" ref="K388:K451" si="20">F388</f>
        <v>810.81900000000041</v>
      </c>
      <c r="L388" s="132">
        <f t="shared" si="19"/>
        <v>388</v>
      </c>
      <c r="M388" s="132">
        <v>810.71900000000039</v>
      </c>
      <c r="N388" s="143">
        <v>179.59829760398895</v>
      </c>
    </row>
    <row r="389" spans="2:14">
      <c r="B389" s="130">
        <v>811.01900000000046</v>
      </c>
      <c r="C389">
        <v>23.957736683697082</v>
      </c>
      <c r="D389">
        <v>811.01900000000046</v>
      </c>
      <c r="E389">
        <v>-2209.5628567661952</v>
      </c>
      <c r="F389">
        <v>811.01900000000046</v>
      </c>
      <c r="G389">
        <v>30.291473233804936</v>
      </c>
      <c r="J389" t="str">
        <f>IF(H389="","",$P$6-'Script Table'!$E$15-'Script Table'!$E$19+H389)</f>
        <v/>
      </c>
      <c r="K389" s="132">
        <f t="shared" si="20"/>
        <v>811.01900000000046</v>
      </c>
      <c r="L389" s="132">
        <f t="shared" si="19"/>
        <v>389</v>
      </c>
      <c r="M389" s="132">
        <v>810.91900000000044</v>
      </c>
      <c r="N389" s="143">
        <v>179.59506462469446</v>
      </c>
    </row>
    <row r="390" spans="2:14">
      <c r="B390" s="130">
        <v>811.21900000000051</v>
      </c>
      <c r="C390">
        <v>23.956311594417571</v>
      </c>
      <c r="D390">
        <v>811.21900000000051</v>
      </c>
      <c r="E390">
        <v>-2209.7628644801366</v>
      </c>
      <c r="F390">
        <v>811.21900000000051</v>
      </c>
      <c r="G390">
        <v>30.091465519863505</v>
      </c>
      <c r="J390" t="str">
        <f>IF(H390="","",$P$6-'Script Table'!$E$15-'Script Table'!$E$19+H390)</f>
        <v/>
      </c>
      <c r="K390" s="132">
        <f t="shared" si="20"/>
        <v>811.21900000000051</v>
      </c>
      <c r="L390" s="132">
        <f t="shared" ref="L390:L453" si="21">L389+1</f>
        <v>390</v>
      </c>
      <c r="M390" s="132">
        <v>811.11900000000048</v>
      </c>
      <c r="N390" s="143">
        <v>179.59176464840456</v>
      </c>
    </row>
    <row r="391" spans="2:14">
      <c r="B391" s="130">
        <v>811.41900000000055</v>
      </c>
      <c r="C391">
        <v>23.954874744533093</v>
      </c>
      <c r="D391">
        <v>811.41900000000055</v>
      </c>
      <c r="E391">
        <v>-2209.9628720272599</v>
      </c>
      <c r="F391">
        <v>811.41900000000055</v>
      </c>
      <c r="G391">
        <v>29.891457972740227</v>
      </c>
      <c r="J391" t="str">
        <f>IF(H391="","",$P$6-'Script Table'!$E$15-'Script Table'!$E$19+H391)</f>
        <v/>
      </c>
      <c r="K391" s="132">
        <f t="shared" si="20"/>
        <v>811.41900000000055</v>
      </c>
      <c r="L391" s="132">
        <f t="shared" si="21"/>
        <v>391</v>
      </c>
      <c r="M391" s="132">
        <v>811.31900000000053</v>
      </c>
      <c r="N391" s="143">
        <v>179.58839544235727</v>
      </c>
    </row>
    <row r="392" spans="2:14">
      <c r="B392" s="130">
        <v>811.6190000000006</v>
      </c>
      <c r="C392">
        <v>23.953425884299651</v>
      </c>
      <c r="D392">
        <v>811.6190000000006</v>
      </c>
      <c r="E392">
        <v>-2210.1628794050644</v>
      </c>
      <c r="F392">
        <v>811.6190000000006</v>
      </c>
      <c r="G392">
        <v>29.691450594935759</v>
      </c>
      <c r="J392" t="str">
        <f>IF(H392="","",$P$6-'Script Table'!$E$15-'Script Table'!$E$19+H392)</f>
        <v/>
      </c>
      <c r="K392" s="132">
        <f t="shared" si="20"/>
        <v>811.6190000000006</v>
      </c>
      <c r="L392" s="132">
        <f t="shared" si="21"/>
        <v>392</v>
      </c>
      <c r="M392" s="132">
        <v>811.51900000000057</v>
      </c>
      <c r="N392" s="143">
        <v>179.58495468835568</v>
      </c>
    </row>
    <row r="393" spans="2:14">
      <c r="B393" s="130">
        <v>811.81900000000064</v>
      </c>
      <c r="C393">
        <v>23.951964755572511</v>
      </c>
      <c r="D393">
        <v>811.81900000000064</v>
      </c>
      <c r="E393">
        <v>-2210.3628866109443</v>
      </c>
      <c r="F393">
        <v>811.81900000000064</v>
      </c>
      <c r="G393">
        <v>29.491443389055803</v>
      </c>
      <c r="J393" t="str">
        <f>IF(H393="","",$P$6-'Script Table'!$E$15-'Script Table'!$E$19+H393)</f>
        <v/>
      </c>
      <c r="K393" s="132">
        <f t="shared" si="20"/>
        <v>811.81900000000064</v>
      </c>
      <c r="L393" s="132">
        <f t="shared" si="21"/>
        <v>393</v>
      </c>
      <c r="M393" s="132">
        <v>811.71900000000062</v>
      </c>
      <c r="N393" s="143">
        <v>179.5814399796615</v>
      </c>
    </row>
    <row r="394" spans="2:14">
      <c r="B394" s="130">
        <v>812.01900000000069</v>
      </c>
      <c r="C394">
        <v>23.9504910914861</v>
      </c>
      <c r="D394">
        <v>812.01900000000069</v>
      </c>
      <c r="E394">
        <v>-2210.5628936421795</v>
      </c>
      <c r="F394">
        <v>812.01900000000069</v>
      </c>
      <c r="G394">
        <v>29.291436357820658</v>
      </c>
      <c r="J394" t="str">
        <f>IF(H394="","",$P$6-'Script Table'!$E$15-'Script Table'!$E$19+H394)</f>
        <v/>
      </c>
      <c r="K394" s="132">
        <f t="shared" si="20"/>
        <v>812.01900000000069</v>
      </c>
      <c r="L394" s="132">
        <f t="shared" si="21"/>
        <v>394</v>
      </c>
      <c r="M394" s="132">
        <v>811.91900000000066</v>
      </c>
      <c r="N394" s="143">
        <v>179.57784881781629</v>
      </c>
    </row>
    <row r="395" spans="2:14">
      <c r="B395" s="130">
        <v>812.21900000000073</v>
      </c>
      <c r="C395">
        <v>23.949004616122455</v>
      </c>
      <c r="D395">
        <v>812.21900000000073</v>
      </c>
      <c r="E395">
        <v>-2210.7629004959349</v>
      </c>
      <c r="F395">
        <v>812.21900000000073</v>
      </c>
      <c r="G395">
        <v>29.091429504065218</v>
      </c>
      <c r="J395" t="str">
        <f>IF(H395="","",$P$6-'Script Table'!$E$15-'Script Table'!$E$19+H395)</f>
        <v/>
      </c>
      <c r="K395" s="132">
        <f t="shared" si="20"/>
        <v>812.21900000000073</v>
      </c>
      <c r="L395" s="132">
        <f t="shared" si="21"/>
        <v>395</v>
      </c>
      <c r="M395" s="132">
        <v>812.11900000000071</v>
      </c>
      <c r="N395" s="143">
        <v>179.57417860938213</v>
      </c>
    </row>
    <row r="396" spans="2:14">
      <c r="B396" s="130">
        <v>812.41900000000078</v>
      </c>
      <c r="C396">
        <v>23.947505044167979</v>
      </c>
      <c r="D396">
        <v>812.41900000000078</v>
      </c>
      <c r="E396">
        <v>-2210.9629071692498</v>
      </c>
      <c r="F396">
        <v>812.41900000000078</v>
      </c>
      <c r="G396">
        <v>28.891422830750344</v>
      </c>
      <c r="J396" t="str">
        <f>IF(H396="","",$P$6-'Script Table'!$E$15-'Script Table'!$E$19+H396)</f>
        <v/>
      </c>
      <c r="K396" s="132">
        <f t="shared" si="20"/>
        <v>812.41900000000078</v>
      </c>
      <c r="L396" s="132">
        <f t="shared" si="21"/>
        <v>396</v>
      </c>
      <c r="M396" s="132">
        <v>812.31900000000076</v>
      </c>
      <c r="N396" s="143">
        <v>179.57042666256706</v>
      </c>
    </row>
    <row r="397" spans="2:14">
      <c r="B397" s="130">
        <v>812.61900000000082</v>
      </c>
      <c r="C397">
        <v>23.945992080558106</v>
      </c>
      <c r="D397">
        <v>812.61900000000082</v>
      </c>
      <c r="E397">
        <v>-2211.162913659035</v>
      </c>
      <c r="F397">
        <v>812.61900000000082</v>
      </c>
      <c r="G397">
        <v>28.691416340965134</v>
      </c>
      <c r="J397" t="str">
        <f>IF(H397="","",$P$6-'Script Table'!$E$15-'Script Table'!$E$19+H397)</f>
        <v/>
      </c>
      <c r="K397" s="132">
        <f t="shared" si="20"/>
        <v>812.61900000000082</v>
      </c>
      <c r="L397" s="132">
        <f t="shared" si="21"/>
        <v>397</v>
      </c>
      <c r="M397" s="132">
        <v>812.5190000000008</v>
      </c>
      <c r="N397" s="143">
        <v>179.56659018378068</v>
      </c>
    </row>
    <row r="398" spans="2:14">
      <c r="B398" s="130">
        <v>812.81900000000087</v>
      </c>
      <c r="C398">
        <v>23.944465420109697</v>
      </c>
      <c r="D398">
        <v>812.81900000000087</v>
      </c>
      <c r="E398">
        <v>-2211.3629199620646</v>
      </c>
      <c r="F398">
        <v>812.81900000000087</v>
      </c>
      <c r="G398">
        <v>28.491410037935566</v>
      </c>
      <c r="J398" t="str">
        <f>IF(H398="","",$P$6-'Script Table'!$E$15-'Script Table'!$E$19+H398)</f>
        <v/>
      </c>
      <c r="K398" s="132">
        <f t="shared" si="20"/>
        <v>812.81900000000087</v>
      </c>
      <c r="L398" s="132">
        <f t="shared" si="21"/>
        <v>398</v>
      </c>
      <c r="M398" s="132">
        <v>812.71900000000085</v>
      </c>
      <c r="N398" s="143">
        <v>179.56266627410605</v>
      </c>
    </row>
    <row r="399" spans="2:14">
      <c r="B399" s="130">
        <v>813.01900000000091</v>
      </c>
      <c r="C399">
        <v>23.942924747140669</v>
      </c>
      <c r="D399">
        <v>813.01900000000091</v>
      </c>
      <c r="E399">
        <v>-2211.5629260749693</v>
      </c>
      <c r="F399">
        <v>813.01900000000091</v>
      </c>
      <c r="G399">
        <v>28.291403925030863</v>
      </c>
      <c r="J399" t="str">
        <f>IF(H399="","",$P$6-'Script Table'!$E$15-'Script Table'!$E$19+H399)</f>
        <v/>
      </c>
      <c r="K399" s="132">
        <f t="shared" si="20"/>
        <v>813.01900000000091</v>
      </c>
      <c r="L399" s="132">
        <f t="shared" si="21"/>
        <v>399</v>
      </c>
      <c r="M399" s="132">
        <v>812.91900000000089</v>
      </c>
      <c r="N399" s="143">
        <v>179.55865192564667</v>
      </c>
    </row>
    <row r="400" spans="2:14">
      <c r="B400" s="130">
        <v>813.21900000000096</v>
      </c>
      <c r="C400">
        <v>23.941369735076723</v>
      </c>
      <c r="D400">
        <v>813.21900000000096</v>
      </c>
      <c r="E400">
        <v>-2211.7629319942284</v>
      </c>
      <c r="F400">
        <v>813.21900000000096</v>
      </c>
      <c r="G400">
        <v>28.09139800577168</v>
      </c>
      <c r="J400" t="str">
        <f>IF(H400="","",$P$6-'Script Table'!$E$15-'Script Table'!$E$19+H400)</f>
        <v/>
      </c>
      <c r="K400" s="132">
        <f t="shared" si="20"/>
        <v>813.21900000000096</v>
      </c>
      <c r="L400" s="132">
        <f t="shared" si="21"/>
        <v>400</v>
      </c>
      <c r="M400" s="132">
        <v>813.11900000000094</v>
      </c>
      <c r="N400" s="143">
        <v>179.55454401782669</v>
      </c>
    </row>
    <row r="401" spans="2:14">
      <c r="B401" s="130">
        <v>813.41900000000101</v>
      </c>
      <c r="C401">
        <v>23.939800046044727</v>
      </c>
      <c r="D401">
        <v>813.41900000000101</v>
      </c>
      <c r="E401">
        <v>-2211.9629377161618</v>
      </c>
      <c r="F401">
        <v>813.41900000000101</v>
      </c>
      <c r="G401">
        <v>27.891392283838286</v>
      </c>
      <c r="J401" t="str">
        <f>IF(H401="","",$P$6-'Script Table'!$E$15-'Script Table'!$E$19+H401)</f>
        <v/>
      </c>
      <c r="K401" s="132">
        <f t="shared" si="20"/>
        <v>813.41900000000101</v>
      </c>
      <c r="L401" s="132">
        <f t="shared" si="21"/>
        <v>401</v>
      </c>
      <c r="M401" s="132">
        <v>813.31900000000098</v>
      </c>
      <c r="N401" s="143">
        <v>179.55033931356672</v>
      </c>
    </row>
    <row r="402" spans="2:14">
      <c r="B402" s="130">
        <v>813.61900000000105</v>
      </c>
      <c r="C402">
        <v>23.9382153304525</v>
      </c>
      <c r="D402">
        <v>813.61900000000105</v>
      </c>
      <c r="E402">
        <v>-2212.1629432369227</v>
      </c>
      <c r="F402">
        <v>813.61900000000105</v>
      </c>
      <c r="G402">
        <v>27.691386763077389</v>
      </c>
      <c r="J402" t="str">
        <f>IF(H402="","",$P$6-'Script Table'!$E$15-'Script Table'!$E$19+H402)</f>
        <v/>
      </c>
      <c r="K402" s="132">
        <f t="shared" si="20"/>
        <v>813.61900000000105</v>
      </c>
      <c r="L402" s="132">
        <f t="shared" si="21"/>
        <v>402</v>
      </c>
      <c r="M402" s="132">
        <v>813.51900000000103</v>
      </c>
      <c r="N402" s="143">
        <v>179.54603445539195</v>
      </c>
    </row>
    <row r="403" spans="2:14">
      <c r="B403" s="130">
        <v>813.8190000000011</v>
      </c>
      <c r="C403">
        <v>23.936615226554672</v>
      </c>
      <c r="D403">
        <v>813.8190000000011</v>
      </c>
      <c r="E403">
        <v>-2212.3629485524889</v>
      </c>
      <c r="F403">
        <v>813.8190000000011</v>
      </c>
      <c r="G403">
        <v>27.49138144751123</v>
      </c>
      <c r="J403" t="str">
        <f>IF(H403="","",$P$6-'Script Table'!$E$15-'Script Table'!$E$19+H403)</f>
        <v/>
      </c>
      <c r="K403" s="132">
        <f t="shared" si="20"/>
        <v>813.8190000000011</v>
      </c>
      <c r="L403" s="132">
        <f t="shared" si="21"/>
        <v>403</v>
      </c>
      <c r="M403" s="132">
        <v>813.71900000000107</v>
      </c>
      <c r="N403" s="143">
        <v>179.54162596143686</v>
      </c>
    </row>
    <row r="404" spans="2:14">
      <c r="B404" s="130">
        <v>814.01900000000114</v>
      </c>
      <c r="C404">
        <v>23.934999360004284</v>
      </c>
      <c r="D404">
        <v>814.01900000000114</v>
      </c>
      <c r="E404">
        <v>-2212.5629536586516</v>
      </c>
      <c r="F404">
        <v>814.01900000000114</v>
      </c>
      <c r="G404">
        <v>27.291376341348496</v>
      </c>
      <c r="J404" t="str">
        <f>IF(H404="","",$P$6-'Script Table'!$E$15-'Script Table'!$E$19+H404)</f>
        <v/>
      </c>
      <c r="K404" s="132">
        <f t="shared" si="20"/>
        <v>814.01900000000114</v>
      </c>
      <c r="L404" s="132">
        <f t="shared" si="21"/>
        <v>404</v>
      </c>
      <c r="M404" s="132">
        <v>813.91900000000112</v>
      </c>
      <c r="N404" s="143">
        <v>179.53711022135766</v>
      </c>
    </row>
    <row r="405" spans="2:14">
      <c r="B405" s="130">
        <v>814.21900000000119</v>
      </c>
      <c r="C405">
        <v>23.933367343389893</v>
      </c>
      <c r="D405">
        <v>814.21900000000119</v>
      </c>
      <c r="E405">
        <v>-2212.7629585510081</v>
      </c>
      <c r="F405">
        <v>814.21900000000119</v>
      </c>
      <c r="G405">
        <v>27.091371448992049</v>
      </c>
      <c r="J405" t="str">
        <f>IF(H405="","",$P$6-'Script Table'!$E$15-'Script Table'!$E$19+H405)</f>
        <v/>
      </c>
      <c r="K405" s="132">
        <f t="shared" si="20"/>
        <v>814.21900000000119</v>
      </c>
      <c r="L405" s="132">
        <f t="shared" si="21"/>
        <v>405</v>
      </c>
      <c r="M405" s="132">
        <v>814.11900000000117</v>
      </c>
      <c r="N405" s="143">
        <v>179.53248349218356</v>
      </c>
    </row>
    <row r="406" spans="2:14">
      <c r="B406" s="130">
        <v>814.41900000000123</v>
      </c>
      <c r="C406">
        <v>23.931718775757808</v>
      </c>
      <c r="D406">
        <v>814.41900000000123</v>
      </c>
      <c r="E406">
        <v>-2212.9629632249489</v>
      </c>
      <c r="F406">
        <v>814.41900000000123</v>
      </c>
      <c r="G406">
        <v>26.89136677505121</v>
      </c>
      <c r="J406" t="str">
        <f>IF(H406="","",$P$6-'Script Table'!$E$15-'Script Table'!$E$19+H406)</f>
        <v/>
      </c>
      <c r="K406" s="132">
        <f t="shared" si="20"/>
        <v>814.41900000000123</v>
      </c>
      <c r="L406" s="132">
        <f t="shared" si="21"/>
        <v>406</v>
      </c>
      <c r="M406" s="132">
        <v>814.31900000000121</v>
      </c>
      <c r="N406" s="143">
        <v>179.5277418940484</v>
      </c>
    </row>
    <row r="407" spans="2:14">
      <c r="B407" s="130">
        <v>814.61900000000128</v>
      </c>
      <c r="C407">
        <v>23.930053242119172</v>
      </c>
      <c r="D407">
        <v>814.61900000000128</v>
      </c>
      <c r="E407">
        <v>-2213.1629676756493</v>
      </c>
      <c r="F407">
        <v>814.61900000000128</v>
      </c>
      <c r="G407">
        <v>26.691362324350848</v>
      </c>
      <c r="J407" t="str">
        <f>IF(H407="","",$P$6-'Script Table'!$E$15-'Script Table'!$E$19+H407)</f>
        <v/>
      </c>
      <c r="K407" s="132">
        <f t="shared" si="20"/>
        <v>814.61900000000128</v>
      </c>
      <c r="L407" s="132">
        <f t="shared" si="21"/>
        <v>407</v>
      </c>
      <c r="M407" s="132">
        <v>814.51900000000126</v>
      </c>
      <c r="N407" s="143">
        <v>179.52288140585608</v>
      </c>
    </row>
    <row r="408" spans="2:14">
      <c r="B408" s="130">
        <v>814.81900000000132</v>
      </c>
      <c r="C408">
        <v>23.928370312941631</v>
      </c>
      <c r="D408">
        <v>814.81900000000132</v>
      </c>
      <c r="E408">
        <v>-2213.3629718980555</v>
      </c>
      <c r="F408">
        <v>814.81900000000132</v>
      </c>
      <c r="G408">
        <v>26.49135810194457</v>
      </c>
      <c r="J408" t="str">
        <f>IF(H408="","",$P$6-'Script Table'!$E$15-'Script Table'!$E$19+H408)</f>
        <v/>
      </c>
      <c r="K408" s="132">
        <f t="shared" si="20"/>
        <v>814.81900000000132</v>
      </c>
      <c r="L408" s="132">
        <f t="shared" si="21"/>
        <v>408</v>
      </c>
      <c r="M408" s="132">
        <v>814.7190000000013</v>
      </c>
      <c r="N408" s="143">
        <v>179.51789786085521</v>
      </c>
    </row>
    <row r="409" spans="2:14">
      <c r="B409" s="130">
        <v>815.01900000000137</v>
      </c>
      <c r="C409">
        <v>23.926669543625323</v>
      </c>
      <c r="D409">
        <v>815.01900000000137</v>
      </c>
      <c r="E409">
        <v>-2213.5629758868754</v>
      </c>
      <c r="F409">
        <v>815.01900000000137</v>
      </c>
      <c r="G409">
        <v>26.291354113124726</v>
      </c>
      <c r="J409" t="str">
        <f>IF(H409="","",$P$6-'Script Table'!$E$15-'Script Table'!$E$19+H409)</f>
        <v/>
      </c>
      <c r="K409" s="132">
        <f t="shared" si="20"/>
        <v>815.01900000000137</v>
      </c>
      <c r="L409" s="132">
        <f t="shared" si="21"/>
        <v>409</v>
      </c>
      <c r="M409" s="132">
        <v>814.91900000000135</v>
      </c>
      <c r="N409" s="143">
        <v>179.51278694215267</v>
      </c>
    </row>
    <row r="410" spans="2:14">
      <c r="B410" s="130">
        <v>815.21900000000142</v>
      </c>
      <c r="C410">
        <v>23.924950473962834</v>
      </c>
      <c r="D410">
        <v>815.21900000000142</v>
      </c>
      <c r="E410">
        <v>-2213.7629796365609</v>
      </c>
      <c r="F410">
        <v>815.21900000000142</v>
      </c>
      <c r="G410">
        <v>26.091350363439233</v>
      </c>
      <c r="J410" t="str">
        <f>IF(H410="","",$P$6-'Script Table'!$E$15-'Script Table'!$E$19+H410)</f>
        <v/>
      </c>
      <c r="K410" s="132">
        <f t="shared" si="20"/>
        <v>815.21900000000142</v>
      </c>
      <c r="L410" s="132">
        <f t="shared" si="21"/>
        <v>410</v>
      </c>
      <c r="M410" s="132">
        <v>815.11900000000139</v>
      </c>
      <c r="N410" s="143">
        <v>179.50754417810552</v>
      </c>
    </row>
    <row r="411" spans="2:14">
      <c r="B411" s="130">
        <v>815.41900000000146</v>
      </c>
      <c r="C411">
        <v>23.923212627582924</v>
      </c>
      <c r="D411">
        <v>815.41900000000146</v>
      </c>
      <c r="E411">
        <v>-2213.9629831412994</v>
      </c>
      <c r="F411">
        <v>815.41900000000146</v>
      </c>
      <c r="G411">
        <v>25.891346858700672</v>
      </c>
      <c r="J411" t="str">
        <f>IF(H411="","",$P$6-'Script Table'!$E$15-'Script Table'!$E$19+H411)</f>
        <v/>
      </c>
      <c r="K411" s="132">
        <f t="shared" si="20"/>
        <v>815.41900000000146</v>
      </c>
      <c r="L411" s="132">
        <f t="shared" si="21"/>
        <v>411</v>
      </c>
      <c r="M411" s="132">
        <v>815.31900000000144</v>
      </c>
      <c r="N411" s="143">
        <v>179.50216493768767</v>
      </c>
    </row>
    <row r="412" spans="2:14">
      <c r="B412" s="130">
        <v>815.61900000000151</v>
      </c>
      <c r="C412">
        <v>23.921455511377772</v>
      </c>
      <c r="D412">
        <v>815.61900000000151</v>
      </c>
      <c r="E412">
        <v>-2214.1629863949961</v>
      </c>
      <c r="F412">
        <v>815.61900000000151</v>
      </c>
      <c r="G412">
        <v>25.691343605004022</v>
      </c>
      <c r="J412" t="str">
        <f>IF(H412="","",$P$6-'Script Table'!$E$15-'Script Table'!$E$19+H412)</f>
        <v/>
      </c>
      <c r="K412" s="132">
        <f t="shared" si="20"/>
        <v>815.61900000000151</v>
      </c>
      <c r="L412" s="132">
        <f t="shared" si="21"/>
        <v>412</v>
      </c>
      <c r="M412" s="132">
        <v>815.51900000000148</v>
      </c>
      <c r="N412" s="143">
        <v>179.49664442574891</v>
      </c>
    </row>
    <row r="413" spans="2:14">
      <c r="B413" s="130">
        <v>815.81900000000155</v>
      </c>
      <c r="C413">
        <v>23.919678614913487</v>
      </c>
      <c r="D413">
        <v>815.81900000000155</v>
      </c>
      <c r="E413">
        <v>-2214.3629893912598</v>
      </c>
      <c r="F413">
        <v>815.81900000000155</v>
      </c>
      <c r="G413">
        <v>25.491340608740302</v>
      </c>
      <c r="J413" t="str">
        <f>IF(H413="","",$P$6-'Script Table'!$E$15-'Script Table'!$E$19+H413)</f>
        <v/>
      </c>
      <c r="K413" s="132">
        <f t="shared" si="20"/>
        <v>815.81900000000155</v>
      </c>
      <c r="L413" s="132">
        <f t="shared" si="21"/>
        <v>413</v>
      </c>
      <c r="M413" s="132">
        <v>815.71900000000153</v>
      </c>
      <c r="N413" s="143">
        <v>179.49097767822707</v>
      </c>
    </row>
    <row r="414" spans="2:14">
      <c r="B414" s="130">
        <v>816.0190000000016</v>
      </c>
      <c r="C414">
        <v>23.9178814098236</v>
      </c>
      <c r="D414">
        <v>816.0190000000016</v>
      </c>
      <c r="E414">
        <v>-2214.5629921233872</v>
      </c>
      <c r="F414">
        <v>816.0190000000016</v>
      </c>
      <c r="G414">
        <v>25.291337876612943</v>
      </c>
      <c r="J414" t="str">
        <f>IF(H414="","",$P$6-'Script Table'!$E$15-'Script Table'!$E$19+H414)</f>
        <v/>
      </c>
      <c r="K414" s="132">
        <f t="shared" si="20"/>
        <v>816.0190000000016</v>
      </c>
      <c r="L414" s="132">
        <f t="shared" si="21"/>
        <v>414</v>
      </c>
      <c r="M414" s="132">
        <v>815.91900000000157</v>
      </c>
      <c r="N414" s="143">
        <v>179.48515955726856</v>
      </c>
    </row>
    <row r="415" spans="2:14">
      <c r="B415" s="130">
        <v>816.21900000000164</v>
      </c>
      <c r="C415">
        <v>23.916063349185443</v>
      </c>
      <c r="D415">
        <v>816.21900000000164</v>
      </c>
      <c r="E415">
        <v>-2214.7629945843446</v>
      </c>
      <c r="F415">
        <v>816.21900000000164</v>
      </c>
      <c r="G415">
        <v>25.091335415655522</v>
      </c>
      <c r="J415" t="str">
        <f>IF(H415="","",$P$6-'Script Table'!$E$15-'Script Table'!$E$19+H415)</f>
        <v/>
      </c>
      <c r="K415" s="132">
        <f t="shared" si="20"/>
        <v>816.21900000000164</v>
      </c>
      <c r="L415" s="132">
        <f t="shared" si="21"/>
        <v>415</v>
      </c>
      <c r="M415" s="132">
        <v>816.11900000000162</v>
      </c>
      <c r="N415" s="143">
        <v>179.47918474631695</v>
      </c>
    </row>
    <row r="416" spans="2:14">
      <c r="B416" s="130">
        <v>816.41900000000169</v>
      </c>
      <c r="C416">
        <v>23.914223866879137</v>
      </c>
      <c r="D416">
        <v>816.41900000000169</v>
      </c>
      <c r="E416">
        <v>-2214.9629967667506</v>
      </c>
      <c r="F416">
        <v>816.41900000000169</v>
      </c>
      <c r="G416">
        <v>24.891333233249497</v>
      </c>
      <c r="J416" t="str">
        <f>IF(H416="","",$P$6-'Script Table'!$E$15-'Script Table'!$E$19+H416)</f>
        <v/>
      </c>
      <c r="K416" s="132">
        <f t="shared" si="20"/>
        <v>816.41900000000169</v>
      </c>
      <c r="L416" s="132">
        <f t="shared" si="21"/>
        <v>416</v>
      </c>
      <c r="M416" s="132">
        <v>816.31900000000167</v>
      </c>
      <c r="N416" s="143">
        <v>179.47304774513503</v>
      </c>
    </row>
    <row r="417" spans="2:14">
      <c r="B417" s="130">
        <v>816.61900000000173</v>
      </c>
      <c r="C417">
        <v>23.912362376929043</v>
      </c>
      <c r="D417">
        <v>816.61900000000173</v>
      </c>
      <c r="E417">
        <v>-2215.1629986628582</v>
      </c>
      <c r="F417">
        <v>816.61900000000173</v>
      </c>
      <c r="G417">
        <v>24.691331337141946</v>
      </c>
      <c r="J417" t="str">
        <f>IF(H417="","",$P$6-'Script Table'!$E$15-'Script Table'!$E$19+H417)</f>
        <v/>
      </c>
      <c r="K417" s="132">
        <f t="shared" si="20"/>
        <v>816.61900000000173</v>
      </c>
      <c r="L417" s="132">
        <f t="shared" si="21"/>
        <v>417</v>
      </c>
      <c r="M417" s="132">
        <v>816.51900000000171</v>
      </c>
      <c r="N417" s="143">
        <v>179.46674286477392</v>
      </c>
    </row>
    <row r="418" spans="2:14">
      <c r="B418" s="130">
        <v>816.81900000000178</v>
      </c>
      <c r="C418">
        <v>23.9104782728275</v>
      </c>
      <c r="D418">
        <v>816.81900000000178</v>
      </c>
      <c r="E418">
        <v>-2215.3630002645323</v>
      </c>
      <c r="F418">
        <v>816.81900000000178</v>
      </c>
      <c r="G418">
        <v>24.491329735467843</v>
      </c>
      <c r="J418" t="str">
        <f>IF(H418="","",$P$6-'Script Table'!$E$15-'Script Table'!$E$19+H418)</f>
        <v/>
      </c>
      <c r="K418" s="132">
        <f t="shared" si="20"/>
        <v>816.81900000000178</v>
      </c>
      <c r="L418" s="132">
        <f t="shared" si="21"/>
        <v>418</v>
      </c>
      <c r="M418" s="132">
        <v>816.71900000000176</v>
      </c>
      <c r="N418" s="143">
        <v>179.46026422249111</v>
      </c>
    </row>
    <row r="419" spans="2:14">
      <c r="B419" s="130">
        <v>817.01900000000182</v>
      </c>
      <c r="C419">
        <v>23.90857092684076</v>
      </c>
      <c r="D419">
        <v>817.01900000000182</v>
      </c>
      <c r="E419">
        <v>-2215.5630015632296</v>
      </c>
      <c r="F419">
        <v>817.01900000000182</v>
      </c>
      <c r="G419">
        <v>24.291328436770527</v>
      </c>
      <c r="J419" t="str">
        <f>IF(H419="","",$P$6-'Script Table'!$E$15-'Script Table'!$E$19+H419)</f>
        <v/>
      </c>
      <c r="K419" s="132">
        <f t="shared" si="20"/>
        <v>817.01900000000182</v>
      </c>
      <c r="L419" s="132">
        <f t="shared" si="21"/>
        <v>419</v>
      </c>
      <c r="M419" s="132">
        <v>816.9190000000018</v>
      </c>
      <c r="N419" s="143">
        <v>179.45360573664755</v>
      </c>
    </row>
    <row r="420" spans="2:14">
      <c r="B420" s="130">
        <v>817.21900000000187</v>
      </c>
      <c r="C420">
        <v>23.906639689296973</v>
      </c>
      <c r="D420">
        <v>817.21900000000187</v>
      </c>
      <c r="E420">
        <v>-2215.763002549978</v>
      </c>
      <c r="F420">
        <v>817.21900000000187</v>
      </c>
      <c r="G420">
        <v>24.091327450022163</v>
      </c>
      <c r="J420" t="str">
        <f>IF(H420="","",$P$6-'Script Table'!$E$15-'Script Table'!$E$19+H420)</f>
        <v/>
      </c>
      <c r="K420" s="132">
        <f t="shared" si="20"/>
        <v>817.21900000000187</v>
      </c>
      <c r="L420" s="132">
        <f t="shared" si="21"/>
        <v>420</v>
      </c>
      <c r="M420" s="132">
        <v>817.11900000000185</v>
      </c>
      <c r="N420" s="143">
        <v>179.4467611215706</v>
      </c>
    </row>
    <row r="421" spans="2:14">
      <c r="B421" s="130">
        <v>817.41900000000192</v>
      </c>
      <c r="C421">
        <v>23.904683887856162</v>
      </c>
      <c r="D421">
        <v>817.41900000000192</v>
      </c>
      <c r="E421">
        <v>-2215.9630032153473</v>
      </c>
      <c r="F421">
        <v>817.41900000000192</v>
      </c>
      <c r="G421">
        <v>23.891326784652847</v>
      </c>
      <c r="J421" t="str">
        <f>IF(H421="","",$P$6-'Script Table'!$E$15-'Script Table'!$E$19+H421)</f>
        <v/>
      </c>
      <c r="K421" s="132">
        <f t="shared" si="20"/>
        <v>817.41900000000192</v>
      </c>
      <c r="L421" s="132">
        <f t="shared" si="21"/>
        <v>421</v>
      </c>
      <c r="M421" s="132">
        <v>817.31900000000189</v>
      </c>
      <c r="N421" s="143">
        <v>179.43972388236233</v>
      </c>
    </row>
    <row r="422" spans="2:14">
      <c r="B422" s="130">
        <v>817.61900000000196</v>
      </c>
      <c r="C422">
        <v>23.90270282676213</v>
      </c>
      <c r="D422">
        <v>817.61900000000196</v>
      </c>
      <c r="E422">
        <v>-2216.1630035494304</v>
      </c>
      <c r="F422">
        <v>817.61900000000196</v>
      </c>
      <c r="G422">
        <v>23.691326450569704</v>
      </c>
      <c r="J422" t="str">
        <f>IF(H422="","",$P$6-'Script Table'!$E$15-'Script Table'!$E$19+H422)</f>
        <v/>
      </c>
      <c r="K422" s="132">
        <f t="shared" si="20"/>
        <v>817.61900000000196</v>
      </c>
      <c r="L422" s="132">
        <f t="shared" si="21"/>
        <v>422</v>
      </c>
      <c r="M422" s="132">
        <v>817.51900000000194</v>
      </c>
      <c r="N422" s="143">
        <v>179.43248730975455</v>
      </c>
    </row>
    <row r="423" spans="2:14">
      <c r="B423" s="130">
        <v>817.81900000000201</v>
      </c>
      <c r="C423">
        <v>23.900695786076287</v>
      </c>
      <c r="D423">
        <v>817.81900000000201</v>
      </c>
      <c r="E423">
        <v>-2216.3630035418137</v>
      </c>
      <c r="F423">
        <v>817.81900000000201</v>
      </c>
      <c r="G423">
        <v>23.49132645818645</v>
      </c>
      <c r="J423" t="str">
        <f>IF(H423="","",$P$6-'Script Table'!$E$15-'Script Table'!$E$19+H423)</f>
        <v/>
      </c>
      <c r="K423" s="132">
        <f t="shared" si="20"/>
        <v>817.81900000000201</v>
      </c>
      <c r="L423" s="132">
        <f t="shared" si="21"/>
        <v>423</v>
      </c>
      <c r="M423" s="132">
        <v>817.71900000000198</v>
      </c>
      <c r="N423" s="143">
        <v>179.42504447489449</v>
      </c>
    </row>
    <row r="424" spans="2:14">
      <c r="B424" s="130">
        <v>818.01900000000205</v>
      </c>
      <c r="C424">
        <v>23.898662020893326</v>
      </c>
      <c r="D424">
        <v>818.01900000000205</v>
      </c>
      <c r="E424">
        <v>-2216.5630031815481</v>
      </c>
      <c r="F424">
        <v>818.01900000000205</v>
      </c>
      <c r="G424">
        <v>23.291326818452035</v>
      </c>
      <c r="J424" t="str">
        <f>IF(H424="","",$P$6-'Script Table'!$E$15-'Script Table'!$E$19+H424)</f>
        <v/>
      </c>
      <c r="K424" s="132">
        <f t="shared" si="20"/>
        <v>818.01900000000205</v>
      </c>
      <c r="L424" s="132">
        <f t="shared" si="21"/>
        <v>424</v>
      </c>
      <c r="M424" s="132">
        <v>817.91900000000203</v>
      </c>
      <c r="N424" s="143">
        <v>179.41738822414678</v>
      </c>
    </row>
    <row r="425" spans="2:14">
      <c r="B425" s="130">
        <v>818.2190000000021</v>
      </c>
      <c r="C425">
        <v>23.896600760538981</v>
      </c>
      <c r="D425">
        <v>818.2190000000021</v>
      </c>
      <c r="E425">
        <v>-2216.7630024571208</v>
      </c>
      <c r="F425">
        <v>818.2190000000021</v>
      </c>
      <c r="G425">
        <v>23.091327542879299</v>
      </c>
      <c r="J425" t="str">
        <f>IF(H425="","",$P$6-'Script Table'!$E$15-'Script Table'!$E$19+H425)</f>
        <v/>
      </c>
      <c r="K425" s="132">
        <f t="shared" si="20"/>
        <v>818.2190000000021</v>
      </c>
      <c r="L425" s="132">
        <f t="shared" si="21"/>
        <v>425</v>
      </c>
      <c r="M425" s="132">
        <v>818.11900000000207</v>
      </c>
      <c r="N425" s="143">
        <v>179.40951117395707</v>
      </c>
    </row>
    <row r="426" spans="2:14">
      <c r="B426" s="130">
        <v>818.41900000000214</v>
      </c>
      <c r="C426">
        <v>23.894511207749744</v>
      </c>
      <c r="D426">
        <v>818.41900000000214</v>
      </c>
      <c r="E426">
        <v>-2216.9630013564224</v>
      </c>
      <c r="F426">
        <v>818.41900000000214</v>
      </c>
      <c r="G426">
        <v>22.891328643577708</v>
      </c>
      <c r="J426" t="str">
        <f>IF(H426="","",$P$6-'Script Table'!$E$15-'Script Table'!$E$19+H426)</f>
        <v/>
      </c>
      <c r="K426" s="132">
        <f t="shared" si="20"/>
        <v>818.41900000000214</v>
      </c>
      <c r="L426" s="132">
        <f t="shared" si="21"/>
        <v>426</v>
      </c>
      <c r="M426" s="132">
        <v>818.31900000000212</v>
      </c>
      <c r="N426" s="143">
        <v>179.40140570566913</v>
      </c>
    </row>
    <row r="427" spans="2:14">
      <c r="B427" s="130">
        <v>818.61900000000219</v>
      </c>
      <c r="C427">
        <v>23.892392537834748</v>
      </c>
      <c r="D427">
        <v>818.61900000000219</v>
      </c>
      <c r="E427">
        <v>-2217.1629998667163</v>
      </c>
      <c r="F427">
        <v>818.61900000000219</v>
      </c>
      <c r="G427">
        <v>22.691330133283827</v>
      </c>
      <c r="J427" t="str">
        <f>IF(H427="","",$P$6-'Script Table'!$E$15-'Script Table'!$E$19+H427)</f>
        <v/>
      </c>
      <c r="K427" s="132">
        <f t="shared" si="20"/>
        <v>818.61900000000219</v>
      </c>
      <c r="L427" s="132">
        <f t="shared" si="21"/>
        <v>427</v>
      </c>
      <c r="M427" s="132">
        <v>818.51900000000217</v>
      </c>
      <c r="N427" s="143">
        <v>179.39306396041806</v>
      </c>
    </row>
    <row r="428" spans="2:14">
      <c r="B428" s="130">
        <v>818.81900000000223</v>
      </c>
      <c r="C428">
        <v>23.890243897820039</v>
      </c>
      <c r="D428">
        <v>818.81900000000223</v>
      </c>
      <c r="E428">
        <v>-2217.3629979746001</v>
      </c>
      <c r="F428">
        <v>818.81900000000223</v>
      </c>
      <c r="G428">
        <v>22.49133202539997</v>
      </c>
      <c r="J428" t="str">
        <f>IF(H428="","",$P$6-'Script Table'!$E$15-'Script Table'!$E$19+H428)</f>
        <v/>
      </c>
      <c r="K428" s="132">
        <f t="shared" si="20"/>
        <v>818.81900000000223</v>
      </c>
      <c r="L428" s="132">
        <f t="shared" si="21"/>
        <v>428</v>
      </c>
      <c r="M428" s="132">
        <v>818.71900000000221</v>
      </c>
      <c r="N428" s="143">
        <v>179.38447783405928</v>
      </c>
    </row>
    <row r="429" spans="2:14">
      <c r="B429" s="130">
        <v>819.01900000000228</v>
      </c>
      <c r="C429">
        <v>23.888064405575328</v>
      </c>
      <c r="D429">
        <v>819.01900000000228</v>
      </c>
      <c r="E429">
        <v>-2217.5629956659709</v>
      </c>
      <c r="F429">
        <v>819.01900000000228</v>
      </c>
      <c r="G429">
        <v>22.291334334029216</v>
      </c>
      <c r="J429" t="str">
        <f>IF(H429="","",$P$6-'Script Table'!$E$15-'Script Table'!$E$19+H429)</f>
        <v/>
      </c>
      <c r="K429" s="132">
        <f t="shared" si="20"/>
        <v>819.01900000000228</v>
      </c>
      <c r="L429" s="132">
        <f t="shared" si="21"/>
        <v>429</v>
      </c>
      <c r="M429" s="132">
        <v>818.91900000000226</v>
      </c>
      <c r="N429" s="143">
        <v>179.37563897215566</v>
      </c>
    </row>
    <row r="430" spans="2:14">
      <c r="B430" s="130">
        <v>819.21900000000232</v>
      </c>
      <c r="C430">
        <v>23.885853148923591</v>
      </c>
      <c r="D430">
        <v>819.21900000000232</v>
      </c>
      <c r="E430">
        <v>-2217.7629929259861</v>
      </c>
      <c r="F430">
        <v>819.21900000000232</v>
      </c>
      <c r="G430">
        <v>22.091337074014064</v>
      </c>
      <c r="J430" t="str">
        <f>IF(H430="","",$P$6-'Script Table'!$E$15-'Script Table'!$E$19+H430)</f>
        <v/>
      </c>
      <c r="K430" s="132">
        <f t="shared" si="20"/>
        <v>819.21900000000232</v>
      </c>
      <c r="L430" s="132">
        <f t="shared" si="21"/>
        <v>430</v>
      </c>
      <c r="M430" s="132">
        <v>819.1190000000023</v>
      </c>
      <c r="N430" s="143">
        <v>179.36653876504676</v>
      </c>
    </row>
    <row r="431" spans="2:14">
      <c r="B431" s="130">
        <v>819.41900000000237</v>
      </c>
      <c r="C431">
        <v>23.883609184733746</v>
      </c>
      <c r="D431">
        <v>819.41900000000237</v>
      </c>
      <c r="E431">
        <v>-2217.9629897390187</v>
      </c>
      <c r="F431">
        <v>819.41900000000237</v>
      </c>
      <c r="G431">
        <v>21.891340260981451</v>
      </c>
      <c r="J431" t="str">
        <f>IF(H431="","",$P$6-'Script Table'!$E$15-'Script Table'!$E$19+H431)</f>
        <v/>
      </c>
      <c r="K431" s="132">
        <f t="shared" si="20"/>
        <v>819.41900000000237</v>
      </c>
      <c r="L431" s="132">
        <f t="shared" si="21"/>
        <v>431</v>
      </c>
      <c r="M431" s="132">
        <v>819.31900000000235</v>
      </c>
      <c r="N431" s="143">
        <v>179.35716834297915</v>
      </c>
    </row>
    <row r="432" spans="2:14">
      <c r="B432" s="130">
        <v>819.61900000000242</v>
      </c>
      <c r="C432">
        <v>23.8813315379968</v>
      </c>
      <c r="D432">
        <v>819.61900000000242</v>
      </c>
      <c r="E432">
        <v>-2218.1629860886178</v>
      </c>
      <c r="F432">
        <v>819.61900000000242</v>
      </c>
      <c r="G432">
        <v>21.691343911382319</v>
      </c>
      <c r="J432" t="str">
        <f>IF(H432="","",$P$6-'Script Table'!$E$15-'Script Table'!$E$19+H432)</f>
        <v/>
      </c>
      <c r="K432" s="132">
        <f t="shared" si="20"/>
        <v>819.61900000000242</v>
      </c>
      <c r="L432" s="132">
        <f t="shared" si="21"/>
        <v>432</v>
      </c>
      <c r="M432" s="132">
        <v>819.51900000000239</v>
      </c>
      <c r="N432" s="143">
        <v>179.34751857137979</v>
      </c>
    </row>
    <row r="433" spans="2:14">
      <c r="B433" s="130">
        <v>819.81900000000246</v>
      </c>
      <c r="C433">
        <v>23.879019200885914</v>
      </c>
      <c r="D433">
        <v>819.81900000000246</v>
      </c>
      <c r="E433">
        <v>-2218.3629819574594</v>
      </c>
      <c r="F433">
        <v>819.81900000000246</v>
      </c>
      <c r="G433">
        <v>21.491348042540722</v>
      </c>
      <c r="J433" t="str">
        <f>IF(H433="","",$P$6-'Script Table'!$E$15-'Script Table'!$E$19+H433)</f>
        <v/>
      </c>
      <c r="K433" s="132">
        <f t="shared" si="20"/>
        <v>819.81900000000246</v>
      </c>
      <c r="L433" s="132">
        <f t="shared" si="21"/>
        <v>433</v>
      </c>
      <c r="M433" s="132">
        <v>819.71900000000244</v>
      </c>
      <c r="N433" s="143">
        <v>179.33758004621558</v>
      </c>
    </row>
    <row r="434" spans="2:14">
      <c r="B434" s="130">
        <v>820.01900000000251</v>
      </c>
      <c r="C434">
        <v>23.876671131800808</v>
      </c>
      <c r="D434">
        <v>820.01900000000251</v>
      </c>
      <c r="E434">
        <v>-2218.5629773272985</v>
      </c>
      <c r="F434">
        <v>820.01900000000251</v>
      </c>
      <c r="G434">
        <v>21.291352672701578</v>
      </c>
      <c r="J434" t="str">
        <f>IF(H434="","",$P$6-'Script Table'!$E$15-'Script Table'!$E$19+H434)</f>
        <v/>
      </c>
      <c r="K434" s="132">
        <f t="shared" si="20"/>
        <v>820.01900000000251</v>
      </c>
      <c r="L434" s="132">
        <f t="shared" si="21"/>
        <v>434</v>
      </c>
      <c r="M434" s="132">
        <v>819.91900000000248</v>
      </c>
      <c r="N434" s="143">
        <v>179.32734308950378</v>
      </c>
    </row>
    <row r="435" spans="2:14">
      <c r="B435" s="130">
        <v>820.21900000000255</v>
      </c>
      <c r="C435">
        <v>23.874286254397077</v>
      </c>
      <c r="D435">
        <v>820.21900000000255</v>
      </c>
      <c r="E435">
        <v>-2218.762972178919</v>
      </c>
      <c r="F435">
        <v>820.21900000000255</v>
      </c>
      <c r="G435">
        <v>21.091357821081147</v>
      </c>
      <c r="J435" t="str">
        <f>IF(H435="","",$P$6-'Script Table'!$E$15-'Script Table'!$E$19+H435)</f>
        <v/>
      </c>
      <c r="K435" s="132">
        <f t="shared" si="20"/>
        <v>820.21900000000255</v>
      </c>
      <c r="L435" s="132">
        <f t="shared" si="21"/>
        <v>435</v>
      </c>
      <c r="M435" s="132">
        <v>820.11900000000253</v>
      </c>
      <c r="N435" s="143">
        <v>179.31679774497212</v>
      </c>
    </row>
    <row r="436" spans="2:14">
      <c r="B436" s="130">
        <v>820.4190000000026</v>
      </c>
      <c r="C436">
        <v>23.871863456601037</v>
      </c>
      <c r="D436">
        <v>820.4190000000026</v>
      </c>
      <c r="E436">
        <v>-2218.9629664920749</v>
      </c>
      <c r="F436">
        <v>820.4190000000026</v>
      </c>
      <c r="G436">
        <v>20.891363507925234</v>
      </c>
      <c r="J436" t="str">
        <f>IF(H436="","",$P$6-'Script Table'!$E$15-'Script Table'!$E$19+H436)</f>
        <v/>
      </c>
      <c r="K436" s="132">
        <f t="shared" si="20"/>
        <v>820.4190000000026</v>
      </c>
      <c r="L436" s="132">
        <f t="shared" si="21"/>
        <v>436</v>
      </c>
      <c r="M436" s="132">
        <v>820.31900000000257</v>
      </c>
      <c r="N436" s="143">
        <v>179.30593377388342</v>
      </c>
    </row>
    <row r="437" spans="2:14">
      <c r="B437" s="130">
        <v>820.61900000000264</v>
      </c>
      <c r="C437">
        <v>23.869401589610757</v>
      </c>
      <c r="D437">
        <v>820.61900000000264</v>
      </c>
      <c r="E437">
        <v>-2219.1629602454368</v>
      </c>
      <c r="F437">
        <v>820.61900000000264</v>
      </c>
      <c r="G437">
        <v>20.691369754563311</v>
      </c>
      <c r="J437" t="str">
        <f>IF(H437="","",$P$6-'Script Table'!$E$15-'Script Table'!$E$19+H437)</f>
        <v/>
      </c>
      <c r="K437" s="132">
        <f t="shared" si="20"/>
        <v>820.61900000000264</v>
      </c>
      <c r="L437" s="132">
        <f t="shared" si="21"/>
        <v>437</v>
      </c>
      <c r="M437" s="132">
        <v>820.51900000000262</v>
      </c>
      <c r="N437" s="143">
        <v>179.29474065108016</v>
      </c>
    </row>
    <row r="438" spans="2:14">
      <c r="B438" s="130">
        <v>820.81900000000269</v>
      </c>
      <c r="C438">
        <v>23.866899466884043</v>
      </c>
      <c r="D438">
        <v>820.81900000000269</v>
      </c>
      <c r="E438">
        <v>-2219.3629534165289</v>
      </c>
      <c r="F438">
        <v>820.81900000000269</v>
      </c>
      <c r="G438">
        <v>20.491376583471265</v>
      </c>
      <c r="J438" t="str">
        <f>IF(H438="","",$P$6-'Script Table'!$E$15-'Script Table'!$E$19+H438)</f>
        <v/>
      </c>
      <c r="K438" s="132">
        <f t="shared" si="20"/>
        <v>820.81900000000269</v>
      </c>
      <c r="L438" s="132">
        <f t="shared" si="21"/>
        <v>438</v>
      </c>
      <c r="M438" s="132">
        <v>820.71900000000267</v>
      </c>
      <c r="N438" s="143">
        <v>179.28320756121033</v>
      </c>
    </row>
    <row r="439" spans="2:14">
      <c r="B439" s="130">
        <v>821.01900000000273</v>
      </c>
      <c r="C439">
        <v>23.864355863114181</v>
      </c>
      <c r="D439">
        <v>821.01900000000273</v>
      </c>
      <c r="E439">
        <v>-2219.5629459816673</v>
      </c>
      <c r="F439">
        <v>821.01900000000273</v>
      </c>
      <c r="G439">
        <v>20.291384018332792</v>
      </c>
      <c r="J439" t="str">
        <f>IF(H439="","",$P$6-'Script Table'!$E$15-'Script Table'!$E$19+H439)</f>
        <v/>
      </c>
      <c r="K439" s="132">
        <f t="shared" si="20"/>
        <v>821.01900000000273</v>
      </c>
      <c r="L439" s="132">
        <f t="shared" si="21"/>
        <v>439</v>
      </c>
      <c r="M439" s="132">
        <v>820.91900000000271</v>
      </c>
      <c r="N439" s="143">
        <v>179.27132339521305</v>
      </c>
    </row>
    <row r="440" spans="2:14">
      <c r="B440" s="130">
        <v>821.21900000000278</v>
      </c>
      <c r="C440">
        <v>23.861769513194393</v>
      </c>
      <c r="D440">
        <v>821.21900000000278</v>
      </c>
      <c r="E440">
        <v>-2219.7629379158902</v>
      </c>
      <c r="F440">
        <v>821.21900000000278</v>
      </c>
      <c r="G440">
        <v>20.091392084109884</v>
      </c>
      <c r="J440" t="str">
        <f>IF(H440="","",$P$6-'Script Table'!$E$15-'Script Table'!$E$19+H440)</f>
        <v/>
      </c>
      <c r="K440" s="132">
        <f t="shared" si="20"/>
        <v>821.21900000000278</v>
      </c>
      <c r="L440" s="132">
        <f t="shared" si="21"/>
        <v>440</v>
      </c>
      <c r="M440" s="132">
        <v>821.11900000000276</v>
      </c>
      <c r="N440" s="143">
        <v>179.25907674704382</v>
      </c>
    </row>
    <row r="441" spans="2:14">
      <c r="B441" s="130">
        <v>821.41900000000282</v>
      </c>
      <c r="C441">
        <v>23.85913911117191</v>
      </c>
      <c r="D441">
        <v>821.41900000000282</v>
      </c>
      <c r="E441">
        <v>-2219.9629291928854</v>
      </c>
      <c r="F441">
        <v>821.41900000000282</v>
      </c>
      <c r="G441">
        <v>19.891400807114678</v>
      </c>
      <c r="J441" t="str">
        <f>IF(H441="","",$P$6-'Script Table'!$E$15-'Script Table'!$E$19+H441)</f>
        <v/>
      </c>
      <c r="K441" s="132">
        <f t="shared" si="20"/>
        <v>821.41900000000282</v>
      </c>
      <c r="L441" s="132">
        <f t="shared" si="21"/>
        <v>441</v>
      </c>
      <c r="M441" s="132">
        <v>821.3190000000028</v>
      </c>
      <c r="N441" s="143">
        <v>179.24645591068187</v>
      </c>
    </row>
    <row r="442" spans="2:14">
      <c r="B442" s="130">
        <v>821.61900000000287</v>
      </c>
      <c r="C442">
        <v>23.856463309192836</v>
      </c>
      <c r="D442">
        <v>821.61900000000287</v>
      </c>
      <c r="E442">
        <v>-2220.1629197849179</v>
      </c>
      <c r="F442">
        <v>821.61900000000287</v>
      </c>
      <c r="G442">
        <v>19.691410215082215</v>
      </c>
      <c r="J442" t="str">
        <f>IF(H442="","",$P$6-'Script Table'!$E$15-'Script Table'!$E$19+H442)</f>
        <v/>
      </c>
      <c r="K442" s="132">
        <f t="shared" si="20"/>
        <v>821.61900000000287</v>
      </c>
      <c r="L442" s="132">
        <f t="shared" si="21"/>
        <v>442</v>
      </c>
      <c r="M442" s="132">
        <v>821.51900000000285</v>
      </c>
      <c r="N442" s="143">
        <v>179.23344887747484</v>
      </c>
    </row>
    <row r="443" spans="2:14">
      <c r="B443" s="130">
        <v>821.81900000000292</v>
      </c>
      <c r="C443">
        <v>23.853740716438939</v>
      </c>
      <c r="D443">
        <v>821.81900000000292</v>
      </c>
      <c r="E443">
        <v>-2220.3629096627501</v>
      </c>
      <c r="F443">
        <v>821.81900000000292</v>
      </c>
      <c r="G443">
        <v>19.49142033725002</v>
      </c>
      <c r="J443" t="str">
        <f>IF(H443="","",$P$6-'Script Table'!$E$15-'Script Table'!$E$19+H443)</f>
        <v/>
      </c>
      <c r="K443" s="132">
        <f t="shared" si="20"/>
        <v>821.81900000000292</v>
      </c>
      <c r="L443" s="132">
        <f t="shared" si="21"/>
        <v>443</v>
      </c>
      <c r="M443" s="132">
        <v>821.71900000000289</v>
      </c>
      <c r="N443" s="143">
        <v>179.22004333378669</v>
      </c>
    </row>
    <row r="444" spans="2:14">
      <c r="B444" s="130">
        <v>822.01900000000296</v>
      </c>
      <c r="C444">
        <v>23.850969898057564</v>
      </c>
      <c r="D444">
        <v>822.01900000000296</v>
      </c>
      <c r="E444">
        <v>-2220.562898795557</v>
      </c>
      <c r="F444">
        <v>822.01900000000296</v>
      </c>
      <c r="G444">
        <v>19.291431204443143</v>
      </c>
      <c r="J444" t="str">
        <f>IF(H444="","",$P$6-'Script Table'!$E$15-'Script Table'!$E$19+H444)</f>
        <v/>
      </c>
      <c r="K444" s="132">
        <f t="shared" si="20"/>
        <v>822.01900000000296</v>
      </c>
      <c r="L444" s="132">
        <f t="shared" si="21"/>
        <v>444</v>
      </c>
      <c r="M444" s="132">
        <v>821.91900000000294</v>
      </c>
      <c r="N444" s="143">
        <v>179.20622665899248</v>
      </c>
    </row>
    <row r="445" spans="2:14">
      <c r="B445" s="130">
        <v>822.21900000000301</v>
      </c>
      <c r="C445">
        <v>23.848149374086159</v>
      </c>
      <c r="D445">
        <v>822.21900000000301</v>
      </c>
      <c r="E445">
        <v>-2220.7628871508396</v>
      </c>
      <c r="F445">
        <v>822.21900000000301</v>
      </c>
      <c r="G445">
        <v>19.091442849160558</v>
      </c>
      <c r="J445" t="str">
        <f>IF(H445="","",$P$6-'Script Table'!$E$15-'Script Table'!$E$19+H445)</f>
        <v/>
      </c>
      <c r="K445" s="132">
        <f t="shared" si="20"/>
        <v>822.21900000000301</v>
      </c>
      <c r="L445" s="132">
        <f t="shared" si="21"/>
        <v>445</v>
      </c>
      <c r="M445" s="132">
        <v>822.11900000000298</v>
      </c>
      <c r="N445" s="143">
        <v>179.19198592390848</v>
      </c>
    </row>
    <row r="446" spans="2:14">
      <c r="B446" s="130">
        <v>822.41900000000305</v>
      </c>
      <c r="C446">
        <v>23.845277618372755</v>
      </c>
      <c r="D446">
        <v>822.41900000000305</v>
      </c>
      <c r="E446">
        <v>-2220.9628746943313</v>
      </c>
      <c r="F446">
        <v>822.41900000000305</v>
      </c>
      <c r="G446">
        <v>18.891455305668842</v>
      </c>
      <c r="J446" t="str">
        <f>IF(H446="","",$P$6-'Script Table'!$E$15-'Script Table'!$E$19+H446)</f>
        <v/>
      </c>
      <c r="K446" s="132">
        <f t="shared" si="20"/>
        <v>822.41900000000305</v>
      </c>
      <c r="L446" s="132">
        <f t="shared" si="21"/>
        <v>446</v>
      </c>
      <c r="M446" s="132">
        <v>822.31900000000303</v>
      </c>
      <c r="N446" s="143">
        <v>179.17730788958855</v>
      </c>
    </row>
    <row r="447" spans="2:14">
      <c r="B447" s="130">
        <v>822.6190000000031</v>
      </c>
      <c r="C447">
        <v>23.842353057494066</v>
      </c>
      <c r="D447">
        <v>822.6190000000031</v>
      </c>
      <c r="E447">
        <v>-2221.1628613899024</v>
      </c>
      <c r="F447">
        <v>822.6190000000031</v>
      </c>
      <c r="G447">
        <v>18.691468610097672</v>
      </c>
      <c r="J447" t="str">
        <f>IF(H447="","",$P$6-'Script Table'!$E$15-'Script Table'!$E$19+H447)</f>
        <v/>
      </c>
      <c r="K447" s="132">
        <f t="shared" si="20"/>
        <v>822.6190000000031</v>
      </c>
      <c r="L447" s="132">
        <f t="shared" si="21"/>
        <v>447</v>
      </c>
      <c r="M447" s="132">
        <v>822.51900000000308</v>
      </c>
      <c r="N447" s="143">
        <v>179.16217900661323</v>
      </c>
    </row>
    <row r="448" spans="2:14">
      <c r="B448" s="130">
        <v>822.81900000000314</v>
      </c>
      <c r="C448">
        <v>23.8393740696728</v>
      </c>
      <c r="D448">
        <v>822.81900000000314</v>
      </c>
      <c r="E448">
        <v>-2221.3628471994534</v>
      </c>
      <c r="F448">
        <v>822.81900000000314</v>
      </c>
      <c r="G448">
        <v>18.491482800546692</v>
      </c>
      <c r="J448" t="str">
        <f>IF(H448="","",$P$6-'Script Table'!$E$15-'Script Table'!$E$19+H448)</f>
        <v/>
      </c>
      <c r="K448" s="132">
        <f t="shared" si="20"/>
        <v>822.81900000000314</v>
      </c>
      <c r="L448" s="132">
        <f t="shared" si="21"/>
        <v>448</v>
      </c>
      <c r="M448" s="132">
        <v>822.71900000000312</v>
      </c>
      <c r="N448" s="143">
        <v>179.14658541479517</v>
      </c>
    </row>
    <row r="449" spans="2:14">
      <c r="B449" s="130">
        <v>823.01900000000319</v>
      </c>
      <c r="C449">
        <v>23.836338983696074</v>
      </c>
      <c r="D449">
        <v>823.01900000000319</v>
      </c>
      <c r="E449">
        <v>-2221.5628320828123</v>
      </c>
      <c r="F449">
        <v>823.01900000000319</v>
      </c>
      <c r="G449">
        <v>18.291497917187826</v>
      </c>
      <c r="J449" t="str">
        <f>IF(H449="","",$P$6-'Script Table'!$E$15-'Script Table'!$E$19+H449)</f>
        <v/>
      </c>
      <c r="K449" s="132">
        <f t="shared" si="20"/>
        <v>823.01900000000319</v>
      </c>
      <c r="L449" s="132">
        <f t="shared" si="21"/>
        <v>449</v>
      </c>
      <c r="M449" s="132">
        <v>822.91900000000317</v>
      </c>
      <c r="N449" s="143">
        <v>179.13051294348696</v>
      </c>
    </row>
    <row r="450" spans="2:14">
      <c r="B450" s="130">
        <v>823.21900000000323</v>
      </c>
      <c r="C450">
        <v>23.833246077836733</v>
      </c>
      <c r="D450">
        <v>823.21900000000323</v>
      </c>
      <c r="E450">
        <v>-2221.7628159976166</v>
      </c>
      <c r="F450">
        <v>823.21900000000323</v>
      </c>
      <c r="G450">
        <v>18.091514002383519</v>
      </c>
      <c r="J450" t="str">
        <f>IF(H450="","",$P$6-'Script Table'!$E$15-'Script Table'!$E$19+H450)</f>
        <v/>
      </c>
      <c r="K450" s="132">
        <f t="shared" si="20"/>
        <v>823.21900000000323</v>
      </c>
      <c r="L450" s="132">
        <f t="shared" si="21"/>
        <v>450</v>
      </c>
      <c r="M450" s="132">
        <v>823.11900000000321</v>
      </c>
      <c r="N450" s="143">
        <v>179.11394711232319</v>
      </c>
    </row>
    <row r="451" spans="2:14">
      <c r="B451" s="130">
        <v>823.41900000000328</v>
      </c>
      <c r="C451">
        <v>23.830093578779717</v>
      </c>
      <c r="D451">
        <v>823.41900000000328</v>
      </c>
      <c r="E451">
        <v>-2221.9627988991988</v>
      </c>
      <c r="F451">
        <v>823.41900000000328</v>
      </c>
      <c r="G451">
        <v>17.89153110080133</v>
      </c>
      <c r="J451" t="str">
        <f>IF(H451="","",$P$6-'Script Table'!$E$15-'Script Table'!$E$19+H451)</f>
        <v/>
      </c>
      <c r="K451" s="132">
        <f t="shared" si="20"/>
        <v>823.41900000000328</v>
      </c>
      <c r="L451" s="132">
        <f t="shared" si="21"/>
        <v>451</v>
      </c>
      <c r="M451" s="132">
        <v>823.31900000000326</v>
      </c>
      <c r="N451" s="143">
        <v>179.09687313264675</v>
      </c>
    </row>
    <row r="452" spans="2:14">
      <c r="B452" s="130">
        <v>823.61900000000333</v>
      </c>
      <c r="C452">
        <v>23.82687966055553</v>
      </c>
      <c r="D452">
        <v>823.61900000000333</v>
      </c>
      <c r="E452">
        <v>-2222.1627807404584</v>
      </c>
      <c r="F452">
        <v>823.61900000000333</v>
      </c>
      <c r="G452">
        <v>17.691549259541716</v>
      </c>
      <c r="J452" t="str">
        <f>IF(H452="","",$P$6-'Script Table'!$E$15-'Script Table'!$E$19+H452)</f>
        <v/>
      </c>
      <c r="K452" s="132">
        <f t="shared" ref="K452:K515" si="22">F452</f>
        <v>823.61900000000333</v>
      </c>
      <c r="L452" s="132">
        <f t="shared" si="21"/>
        <v>452</v>
      </c>
      <c r="M452" s="132">
        <v>823.5190000000033</v>
      </c>
      <c r="N452" s="143">
        <v>179.0792759094594</v>
      </c>
    </row>
    <row r="453" spans="2:14">
      <c r="B453" s="130">
        <v>823.81900000000337</v>
      </c>
      <c r="C453">
        <v>23.823602443483189</v>
      </c>
      <c r="D453">
        <v>823.81900000000337</v>
      </c>
      <c r="E453">
        <v>-2222.3627614717307</v>
      </c>
      <c r="F453">
        <v>823.81900000000337</v>
      </c>
      <c r="G453">
        <v>17.491568528269454</v>
      </c>
      <c r="J453" t="str">
        <f>IF(H453="","",$P$6-'Script Table'!$E$15-'Script Table'!$E$19+H453)</f>
        <v/>
      </c>
      <c r="K453" s="132">
        <f t="shared" si="22"/>
        <v>823.81900000000337</v>
      </c>
      <c r="L453" s="132">
        <f t="shared" si="21"/>
        <v>453</v>
      </c>
      <c r="M453" s="132">
        <v>823.71900000000335</v>
      </c>
      <c r="N453" s="143">
        <v>179.06114004408101</v>
      </c>
    </row>
    <row r="454" spans="2:14">
      <c r="B454" s="130">
        <v>824.01900000000342</v>
      </c>
      <c r="C454">
        <v>23.820259993124971</v>
      </c>
      <c r="D454">
        <v>824.01900000000342</v>
      </c>
      <c r="E454">
        <v>-2222.5627410406523</v>
      </c>
      <c r="F454">
        <v>824.01900000000342</v>
      </c>
      <c r="G454">
        <v>17.291588959347791</v>
      </c>
      <c r="J454" t="str">
        <f>IF(H454="","",$P$6-'Script Table'!$E$15-'Script Table'!$E$19+H454)</f>
        <v/>
      </c>
      <c r="K454" s="132">
        <f t="shared" si="22"/>
        <v>824.01900000000342</v>
      </c>
      <c r="L454" s="132">
        <f t="shared" ref="L454:L517" si="23">L453+1</f>
        <v>454</v>
      </c>
      <c r="M454" s="132">
        <v>823.91900000000339</v>
      </c>
      <c r="N454" s="143">
        <v>179.04244983748151</v>
      </c>
    </row>
    <row r="455" spans="2:14">
      <c r="B455" s="130">
        <v>824.21900000000346</v>
      </c>
      <c r="C455">
        <v>23.816850319255614</v>
      </c>
      <c r="D455">
        <v>824.21900000000346</v>
      </c>
      <c r="E455">
        <v>-2222.7627193920116</v>
      </c>
      <c r="F455">
        <v>824.21900000000346</v>
      </c>
      <c r="G455">
        <v>17.091610607988514</v>
      </c>
      <c r="J455" t="str">
        <f>IF(H455="","",$P$6-'Script Table'!$E$15-'Script Table'!$E$19+H455)</f>
        <v/>
      </c>
      <c r="K455" s="132">
        <f t="shared" si="22"/>
        <v>824.21900000000346</v>
      </c>
      <c r="L455" s="132">
        <f t="shared" si="23"/>
        <v>455</v>
      </c>
      <c r="M455" s="132">
        <v>824.11900000000344</v>
      </c>
      <c r="N455" s="143">
        <v>179.02318929430479</v>
      </c>
    </row>
    <row r="456" spans="2:14">
      <c r="B456" s="130">
        <v>824.41900000000351</v>
      </c>
      <c r="C456">
        <v>23.813371374848575</v>
      </c>
      <c r="D456">
        <v>824.41900000000351</v>
      </c>
      <c r="E456">
        <v>-2222.9626964676022</v>
      </c>
      <c r="F456">
        <v>824.41900000000351</v>
      </c>
      <c r="G456">
        <v>16.891633532397918</v>
      </c>
      <c r="J456" t="str">
        <f>IF(H456="","",$P$6-'Script Table'!$E$15-'Script Table'!$E$19+H456)</f>
        <v/>
      </c>
      <c r="K456" s="132">
        <f t="shared" si="22"/>
        <v>824.41900000000351</v>
      </c>
      <c r="L456" s="132">
        <f t="shared" si="23"/>
        <v>456</v>
      </c>
      <c r="M456" s="132">
        <v>824.31900000000348</v>
      </c>
      <c r="N456" s="143">
        <v>179.00334212772756</v>
      </c>
    </row>
    <row r="457" spans="2:14">
      <c r="B457" s="130">
        <v>824.61900000000355</v>
      </c>
      <c r="C457">
        <v>23.809821055082249</v>
      </c>
      <c r="D457">
        <v>824.61900000000355</v>
      </c>
      <c r="E457">
        <v>-2223.1626722060651</v>
      </c>
      <c r="F457">
        <v>824.61900000000355</v>
      </c>
      <c r="G457">
        <v>16.691657793935065</v>
      </c>
      <c r="J457" t="str">
        <f>IF(H457="","",$P$6-'Script Table'!$E$15-'Script Table'!$E$19+H457)</f>
        <v/>
      </c>
      <c r="K457" s="132">
        <f t="shared" si="22"/>
        <v>824.61900000000355</v>
      </c>
      <c r="L457" s="132">
        <f t="shared" si="23"/>
        <v>457</v>
      </c>
      <c r="M457" s="132">
        <v>824.51900000000353</v>
      </c>
      <c r="N457" s="143">
        <v>178.98289176507282</v>
      </c>
    </row>
    <row r="458" spans="2:14">
      <c r="B458" s="130">
        <v>824.8190000000036</v>
      </c>
      <c r="C458">
        <v>23.806197196369048</v>
      </c>
      <c r="D458">
        <v>824.8190000000036</v>
      </c>
      <c r="E458">
        <v>-2223.3626465427169</v>
      </c>
      <c r="F458">
        <v>824.8190000000036</v>
      </c>
      <c r="G458">
        <v>16.491683457283216</v>
      </c>
      <c r="J458" t="str">
        <f>IF(H458="","",$P$6-'Script Table'!$E$15-'Script Table'!$E$19+H458)</f>
        <v/>
      </c>
      <c r="K458" s="132">
        <f t="shared" si="22"/>
        <v>824.8190000000036</v>
      </c>
      <c r="L458" s="132">
        <f t="shared" si="23"/>
        <v>458</v>
      </c>
      <c r="M458" s="132">
        <v>824.71900000000358</v>
      </c>
      <c r="N458" s="143">
        <v>178.96182135423564</v>
      </c>
    </row>
    <row r="459" spans="2:14">
      <c r="B459" s="130">
        <v>825.01900000000364</v>
      </c>
      <c r="C459">
        <v>23.802497575410555</v>
      </c>
      <c r="D459">
        <v>825.01900000000364</v>
      </c>
      <c r="E459">
        <v>-2223.5626194093857</v>
      </c>
      <c r="F459">
        <v>825.01900000000364</v>
      </c>
      <c r="G459">
        <v>16.291710590614457</v>
      </c>
      <c r="J459" t="str">
        <f>IF(H459="","",$P$6-'Script Table'!$E$15-'Script Table'!$E$19+H459)</f>
        <v/>
      </c>
      <c r="K459" s="132">
        <f t="shared" si="22"/>
        <v>825.01900000000364</v>
      </c>
      <c r="L459" s="132">
        <f t="shared" si="23"/>
        <v>459</v>
      </c>
      <c r="M459" s="132">
        <v>824.91900000000362</v>
      </c>
      <c r="N459" s="143">
        <v>178.94011377113117</v>
      </c>
    </row>
    <row r="460" spans="2:14">
      <c r="B460" s="130">
        <v>825.21900000000369</v>
      </c>
      <c r="C460">
        <v>23.798719908281967</v>
      </c>
      <c r="D460">
        <v>825.21900000000369</v>
      </c>
      <c r="E460">
        <v>-2223.762590734224</v>
      </c>
      <c r="F460">
        <v>825.21900000000369</v>
      </c>
      <c r="G460">
        <v>16.091739265776141</v>
      </c>
      <c r="J460" t="str">
        <f>IF(H460="","",$P$6-'Script Table'!$E$15-'Script Table'!$E$19+H460)</f>
        <v/>
      </c>
      <c r="K460" s="132">
        <f t="shared" si="22"/>
        <v>825.21900000000369</v>
      </c>
      <c r="L460" s="132">
        <f t="shared" si="23"/>
        <v>460</v>
      </c>
      <c r="M460" s="132">
        <v>825.11900000000367</v>
      </c>
      <c r="N460" s="143">
        <v>178.91775162790944</v>
      </c>
    </row>
    <row r="461" spans="2:14">
      <c r="B461" s="130">
        <v>825.41900000000373</v>
      </c>
      <c r="C461">
        <v>23.794861849549282</v>
      </c>
      <c r="D461">
        <v>825.41900000000373</v>
      </c>
      <c r="E461">
        <v>-2223.9625604415219</v>
      </c>
      <c r="F461">
        <v>825.41900000000373</v>
      </c>
      <c r="G461">
        <v>15.891769558478245</v>
      </c>
      <c r="J461" t="str">
        <f>IF(H461="","",$P$6-'Script Table'!$E$15-'Script Table'!$E$19+H461)</f>
        <v/>
      </c>
      <c r="K461" s="132">
        <f t="shared" si="22"/>
        <v>825.41900000000373</v>
      </c>
      <c r="L461" s="132">
        <f t="shared" si="23"/>
        <v>461</v>
      </c>
      <c r="M461" s="132">
        <v>825.31900000000371</v>
      </c>
      <c r="N461" s="143">
        <v>178.89471728226215</v>
      </c>
    </row>
    <row r="462" spans="2:14">
      <c r="B462" s="130">
        <v>825.61900000000378</v>
      </c>
      <c r="C462">
        <v>23.790920991422787</v>
      </c>
      <c r="D462">
        <v>825.61900000000378</v>
      </c>
      <c r="E462">
        <v>-2224.162528451508</v>
      </c>
      <c r="F462">
        <v>825.61900000000378</v>
      </c>
      <c r="G462">
        <v>15.691801548492094</v>
      </c>
      <c r="J462" t="str">
        <f>IF(H462="","",$P$6-'Script Table'!$E$15-'Script Table'!$E$19+H462)</f>
        <v/>
      </c>
      <c r="K462" s="132">
        <f t="shared" si="22"/>
        <v>825.61900000000378</v>
      </c>
      <c r="L462" s="132">
        <f t="shared" si="23"/>
        <v>462</v>
      </c>
      <c r="M462" s="132">
        <v>825.51900000000376</v>
      </c>
      <c r="N462" s="143">
        <v>178.87099284768601</v>
      </c>
    </row>
    <row r="463" spans="2:14">
      <c r="B463" s="130">
        <v>825.81900000000383</v>
      </c>
      <c r="C463">
        <v>23.786894862950689</v>
      </c>
      <c r="D463">
        <v>825.81900000000383</v>
      </c>
      <c r="E463">
        <v>-2224.3624946801501</v>
      </c>
      <c r="F463">
        <v>825.81900000000383</v>
      </c>
      <c r="G463">
        <v>15.491835319849997</v>
      </c>
      <c r="J463" t="str">
        <f>IF(H463="","",$P$6-'Script Table'!$E$15-'Script Table'!$E$19+H463)</f>
        <v/>
      </c>
      <c r="K463" s="132">
        <f t="shared" si="22"/>
        <v>825.81900000000383</v>
      </c>
      <c r="L463" s="132">
        <f t="shared" si="23"/>
        <v>463</v>
      </c>
      <c r="M463" s="132">
        <v>825.7190000000038</v>
      </c>
      <c r="N463" s="143">
        <v>178.8465602048966</v>
      </c>
    </row>
    <row r="464" spans="2:14">
      <c r="B464" s="130">
        <v>826.01900000000387</v>
      </c>
      <c r="C464">
        <v>23.782780929256631</v>
      </c>
      <c r="D464">
        <v>826.01900000000387</v>
      </c>
      <c r="E464">
        <v>-2224.5624590389343</v>
      </c>
      <c r="F464">
        <v>826.01900000000387</v>
      </c>
      <c r="G464">
        <v>15.291870961065797</v>
      </c>
      <c r="J464" t="str">
        <f>IF(H464="","",$P$6-'Script Table'!$E$15-'Script Table'!$E$19+H464)</f>
        <v/>
      </c>
      <c r="K464" s="132">
        <f t="shared" si="22"/>
        <v>826.01900000000387</v>
      </c>
      <c r="L464" s="132">
        <f t="shared" si="23"/>
        <v>464</v>
      </c>
      <c r="M464" s="132">
        <v>825.91900000000385</v>
      </c>
      <c r="N464" s="143">
        <v>178.82140101419964</v>
      </c>
    </row>
    <row r="465" spans="2:14">
      <c r="B465" s="130">
        <v>826.21900000000392</v>
      </c>
      <c r="C465">
        <v>23.778576590825317</v>
      </c>
      <c r="D465">
        <v>826.21900000000392</v>
      </c>
      <c r="E465">
        <v>-2224.7624214346479</v>
      </c>
      <c r="F465">
        <v>826.21900000000392</v>
      </c>
      <c r="G465">
        <v>15.091908565352242</v>
      </c>
      <c r="J465" t="str">
        <f>IF(H465="","",$P$6-'Script Table'!$E$15-'Script Table'!$E$19+H465)</f>
        <v/>
      </c>
      <c r="K465" s="132">
        <f t="shared" si="22"/>
        <v>826.21900000000392</v>
      </c>
      <c r="L465" s="132">
        <f t="shared" si="23"/>
        <v>465</v>
      </c>
      <c r="M465" s="132">
        <v>826.11900000000389</v>
      </c>
      <c r="N465" s="143">
        <v>178.79549672919148</v>
      </c>
    </row>
    <row r="466" spans="2:14">
      <c r="B466" s="130">
        <v>826.41900000000396</v>
      </c>
      <c r="C466">
        <v>23.774279182840381</v>
      </c>
      <c r="D466">
        <v>826.41900000000396</v>
      </c>
      <c r="E466">
        <v>-2224.9623817691445</v>
      </c>
      <c r="F466">
        <v>826.41900000000396</v>
      </c>
      <c r="G466">
        <v>14.891948230855633</v>
      </c>
      <c r="J466" t="str">
        <f>IF(H466="","",$P$6-'Script Table'!$E$15-'Script Table'!$E$19+H466)</f>
        <v/>
      </c>
      <c r="K466" s="132">
        <f t="shared" si="22"/>
        <v>826.41900000000396</v>
      </c>
      <c r="L466" s="132">
        <f t="shared" si="23"/>
        <v>466</v>
      </c>
      <c r="M466" s="132">
        <v>826.31900000000394</v>
      </c>
      <c r="N466" s="143">
        <v>178.76882861152848</v>
      </c>
    </row>
    <row r="467" spans="2:14">
      <c r="B467" s="130">
        <v>826.61900000000401</v>
      </c>
      <c r="C467">
        <v>23.769885974578941</v>
      </c>
      <c r="D467">
        <v>826.61900000000401</v>
      </c>
      <c r="E467">
        <v>-2225.1623399391074</v>
      </c>
      <c r="F467">
        <v>826.61900000000401</v>
      </c>
      <c r="G467">
        <v>14.691990060892749</v>
      </c>
      <c r="J467" t="str">
        <f>IF(H467="","",$P$6-'Script Table'!$E$15-'Script Table'!$E$19+H467)</f>
        <v/>
      </c>
      <c r="K467" s="132">
        <f t="shared" si="22"/>
        <v>826.61900000000401</v>
      </c>
      <c r="L467" s="132">
        <f t="shared" si="23"/>
        <v>467</v>
      </c>
      <c r="M467" s="132">
        <v>826.51900000000398</v>
      </c>
      <c r="N467" s="143">
        <v>178.74137774703746</v>
      </c>
    </row>
    <row r="468" spans="2:14">
      <c r="B468" s="130">
        <v>826.81900000000405</v>
      </c>
      <c r="C468">
        <v>23.765394168867374</v>
      </c>
      <c r="D468">
        <v>826.81900000000405</v>
      </c>
      <c r="E468">
        <v>-2225.3622958357973</v>
      </c>
      <c r="F468">
        <v>826.81900000000405</v>
      </c>
      <c r="G468">
        <v>14.492034164202778</v>
      </c>
      <c r="J468" t="str">
        <f>IF(H468="","",$P$6-'Script Table'!$E$15-'Script Table'!$E$19+H468)</f>
        <v/>
      </c>
      <c r="K468" s="132">
        <f t="shared" si="22"/>
        <v>826.81900000000405</v>
      </c>
      <c r="L468" s="132">
        <f t="shared" si="23"/>
        <v>468</v>
      </c>
      <c r="M468" s="132">
        <v>826.71900000000403</v>
      </c>
      <c r="N468" s="143">
        <v>178.71312506304812</v>
      </c>
    </row>
    <row r="469" spans="2:14">
      <c r="B469" s="130">
        <v>827.0190000000041</v>
      </c>
      <c r="C469">
        <v>23.760800901602998</v>
      </c>
      <c r="D469">
        <v>827.0190000000041</v>
      </c>
      <c r="E469">
        <v>-2225.5622493447972</v>
      </c>
      <c r="F469">
        <v>827.0190000000041</v>
      </c>
      <c r="G469">
        <v>14.292080655202881</v>
      </c>
      <c r="J469" t="str">
        <f>IF(H469="","",$P$6-'Script Table'!$E$15-'Script Table'!$E$19+H469)</f>
        <v/>
      </c>
      <c r="K469" s="132">
        <f t="shared" si="22"/>
        <v>827.0190000000041</v>
      </c>
      <c r="L469" s="132">
        <f t="shared" si="23"/>
        <v>469</v>
      </c>
      <c r="M469" s="132">
        <v>826.91900000000408</v>
      </c>
      <c r="N469" s="143">
        <v>178.68405134711995</v>
      </c>
    </row>
    <row r="470" spans="2:14">
      <c r="B470" s="130">
        <v>827.21900000000414</v>
      </c>
      <c r="C470">
        <v>23.756103241346651</v>
      </c>
      <c r="D470">
        <v>827.21900000000414</v>
      </c>
      <c r="E470">
        <v>-2225.7622003457436</v>
      </c>
      <c r="F470">
        <v>827.21900000000414</v>
      </c>
      <c r="G470">
        <v>14.092129654256496</v>
      </c>
      <c r="J470" t="str">
        <f>IF(H470="","",$P$6-'Script Table'!$E$15-'Script Table'!$E$19+H470)</f>
        <v/>
      </c>
      <c r="K470" s="132">
        <f t="shared" si="22"/>
        <v>827.21900000000414</v>
      </c>
      <c r="L470" s="132">
        <f t="shared" si="23"/>
        <v>470</v>
      </c>
      <c r="M470" s="132">
        <v>827.11900000000412</v>
      </c>
      <c r="N470" s="143">
        <v>178.65413726713666</v>
      </c>
    </row>
    <row r="471" spans="2:14">
      <c r="B471" s="130">
        <v>827.41900000000419</v>
      </c>
      <c r="C471">
        <v>23.751298188991104</v>
      </c>
      <c r="D471">
        <v>827.41900000000419</v>
      </c>
      <c r="E471">
        <v>-2225.9621487120494</v>
      </c>
      <c r="F471">
        <v>827.41900000000419</v>
      </c>
      <c r="G471">
        <v>13.892181287950734</v>
      </c>
      <c r="J471" t="str">
        <f>IF(H471="","",$P$6-'Script Table'!$E$15-'Script Table'!$E$19+H471)</f>
        <v/>
      </c>
      <c r="K471" s="132">
        <f t="shared" si="22"/>
        <v>827.41900000000419</v>
      </c>
      <c r="L471" s="132">
        <f t="shared" si="23"/>
        <v>471</v>
      </c>
      <c r="M471" s="132">
        <v>827.31900000000417</v>
      </c>
      <c r="N471" s="143">
        <v>178.62336339282251</v>
      </c>
    </row>
    <row r="472" spans="2:14">
      <c r="B472" s="130">
        <v>827.61900000000423</v>
      </c>
      <c r="C472">
        <v>23.746382677510596</v>
      </c>
      <c r="D472">
        <v>827.61900000000423</v>
      </c>
      <c r="E472">
        <v>-2226.1620943106223</v>
      </c>
      <c r="F472">
        <v>827.61900000000423</v>
      </c>
      <c r="G472">
        <v>13.692235689377867</v>
      </c>
      <c r="J472" t="str">
        <f>IF(H472="","",$P$6-'Script Table'!$E$15-'Script Table'!$E$19+H472)</f>
        <v/>
      </c>
      <c r="K472" s="132">
        <f t="shared" si="22"/>
        <v>827.61900000000423</v>
      </c>
      <c r="L472" s="132">
        <f t="shared" si="23"/>
        <v>472</v>
      </c>
      <c r="M472" s="132">
        <v>827.51900000000421</v>
      </c>
      <c r="N472" s="143">
        <v>178.59171021879467</v>
      </c>
    </row>
    <row r="473" spans="2:14">
      <c r="B473" s="130">
        <v>827.81900000000428</v>
      </c>
      <c r="C473">
        <v>23.741353571796846</v>
      </c>
      <c r="D473">
        <v>827.81900000000428</v>
      </c>
      <c r="E473">
        <v>-2226.3620370015674</v>
      </c>
      <c r="F473">
        <v>827.81900000000428</v>
      </c>
      <c r="G473">
        <v>13.492292998432731</v>
      </c>
      <c r="J473" t="str">
        <f>IF(H473="","",$P$6-'Script Table'!$E$15-'Script Table'!$E$19+H473)</f>
        <v/>
      </c>
      <c r="K473" s="132">
        <f t="shared" si="22"/>
        <v>827.81900000000428</v>
      </c>
      <c r="L473" s="132">
        <f t="shared" si="23"/>
        <v>473</v>
      </c>
      <c r="M473" s="132">
        <v>827.71900000000426</v>
      </c>
      <c r="N473" s="143">
        <v>178.55915818906129</v>
      </c>
    </row>
    <row r="474" spans="2:14">
      <c r="B474" s="130">
        <v>828.01900000000433</v>
      </c>
      <c r="C474">
        <v>23.736207668587006</v>
      </c>
      <c r="D474">
        <v>828.01900000000433</v>
      </c>
      <c r="E474">
        <v>-2226.5619766378873</v>
      </c>
      <c r="F474">
        <v>828.01900000000433</v>
      </c>
      <c r="G474">
        <v>13.292353362112863</v>
      </c>
      <c r="J474" t="str">
        <f>IF(H474="","",$P$6-'Script Table'!$E$15-'Script Table'!$E$19+H474)</f>
        <v/>
      </c>
      <c r="K474" s="132">
        <f t="shared" si="22"/>
        <v>828.01900000000433</v>
      </c>
      <c r="L474" s="132">
        <f t="shared" si="23"/>
        <v>474</v>
      </c>
      <c r="M474" s="132">
        <v>827.9190000000043</v>
      </c>
      <c r="N474" s="143">
        <v>178.52568772315513</v>
      </c>
    </row>
    <row r="475" spans="2:14">
      <c r="B475" s="130">
        <v>828.21900000000437</v>
      </c>
      <c r="C475">
        <v>23.730941120198054</v>
      </c>
      <c r="D475">
        <v>828.21900000000437</v>
      </c>
      <c r="E475">
        <v>-2226.7619130499884</v>
      </c>
      <c r="F475">
        <v>828.21900000000437</v>
      </c>
      <c r="G475">
        <v>13.092416950011739</v>
      </c>
      <c r="J475" t="str">
        <f>IF(H475="","",$P$6-'Script Table'!$E$15-'Script Table'!$E$19+H475)</f>
        <v/>
      </c>
      <c r="K475" s="132">
        <f t="shared" si="22"/>
        <v>828.21900000000437</v>
      </c>
      <c r="L475" s="132">
        <f t="shared" si="23"/>
        <v>475</v>
      </c>
      <c r="M475" s="132">
        <v>828.11900000000435</v>
      </c>
      <c r="N475" s="143">
        <v>178.49111409604626</v>
      </c>
    </row>
    <row r="476" spans="2:14">
      <c r="B476" s="130">
        <v>828.41900000000442</v>
      </c>
      <c r="C476">
        <v>23.7255327878147</v>
      </c>
      <c r="D476">
        <v>828.41900000000442</v>
      </c>
      <c r="E476">
        <v>-2226.9618455943091</v>
      </c>
      <c r="F476">
        <v>828.41900000000442</v>
      </c>
      <c r="G476">
        <v>12.892484405690993</v>
      </c>
      <c r="J476" t="str">
        <f>IF(H476="","",$P$6-'Script Table'!$E$15-'Script Table'!$E$19+H476)</f>
        <v/>
      </c>
      <c r="K476" s="132">
        <f t="shared" si="22"/>
        <v>828.41900000000442</v>
      </c>
      <c r="L476" s="132">
        <f t="shared" si="23"/>
        <v>476</v>
      </c>
      <c r="M476" s="132">
        <v>828.31900000000439</v>
      </c>
      <c r="N476" s="143">
        <v>178.4504820317174</v>
      </c>
    </row>
    <row r="477" spans="2:14">
      <c r="B477" s="130">
        <v>828.61900000000446</v>
      </c>
      <c r="C477">
        <v>23.719960935189878</v>
      </c>
      <c r="D477">
        <v>828.61900000000446</v>
      </c>
      <c r="E477">
        <v>-2227.1617735656268</v>
      </c>
      <c r="F477">
        <v>828.61900000000446</v>
      </c>
      <c r="G477">
        <v>12.692556434373273</v>
      </c>
      <c r="J477" t="str">
        <f>IF(H477="","",$P$6-'Script Table'!$E$15-'Script Table'!$E$19+H477)</f>
        <v/>
      </c>
      <c r="K477" s="132">
        <f t="shared" si="22"/>
        <v>828.61900000000446</v>
      </c>
      <c r="L477" s="132">
        <f t="shared" si="23"/>
        <v>477</v>
      </c>
      <c r="M477" s="132">
        <v>828.51900000000444</v>
      </c>
      <c r="N477" s="143">
        <v>178.40361994417151</v>
      </c>
    </row>
    <row r="478" spans="2:14">
      <c r="B478" s="130">
        <v>828.81900000000451</v>
      </c>
      <c r="C478">
        <v>23.714203070051092</v>
      </c>
      <c r="D478">
        <v>828.81900000000451</v>
      </c>
      <c r="E478">
        <v>-2227.3616961835614</v>
      </c>
      <c r="F478">
        <v>828.81900000000451</v>
      </c>
      <c r="G478">
        <v>12.492633816438683</v>
      </c>
      <c r="J478" t="str">
        <f>IF(H478="","",$P$6-'Script Table'!$E$15-'Script Table'!$E$19+H478)</f>
        <v/>
      </c>
      <c r="K478" s="132">
        <f t="shared" si="22"/>
        <v>828.81900000000451</v>
      </c>
      <c r="L478" s="132">
        <f t="shared" si="23"/>
        <v>478</v>
      </c>
      <c r="M478" s="132">
        <v>828.71900000000448</v>
      </c>
      <c r="N478" s="143">
        <v>178.35031070454855</v>
      </c>
    </row>
    <row r="479" spans="2:14">
      <c r="B479" s="130">
        <v>829.01900000000455</v>
      </c>
      <c r="C479">
        <v>23.708235787548144</v>
      </c>
      <c r="D479">
        <v>829.01900000000455</v>
      </c>
      <c r="E479">
        <v>-2227.5616125776464</v>
      </c>
      <c r="F479">
        <v>829.01900000000455</v>
      </c>
      <c r="G479">
        <v>12.292717422353689</v>
      </c>
      <c r="J479" t="str">
        <f>IF(H479="","",$P$6-'Script Table'!$E$15-'Script Table'!$E$19+H479)</f>
        <v/>
      </c>
      <c r="K479" s="132">
        <f t="shared" si="22"/>
        <v>829.01900000000455</v>
      </c>
      <c r="L479" s="132">
        <f t="shared" si="23"/>
        <v>479</v>
      </c>
      <c r="M479" s="132">
        <v>828.91900000000453</v>
      </c>
      <c r="N479" s="143">
        <v>178.29029220416331</v>
      </c>
    </row>
    <row r="480" spans="2:14">
      <c r="B480" s="130">
        <v>829.2190000000046</v>
      </c>
      <c r="C480">
        <v>23.702034614788346</v>
      </c>
      <c r="D480">
        <v>829.2190000000046</v>
      </c>
      <c r="E480">
        <v>-2227.7615217706543</v>
      </c>
      <c r="F480">
        <v>829.2190000000046</v>
      </c>
      <c r="G480">
        <v>12.092808229345792</v>
      </c>
      <c r="J480" t="str">
        <f>IF(H480="","",$P$6-'Script Table'!$E$15-'Script Table'!$E$19+H480)</f>
        <v/>
      </c>
      <c r="K480" s="132">
        <f t="shared" si="22"/>
        <v>829.2190000000046</v>
      </c>
      <c r="L480" s="132">
        <f t="shared" si="23"/>
        <v>480</v>
      </c>
      <c r="M480" s="132">
        <v>829.11900000000458</v>
      </c>
      <c r="N480" s="143">
        <v>178.22325763868994</v>
      </c>
    </row>
    <row r="481" spans="2:14">
      <c r="B481" s="130">
        <v>829.41900000000464</v>
      </c>
      <c r="C481">
        <v>23.695576681806845</v>
      </c>
      <c r="D481">
        <v>829.41900000000464</v>
      </c>
      <c r="E481">
        <v>-2227.961422751137</v>
      </c>
      <c r="F481">
        <v>829.41900000000464</v>
      </c>
      <c r="G481">
        <v>11.892907248863139</v>
      </c>
      <c r="J481" t="str">
        <f>IF(H481="","",$P$6-'Script Table'!$E$15-'Script Table'!$E$19+H481)</f>
        <v/>
      </c>
      <c r="K481" s="132">
        <f t="shared" si="22"/>
        <v>829.41900000000464</v>
      </c>
      <c r="L481" s="132">
        <f t="shared" si="23"/>
        <v>481</v>
      </c>
      <c r="M481" s="132">
        <v>829.31900000000462</v>
      </c>
      <c r="N481" s="143">
        <v>178.14966558912204</v>
      </c>
    </row>
    <row r="482" spans="2:14">
      <c r="B482" s="130">
        <v>829.61900000000469</v>
      </c>
      <c r="C482">
        <v>23.688838819179814</v>
      </c>
      <c r="D482">
        <v>829.61900000000469</v>
      </c>
      <c r="E482">
        <v>-2228.1613144092976</v>
      </c>
      <c r="F482">
        <v>829.61900000000469</v>
      </c>
      <c r="G482">
        <v>11.693015590702544</v>
      </c>
      <c r="J482" t="str">
        <f>IF(H482="","",$P$6-'Script Table'!$E$15-'Script Table'!$E$19+H482)</f>
        <v/>
      </c>
      <c r="K482" s="132">
        <f t="shared" si="22"/>
        <v>829.61900000000469</v>
      </c>
      <c r="L482" s="132">
        <f t="shared" si="23"/>
        <v>482</v>
      </c>
      <c r="M482" s="132">
        <v>829.51900000000467</v>
      </c>
      <c r="N482" s="143">
        <v>178.06942928916618</v>
      </c>
    </row>
    <row r="483" spans="2:14">
      <c r="B483" s="130">
        <v>829.81900000000473</v>
      </c>
      <c r="C483">
        <v>23.681796590033684</v>
      </c>
      <c r="D483">
        <v>829.81900000000473</v>
      </c>
      <c r="E483">
        <v>-2228.3611954931871</v>
      </c>
      <c r="F483">
        <v>829.81900000000473</v>
      </c>
      <c r="G483">
        <v>11.493134506813021</v>
      </c>
      <c r="J483" t="str">
        <f>IF(H483="","",$P$6-'Script Table'!$E$15-'Script Table'!$E$19+H483)</f>
        <v/>
      </c>
      <c r="K483" s="132">
        <f t="shared" si="22"/>
        <v>829.81900000000473</v>
      </c>
      <c r="L483" s="132">
        <f t="shared" si="23"/>
        <v>483</v>
      </c>
      <c r="M483" s="132">
        <v>829.71900000000471</v>
      </c>
      <c r="N483" s="143">
        <v>177.98218433658687</v>
      </c>
    </row>
    <row r="484" spans="2:14">
      <c r="B484" s="130">
        <v>830.01900000000478</v>
      </c>
      <c r="C484">
        <v>23.674424182246543</v>
      </c>
      <c r="D484">
        <v>830.01900000000478</v>
      </c>
      <c r="E484">
        <v>-2228.5610645882948</v>
      </c>
      <c r="F484">
        <v>830.01900000000478</v>
      </c>
      <c r="G484">
        <v>11.293265411705306</v>
      </c>
      <c r="J484" t="str">
        <f>IF(H484="","",$P$6-'Script Table'!$E$15-'Script Table'!$E$19+H484)</f>
        <v/>
      </c>
      <c r="K484" s="132">
        <f t="shared" si="22"/>
        <v>830.01900000000478</v>
      </c>
      <c r="L484" s="132">
        <f t="shared" si="23"/>
        <v>484</v>
      </c>
      <c r="M484" s="132">
        <v>829.91900000000476</v>
      </c>
      <c r="N484" s="143">
        <v>177.88753517708454</v>
      </c>
    </row>
    <row r="485" spans="2:14">
      <c r="B485" s="130">
        <v>830.21900000000483</v>
      </c>
      <c r="C485">
        <v>23.666694299659039</v>
      </c>
      <c r="D485">
        <v>830.21900000000483</v>
      </c>
      <c r="E485">
        <v>-2228.760920094524</v>
      </c>
      <c r="F485">
        <v>830.21900000000483</v>
      </c>
      <c r="G485">
        <v>11.093409905476165</v>
      </c>
      <c r="J485" t="str">
        <f>IF(H485="","",$P$6-'Script Table'!$E$15-'Script Table'!$E$19+H485)</f>
        <v/>
      </c>
      <c r="K485" s="132">
        <f t="shared" si="22"/>
        <v>830.21900000000483</v>
      </c>
      <c r="L485" s="132">
        <f t="shared" si="23"/>
        <v>485</v>
      </c>
      <c r="M485" s="132">
        <v>830.1190000000048</v>
      </c>
      <c r="N485" s="143">
        <v>177.78505476468811</v>
      </c>
    </row>
    <row r="486" spans="2:14">
      <c r="B486" s="130">
        <v>830.41900000000487</v>
      </c>
      <c r="C486">
        <v>23.658566000380919</v>
      </c>
      <c r="D486">
        <v>830.41900000000487</v>
      </c>
      <c r="E486">
        <v>-2228.960759710405</v>
      </c>
      <c r="F486">
        <v>830.41900000000487</v>
      </c>
      <c r="G486">
        <v>10.893570289595118</v>
      </c>
      <c r="J486" t="str">
        <f>IF(H486="","",$P$6-'Script Table'!$E$15-'Script Table'!$E$19+H486)</f>
        <v/>
      </c>
      <c r="K486" s="132">
        <f t="shared" si="22"/>
        <v>830.41900000000487</v>
      </c>
      <c r="L486" s="132">
        <f t="shared" si="23"/>
        <v>486</v>
      </c>
      <c r="M486" s="132">
        <v>830.31900000000485</v>
      </c>
      <c r="N486" s="143">
        <v>177.67082882512941</v>
      </c>
    </row>
    <row r="487" spans="2:14">
      <c r="B487" s="130">
        <v>830.61900000000492</v>
      </c>
      <c r="C487">
        <v>23.649994719713263</v>
      </c>
      <c r="D487">
        <v>830.61900000000492</v>
      </c>
      <c r="E487">
        <v>-2229.1605807336446</v>
      </c>
      <c r="F487">
        <v>830.61900000000492</v>
      </c>
      <c r="G487">
        <v>10.693749266355553</v>
      </c>
      <c r="J487" t="str">
        <f>IF(H487="","",$P$6-'Script Table'!$E$15-'Script Table'!$E$19+H487)</f>
        <v/>
      </c>
      <c r="K487" s="132">
        <f t="shared" si="22"/>
        <v>830.61900000000492</v>
      </c>
      <c r="L487" s="132">
        <f t="shared" si="23"/>
        <v>487</v>
      </c>
      <c r="M487" s="132">
        <v>830.51900000000489</v>
      </c>
      <c r="N487" s="143">
        <v>177.54381530746505</v>
      </c>
    </row>
    <row r="488" spans="2:14">
      <c r="B488" s="130">
        <v>830.81900000000496</v>
      </c>
      <c r="C488">
        <v>23.640933006921571</v>
      </c>
      <c r="D488">
        <v>830.81900000000496</v>
      </c>
      <c r="E488">
        <v>-2229.3603800339019</v>
      </c>
      <c r="F488">
        <v>830.81900000000496</v>
      </c>
      <c r="G488">
        <v>10.493949966098171</v>
      </c>
      <c r="J488" t="str">
        <f>IF(H488="","",$P$6-'Script Table'!$E$15-'Script Table'!$E$19+H488)</f>
        <v/>
      </c>
      <c r="K488" s="132">
        <f t="shared" si="22"/>
        <v>830.81900000000496</v>
      </c>
      <c r="L488" s="132">
        <f t="shared" si="23"/>
        <v>488</v>
      </c>
      <c r="M488" s="132">
        <v>830.71900000000494</v>
      </c>
      <c r="N488" s="143">
        <v>177.40318238941089</v>
      </c>
    </row>
    <row r="489" spans="2:14">
      <c r="B489" s="130">
        <v>831.01900000000501</v>
      </c>
      <c r="C489">
        <v>23.631330228985075</v>
      </c>
      <c r="D489">
        <v>831.01900000000501</v>
      </c>
      <c r="E489">
        <v>-2229.560153977402</v>
      </c>
      <c r="F489">
        <v>831.01900000000501</v>
      </c>
      <c r="G489">
        <v>10.294176022598094</v>
      </c>
      <c r="J489" t="str">
        <f>IF(H489="","",$P$6-'Script Table'!$E$15-'Script Table'!$E$19+H489)</f>
        <v/>
      </c>
      <c r="K489" s="132">
        <f t="shared" si="22"/>
        <v>831.01900000000501</v>
      </c>
      <c r="L489" s="132">
        <f t="shared" si="23"/>
        <v>489</v>
      </c>
      <c r="M489" s="132">
        <v>830.91900000000498</v>
      </c>
      <c r="N489" s="143">
        <v>177.24801207955025</v>
      </c>
    </row>
    <row r="490" spans="2:14">
      <c r="B490" s="130">
        <v>831.21900000000505</v>
      </c>
      <c r="C490">
        <v>23.62113742334811</v>
      </c>
      <c r="D490">
        <v>831.21900000000505</v>
      </c>
      <c r="E490">
        <v>-2229.7598986027715</v>
      </c>
      <c r="F490">
        <v>831.21900000000505</v>
      </c>
      <c r="G490">
        <v>10.094431397228618</v>
      </c>
      <c r="J490" t="str">
        <f>IF(H490="","",$P$6-'Script Table'!$E$15-'Script Table'!$E$19+H490)</f>
        <v/>
      </c>
      <c r="K490" s="132">
        <f t="shared" si="22"/>
        <v>831.21900000000505</v>
      </c>
      <c r="L490" s="132">
        <f t="shared" si="23"/>
        <v>490</v>
      </c>
      <c r="M490" s="132">
        <v>831.11900000000503</v>
      </c>
      <c r="N490" s="143">
        <v>177.07877685300778</v>
      </c>
    </row>
    <row r="491" spans="2:14">
      <c r="B491" s="130">
        <v>831.4190000000051</v>
      </c>
      <c r="C491">
        <v>23.61030505863728</v>
      </c>
      <c r="D491">
        <v>831.4190000000051</v>
      </c>
      <c r="E491">
        <v>-2229.9596094820663</v>
      </c>
      <c r="F491">
        <v>831.4190000000051</v>
      </c>
      <c r="G491">
        <v>9.8947205179338198</v>
      </c>
      <c r="J491" t="str">
        <f>IF(H491="","",$P$6-'Script Table'!$E$15-'Script Table'!$E$19+H491)</f>
        <v/>
      </c>
      <c r="K491" s="132">
        <f t="shared" si="22"/>
        <v>831.4190000000051</v>
      </c>
      <c r="L491" s="132">
        <f t="shared" si="23"/>
        <v>491</v>
      </c>
      <c r="M491" s="132">
        <v>831.31900000000508</v>
      </c>
      <c r="N491" s="143">
        <v>176.89530583296576</v>
      </c>
    </row>
    <row r="492" spans="2:14">
      <c r="B492" s="130">
        <v>831.61900000000514</v>
      </c>
      <c r="C492">
        <v>23.598780194973507</v>
      </c>
      <c r="D492">
        <v>831.61900000000514</v>
      </c>
      <c r="E492">
        <v>-2230.1592815124332</v>
      </c>
      <c r="F492">
        <v>831.61900000000514</v>
      </c>
      <c r="G492">
        <v>9.6950484875669645</v>
      </c>
      <c r="J492" t="str">
        <f>IF(H492="","",$P$6-'Script Table'!$E$15-'Script Table'!$E$19+H492)</f>
        <v/>
      </c>
      <c r="K492" s="132">
        <f t="shared" si="22"/>
        <v>831.61900000000514</v>
      </c>
      <c r="L492" s="132">
        <f t="shared" si="23"/>
        <v>492</v>
      </c>
      <c r="M492" s="132">
        <v>831.51900000000512</v>
      </c>
      <c r="N492" s="143">
        <v>176.69661183422923</v>
      </c>
    </row>
    <row r="493" spans="2:14">
      <c r="B493" s="130">
        <v>831.81900000000519</v>
      </c>
      <c r="C493">
        <v>23.586506276717586</v>
      </c>
      <c r="D493">
        <v>831.81900000000519</v>
      </c>
      <c r="E493">
        <v>-2230.3589088148155</v>
      </c>
      <c r="F493">
        <v>831.81900000000519</v>
      </c>
      <c r="G493">
        <v>9.4954211851845685</v>
      </c>
      <c r="J493" t="str">
        <f>IF(H493="","",$P$6-'Script Table'!$E$15-'Script Table'!$E$19+H493)</f>
        <v/>
      </c>
      <c r="K493" s="132">
        <f t="shared" si="22"/>
        <v>831.81900000000519</v>
      </c>
      <c r="L493" s="132">
        <f t="shared" si="23"/>
        <v>493</v>
      </c>
      <c r="M493" s="132">
        <v>831.71900000000517</v>
      </c>
      <c r="N493" s="143">
        <v>176.48164578547863</v>
      </c>
    </row>
    <row r="494" spans="2:14">
      <c r="B494" s="130">
        <v>832.01900000000524</v>
      </c>
      <c r="C494">
        <v>23.573425440840968</v>
      </c>
      <c r="D494">
        <v>832.01900000000524</v>
      </c>
      <c r="E494">
        <v>-2230.5584847837081</v>
      </c>
      <c r="F494">
        <v>832.01900000000524</v>
      </c>
      <c r="G494">
        <v>9.2958452162920366</v>
      </c>
      <c r="J494" t="str">
        <f>IF(H494="","",$P$6-'Script Table'!$E$15-'Script Table'!$E$19+H494)</f>
        <v/>
      </c>
      <c r="K494" s="132">
        <f t="shared" si="22"/>
        <v>832.01900000000524</v>
      </c>
      <c r="L494" s="132">
        <f t="shared" si="23"/>
        <v>494</v>
      </c>
      <c r="M494" s="132">
        <v>831.91900000000521</v>
      </c>
      <c r="N494" s="143">
        <v>176.2500183577007</v>
      </c>
    </row>
    <row r="495" spans="2:14">
      <c r="B495" s="130">
        <v>832.21900000000528</v>
      </c>
      <c r="C495">
        <v>23.559476480745186</v>
      </c>
      <c r="D495">
        <v>832.21900000000528</v>
      </c>
      <c r="E495">
        <v>-2230.758001872714</v>
      </c>
      <c r="F495">
        <v>832.21900000000528</v>
      </c>
      <c r="G495">
        <v>9.0963281272861423</v>
      </c>
      <c r="J495" t="str">
        <f>IF(H495="","",$P$6-'Script Table'!$E$15-'Script Table'!$E$19+H495)</f>
        <v/>
      </c>
      <c r="K495" s="132">
        <f t="shared" si="22"/>
        <v>832.21900000000528</v>
      </c>
      <c r="L495" s="132">
        <f t="shared" si="23"/>
        <v>495</v>
      </c>
      <c r="M495" s="132">
        <v>832.11900000000526</v>
      </c>
      <c r="N495" s="143">
        <v>176.00075269372357</v>
      </c>
    </row>
    <row r="496" spans="2:14">
      <c r="B496" s="130">
        <v>832.41900000000533</v>
      </c>
      <c r="C496">
        <v>23.544594191858717</v>
      </c>
      <c r="D496">
        <v>832.41900000000533</v>
      </c>
      <c r="E496">
        <v>-2230.9574514312462</v>
      </c>
      <c r="F496">
        <v>832.41900000000533</v>
      </c>
      <c r="G496">
        <v>8.8968785687538912</v>
      </c>
      <c r="J496" t="str">
        <f>IF(H496="","",$P$6-'Script Table'!$E$15-'Script Table'!$E$19+H496)</f>
        <v/>
      </c>
      <c r="K496" s="132">
        <f t="shared" si="22"/>
        <v>832.41900000000533</v>
      </c>
      <c r="L496" s="132">
        <f t="shared" si="23"/>
        <v>496</v>
      </c>
      <c r="M496" s="132">
        <v>832.3190000000053</v>
      </c>
      <c r="N496" s="143">
        <v>175.73267992164713</v>
      </c>
    </row>
    <row r="497" spans="2:14">
      <c r="B497" s="130">
        <v>832.61900000000537</v>
      </c>
      <c r="C497">
        <v>23.528706531908711</v>
      </c>
      <c r="D497">
        <v>832.61900000000537</v>
      </c>
      <c r="E497">
        <v>-2231.1568233394109</v>
      </c>
      <c r="F497">
        <v>832.61900000000537</v>
      </c>
      <c r="G497">
        <v>8.6975066605891698</v>
      </c>
      <c r="J497" t="str">
        <f>IF(H497="","",$P$6-'Script Table'!$E$15-'Script Table'!$E$19+H497)</f>
        <v/>
      </c>
      <c r="K497" s="132">
        <f t="shared" si="22"/>
        <v>832.61900000000537</v>
      </c>
      <c r="L497" s="132">
        <f t="shared" si="23"/>
        <v>497</v>
      </c>
      <c r="M497" s="132">
        <v>832.51900000000535</v>
      </c>
      <c r="N497" s="143">
        <v>175.4438099897223</v>
      </c>
    </row>
    <row r="498" spans="2:14">
      <c r="B498" s="130">
        <v>832.81900000000542</v>
      </c>
      <c r="C498">
        <v>23.511735420523511</v>
      </c>
      <c r="D498">
        <v>832.81900000000542</v>
      </c>
      <c r="E498">
        <v>-2231.3561058610067</v>
      </c>
      <c r="F498">
        <v>832.81900000000542</v>
      </c>
      <c r="G498">
        <v>8.4982241389934643</v>
      </c>
      <c r="J498" t="str">
        <f>IF(H498="","",$P$6-'Script Table'!$E$15-'Script Table'!$E$19+H498)</f>
        <v/>
      </c>
      <c r="K498" s="132">
        <f t="shared" si="22"/>
        <v>832.81900000000542</v>
      </c>
      <c r="L498" s="132">
        <f t="shared" si="23"/>
        <v>498</v>
      </c>
      <c r="M498" s="132">
        <v>832.71900000000539</v>
      </c>
      <c r="N498" s="143">
        <v>175.13237516862827</v>
      </c>
    </row>
    <row r="499" spans="2:14">
      <c r="B499" s="130">
        <v>833.01900000000546</v>
      </c>
      <c r="C499">
        <v>23.493597946525487</v>
      </c>
      <c r="D499">
        <v>833.01900000000546</v>
      </c>
      <c r="E499">
        <v>-2231.5552855300125</v>
      </c>
      <c r="F499">
        <v>833.01900000000546</v>
      </c>
      <c r="G499">
        <v>8.2990444699876207</v>
      </c>
      <c r="J499" t="str">
        <f>IF(H499="","",$P$6-'Script Table'!$E$15-'Script Table'!$E$19+H499)</f>
        <v/>
      </c>
      <c r="K499" s="132">
        <f t="shared" si="22"/>
        <v>833.01900000000546</v>
      </c>
      <c r="L499" s="132">
        <f t="shared" si="23"/>
        <v>499</v>
      </c>
      <c r="M499" s="132">
        <v>832.91900000000544</v>
      </c>
      <c r="N499" s="143">
        <v>174.79694617534645</v>
      </c>
    </row>
    <row r="500" spans="2:14">
      <c r="B500" s="130">
        <v>833.21900000000551</v>
      </c>
      <c r="C500">
        <v>23.474211330508329</v>
      </c>
      <c r="D500">
        <v>833.21900000000551</v>
      </c>
      <c r="E500">
        <v>-2231.7543474149611</v>
      </c>
      <c r="F500">
        <v>833.21900000000551</v>
      </c>
      <c r="G500">
        <v>8.0999825850390152</v>
      </c>
      <c r="J500" t="str">
        <f>IF(H500="","",$P$6-'Script Table'!$E$15-'Script Table'!$E$19+H500)</f>
        <v/>
      </c>
      <c r="K500" s="132">
        <f t="shared" si="22"/>
        <v>833.21900000000551</v>
      </c>
      <c r="L500" s="132">
        <f t="shared" si="23"/>
        <v>500</v>
      </c>
      <c r="M500" s="132">
        <v>833.11900000000549</v>
      </c>
      <c r="N500" s="143">
        <v>174.43751215042039</v>
      </c>
    </row>
    <row r="501" spans="2:14">
      <c r="B501" s="130">
        <v>833.41900000000555</v>
      </c>
      <c r="C501">
        <v>23.453490575698435</v>
      </c>
      <c r="D501">
        <v>833.41900000000555</v>
      </c>
      <c r="E501">
        <v>-2231.9532747674884</v>
      </c>
      <c r="F501">
        <v>833.41900000000555</v>
      </c>
      <c r="G501">
        <v>7.9010552325116805</v>
      </c>
      <c r="J501" t="str">
        <f>IF(H501="","",$P$6-'Script Table'!$E$15-'Script Table'!$E$19+H501)</f>
        <v/>
      </c>
      <c r="K501" s="132">
        <f t="shared" si="22"/>
        <v>833.41900000000555</v>
      </c>
      <c r="L501" s="132">
        <f t="shared" si="23"/>
        <v>501</v>
      </c>
      <c r="M501" s="132">
        <v>833.31900000000553</v>
      </c>
      <c r="N501" s="143">
        <v>174.05337754598605</v>
      </c>
    </row>
    <row r="502" spans="2:14">
      <c r="B502" s="130">
        <v>833.6190000000056</v>
      </c>
      <c r="C502">
        <v>23.431345837203761</v>
      </c>
      <c r="D502">
        <v>833.6190000000056</v>
      </c>
      <c r="E502">
        <v>-2232.1520485537126</v>
      </c>
      <c r="F502">
        <v>833.6190000000056</v>
      </c>
      <c r="G502">
        <v>7.7022814462875431</v>
      </c>
      <c r="J502" t="str">
        <f>IF(H502="","",$P$6-'Script Table'!$E$15-'Script Table'!$E$19+H502)</f>
        <v/>
      </c>
      <c r="K502" s="132">
        <f t="shared" si="22"/>
        <v>833.6190000000056</v>
      </c>
      <c r="L502" s="132">
        <f t="shared" si="23"/>
        <v>502</v>
      </c>
      <c r="M502" s="132">
        <v>833.51900000000558</v>
      </c>
      <c r="N502" s="143">
        <v>173.6430773664103</v>
      </c>
    </row>
    <row r="503" spans="2:14">
      <c r="B503" s="130">
        <v>833.81900000000564</v>
      </c>
      <c r="C503">
        <v>23.407662299226633</v>
      </c>
      <c r="D503">
        <v>833.81900000000564</v>
      </c>
      <c r="E503">
        <v>-2232.3506447866484</v>
      </c>
      <c r="F503">
        <v>833.81900000000564</v>
      </c>
      <c r="G503">
        <v>7.5036852133516732</v>
      </c>
      <c r="J503" t="str">
        <f>IF(H503="","",$P$6-'Script Table'!$E$15-'Script Table'!$E$19+H503)</f>
        <v/>
      </c>
      <c r="K503" s="132">
        <f t="shared" si="22"/>
        <v>833.81900000000564</v>
      </c>
      <c r="L503" s="132">
        <f t="shared" si="23"/>
        <v>503</v>
      </c>
      <c r="M503" s="132">
        <v>833.71900000000562</v>
      </c>
      <c r="N503" s="143">
        <v>173.19932556838123</v>
      </c>
    </row>
    <row r="504" spans="2:14">
      <c r="B504" s="130">
        <v>834.01900000000569</v>
      </c>
      <c r="C504">
        <v>23.382317070782769</v>
      </c>
      <c r="D504">
        <v>834.01900000000569</v>
      </c>
      <c r="E504">
        <v>-2232.5490357117701</v>
      </c>
      <c r="F504">
        <v>834.01900000000569</v>
      </c>
      <c r="G504">
        <v>7.3052942882300158</v>
      </c>
      <c r="J504" t="str">
        <f>IF(H504="","",$P$6-'Script Table'!$E$15-'Script Table'!$E$19+H504)</f>
        <v/>
      </c>
      <c r="K504" s="132">
        <f t="shared" si="22"/>
        <v>834.01900000000569</v>
      </c>
      <c r="L504" s="132">
        <f t="shared" si="23"/>
        <v>504</v>
      </c>
      <c r="M504" s="132">
        <v>833.91900000000567</v>
      </c>
      <c r="N504" s="143">
        <v>172.71967332587883</v>
      </c>
    </row>
    <row r="505" spans="2:14">
      <c r="B505" s="130">
        <v>834.21900000000574</v>
      </c>
      <c r="C505">
        <v>23.355189510625291</v>
      </c>
      <c r="D505">
        <v>834.21900000000574</v>
      </c>
      <c r="E505">
        <v>-2232.7471907046684</v>
      </c>
      <c r="F505">
        <v>834.21900000000574</v>
      </c>
      <c r="G505">
        <v>7.1071392953317627</v>
      </c>
      <c r="J505" t="str">
        <f>IF(H505="","",$P$6-'Script Table'!$E$15-'Script Table'!$E$19+H505)</f>
        <v/>
      </c>
      <c r="K505" s="132">
        <f t="shared" si="22"/>
        <v>834.21900000000574</v>
      </c>
      <c r="L505" s="132">
        <f t="shared" si="23"/>
        <v>505</v>
      </c>
      <c r="M505" s="132">
        <v>834.11900000000571</v>
      </c>
      <c r="N505" s="143">
        <v>172.20462559860479</v>
      </c>
    </row>
    <row r="506" spans="2:14">
      <c r="B506" s="130">
        <v>834.41900000000578</v>
      </c>
      <c r="C506">
        <v>23.326169756010486</v>
      </c>
      <c r="D506">
        <v>834.41900000000578</v>
      </c>
      <c r="E506">
        <v>-2232.94507735257</v>
      </c>
      <c r="F506">
        <v>834.41900000000578</v>
      </c>
      <c r="G506">
        <v>6.9092526474300939</v>
      </c>
      <c r="J506" t="str">
        <f>IF(H506="","",$P$6-'Script Table'!$E$15-'Script Table'!$E$19+H506)</f>
        <v/>
      </c>
      <c r="K506" s="132">
        <f t="shared" si="22"/>
        <v>834.41900000000578</v>
      </c>
      <c r="L506" s="132">
        <f t="shared" si="23"/>
        <v>506</v>
      </c>
      <c r="M506" s="132">
        <v>834.31900000000576</v>
      </c>
      <c r="N506" s="143">
        <v>171.65713459239655</v>
      </c>
    </row>
    <row r="507" spans="2:14">
      <c r="B507" s="130">
        <v>834.61900000000583</v>
      </c>
      <c r="C507">
        <v>23.295142607822758</v>
      </c>
      <c r="D507">
        <v>834.61900000000583</v>
      </c>
      <c r="E507">
        <v>-2233.1426591163454</v>
      </c>
      <c r="F507">
        <v>834.61900000000583</v>
      </c>
      <c r="G507">
        <v>6.7116708836547332</v>
      </c>
      <c r="J507" t="str">
        <f>IF(H507="","",$P$6-'Script Table'!$E$15-'Script Table'!$E$19+H507)</f>
        <v/>
      </c>
      <c r="K507" s="132">
        <f t="shared" si="22"/>
        <v>834.61900000000583</v>
      </c>
      <c r="L507" s="132">
        <f t="shared" si="23"/>
        <v>507</v>
      </c>
      <c r="M507" s="132">
        <v>834.5190000000058</v>
      </c>
      <c r="N507" s="143">
        <v>171.07547029090048</v>
      </c>
    </row>
    <row r="508" spans="2:14">
      <c r="B508" s="130">
        <v>834.81900000000587</v>
      </c>
      <c r="C508">
        <v>23.261980250196899</v>
      </c>
      <c r="D508">
        <v>834.81900000000587</v>
      </c>
      <c r="E508">
        <v>-2233.3398936491476</v>
      </c>
      <c r="F508">
        <v>834.81900000000587</v>
      </c>
      <c r="G508">
        <v>6.5144363508525203</v>
      </c>
      <c r="J508" t="str">
        <f>IF(H508="","",$P$6-'Script Table'!$E$15-'Script Table'!$E$19+H508)</f>
        <v/>
      </c>
      <c r="K508" s="132">
        <f t="shared" si="22"/>
        <v>834.81900000000587</v>
      </c>
      <c r="L508" s="132">
        <f t="shared" si="23"/>
        <v>508</v>
      </c>
      <c r="M508" s="132">
        <v>834.71900000000585</v>
      </c>
      <c r="N508" s="143">
        <v>170.45574872191639</v>
      </c>
    </row>
    <row r="509" spans="2:14">
      <c r="B509" s="130">
        <v>835.01900000000592</v>
      </c>
      <c r="C509">
        <v>23.226548697439679</v>
      </c>
      <c r="D509">
        <v>835.01900000000592</v>
      </c>
      <c r="E509">
        <v>-2233.5367331101547</v>
      </c>
      <c r="F509">
        <v>835.01900000000592</v>
      </c>
      <c r="G509">
        <v>6.3175968898453903</v>
      </c>
      <c r="J509" t="str">
        <f>IF(H509="","",$P$6-'Script Table'!$E$15-'Script Table'!$E$19+H509)</f>
        <v/>
      </c>
      <c r="K509" s="132">
        <f t="shared" si="22"/>
        <v>835.01900000000592</v>
      </c>
      <c r="L509" s="132">
        <f t="shared" si="23"/>
        <v>509</v>
      </c>
      <c r="M509" s="132">
        <v>834.91900000000589</v>
      </c>
      <c r="N509" s="143">
        <v>169.7958994668052</v>
      </c>
    </row>
    <row r="510" spans="2:14">
      <c r="B510" s="130">
        <v>835.21900000000596</v>
      </c>
      <c r="C510">
        <v>23.188703876556012</v>
      </c>
      <c r="D510">
        <v>835.21900000000596</v>
      </c>
      <c r="E510">
        <v>-2233.7331227818813</v>
      </c>
      <c r="F510">
        <v>835.21900000000596</v>
      </c>
      <c r="G510">
        <v>6.1212072181187978</v>
      </c>
      <c r="J510" t="str">
        <f>IF(H510="","",$P$6-'Script Table'!$E$15-'Script Table'!$E$19+H510)</f>
        <v/>
      </c>
      <c r="K510" s="132">
        <f t="shared" si="22"/>
        <v>835.21900000000596</v>
      </c>
      <c r="L510" s="132">
        <f t="shared" si="23"/>
        <v>510</v>
      </c>
      <c r="M510" s="132">
        <v>835.11900000000594</v>
      </c>
      <c r="N510" s="143">
        <v>169.09264916352711</v>
      </c>
    </row>
    <row r="511" spans="2:14">
      <c r="B511" s="130">
        <v>835.41900000000601</v>
      </c>
      <c r="C511">
        <v>23.14829321251662</v>
      </c>
      <c r="D511">
        <v>835.41900000000601</v>
      </c>
      <c r="E511">
        <v>-2233.9290004911231</v>
      </c>
      <c r="F511">
        <v>835.41900000000601</v>
      </c>
      <c r="G511">
        <v>5.9253295088769846</v>
      </c>
      <c r="J511" t="str">
        <f>IF(H511="","",$P$6-'Script Table'!$E$15-'Script Table'!$E$19+H511)</f>
        <v/>
      </c>
      <c r="K511" s="132">
        <f t="shared" si="22"/>
        <v>835.41900000000601</v>
      </c>
      <c r="L511" s="132">
        <f t="shared" si="23"/>
        <v>511</v>
      </c>
      <c r="M511" s="132">
        <v>835.31900000000599</v>
      </c>
      <c r="N511" s="143">
        <v>168.34310499166131</v>
      </c>
    </row>
    <row r="512" spans="2:14">
      <c r="B512" s="130">
        <v>835.61900000000605</v>
      </c>
      <c r="C512">
        <v>23.1051559057736</v>
      </c>
      <c r="D512">
        <v>835.61900000000605</v>
      </c>
      <c r="E512">
        <v>-2234.1242957456629</v>
      </c>
      <c r="F512">
        <v>835.61900000000605</v>
      </c>
      <c r="G512">
        <v>5.7300342543371698</v>
      </c>
      <c r="J512" t="str">
        <f>IF(H512="","",$P$6-'Script Table'!$E$15-'Script Table'!$E$19+H512)</f>
        <v/>
      </c>
      <c r="K512" s="132">
        <f t="shared" si="22"/>
        <v>835.61900000000605</v>
      </c>
      <c r="L512" s="132">
        <f t="shared" si="23"/>
        <v>512</v>
      </c>
      <c r="M512" s="132">
        <v>835.51900000000603</v>
      </c>
      <c r="N512" s="143">
        <v>167.54436043281947</v>
      </c>
    </row>
    <row r="513" spans="2:14">
      <c r="B513" s="130">
        <v>835.8190000000061</v>
      </c>
      <c r="C513">
        <v>23.059121261256216</v>
      </c>
      <c r="D513">
        <v>835.8190000000061</v>
      </c>
      <c r="E513">
        <v>-2234.3189283223751</v>
      </c>
      <c r="F513">
        <v>835.8190000000061</v>
      </c>
      <c r="G513">
        <v>5.5354016776250319</v>
      </c>
      <c r="J513" t="str">
        <f>IF(H513="","",$P$6-'Script Table'!$E$15-'Script Table'!$E$19+H513)</f>
        <v/>
      </c>
      <c r="K513" s="132">
        <f t="shared" si="22"/>
        <v>835.8190000000061</v>
      </c>
      <c r="L513" s="132">
        <f t="shared" si="23"/>
        <v>513</v>
      </c>
      <c r="M513" s="132">
        <v>835.71900000000608</v>
      </c>
      <c r="N513" s="143">
        <v>166.69290391172177</v>
      </c>
    </row>
    <row r="514" spans="2:14">
      <c r="B514" s="130">
        <v>836.01900000000614</v>
      </c>
      <c r="C514">
        <v>23.01002016142014</v>
      </c>
      <c r="D514">
        <v>836.01900000000614</v>
      </c>
      <c r="E514">
        <v>-2234.5128099226959</v>
      </c>
      <c r="F514">
        <v>836.01900000000614</v>
      </c>
      <c r="G514">
        <v>5.341520077304267</v>
      </c>
      <c r="J514" t="str">
        <f>IF(H514="","",$P$6-'Script Table'!$E$15-'Script Table'!$E$19+H514)</f>
        <v/>
      </c>
      <c r="K514" s="132">
        <f t="shared" si="22"/>
        <v>836.01900000000614</v>
      </c>
      <c r="L514" s="132">
        <f t="shared" si="23"/>
        <v>514</v>
      </c>
      <c r="M514" s="132">
        <v>835.91900000000612</v>
      </c>
      <c r="N514" s="143">
        <v>165.78847098137422</v>
      </c>
    </row>
    <row r="515" spans="2:14">
      <c r="B515" s="130">
        <v>836.21900000000619</v>
      </c>
      <c r="C515">
        <v>22.957701835439511</v>
      </c>
      <c r="D515">
        <v>836.21900000000619</v>
      </c>
      <c r="E515">
        <v>-2234.7058481315294</v>
      </c>
      <c r="F515">
        <v>836.21900000000619</v>
      </c>
      <c r="G515">
        <v>5.1484818684707534</v>
      </c>
      <c r="J515" t="str">
        <f>IF(H515="","",$P$6-'Script Table'!$E$15-'Script Table'!$E$19+H515)</f>
        <v/>
      </c>
      <c r="K515" s="132">
        <f t="shared" si="22"/>
        <v>836.21900000000619</v>
      </c>
      <c r="L515" s="132">
        <f t="shared" si="23"/>
        <v>515</v>
      </c>
      <c r="M515" s="132">
        <v>836.11900000000617</v>
      </c>
      <c r="N515" s="143">
        <v>164.83566100900788</v>
      </c>
    </row>
    <row r="516" spans="2:14">
      <c r="B516" s="130">
        <v>836.41900000000624</v>
      </c>
      <c r="C516">
        <v>22.902009516502023</v>
      </c>
      <c r="D516">
        <v>836.41900000000624</v>
      </c>
      <c r="E516">
        <v>-2234.8979400030039</v>
      </c>
      <c r="F516">
        <v>836.41900000000624</v>
      </c>
      <c r="G516">
        <v>4.9563899969962222</v>
      </c>
      <c r="J516" t="str">
        <f>IF(H516="","",$P$6-'Script Table'!$E$15-'Script Table'!$E$19+H516)</f>
        <v/>
      </c>
      <c r="K516" s="132">
        <f t="shared" ref="K516:K579" si="24">F516</f>
        <v>836.41900000000624</v>
      </c>
      <c r="L516" s="132">
        <f t="shared" si="23"/>
        <v>516</v>
      </c>
      <c r="M516" s="132">
        <v>836.31900000000621</v>
      </c>
      <c r="N516" s="143">
        <v>163.83178202484152</v>
      </c>
    </row>
    <row r="517" spans="2:14">
      <c r="B517" s="130">
        <v>836.61900000000628</v>
      </c>
      <c r="C517">
        <v>22.842760515589234</v>
      </c>
      <c r="D517">
        <v>836.61900000000628</v>
      </c>
      <c r="E517">
        <v>-2235.0889647169265</v>
      </c>
      <c r="F517">
        <v>836.61900000000628</v>
      </c>
      <c r="G517">
        <v>4.7653652830736064</v>
      </c>
      <c r="J517" t="str">
        <f>IF(H517="","",$P$6-'Script Table'!$E$15-'Script Table'!$E$19+H517)</f>
        <v/>
      </c>
      <c r="K517" s="132">
        <f t="shared" si="24"/>
        <v>836.61900000000628</v>
      </c>
      <c r="L517" s="132">
        <f t="shared" si="23"/>
        <v>517</v>
      </c>
      <c r="M517" s="132">
        <v>836.51900000000626</v>
      </c>
      <c r="N517" s="143">
        <v>162.76798837410925</v>
      </c>
    </row>
    <row r="518" spans="2:14">
      <c r="B518" s="130">
        <v>836.81900000000633</v>
      </c>
      <c r="C518">
        <v>22.779770920216251</v>
      </c>
      <c r="D518">
        <v>836.81900000000633</v>
      </c>
      <c r="E518">
        <v>-2235.278788740884</v>
      </c>
      <c r="F518">
        <v>836.81900000000633</v>
      </c>
      <c r="G518">
        <v>4.5755412591161075</v>
      </c>
      <c r="J518" t="str">
        <f>IF(H518="","",$P$6-'Script Table'!$E$15-'Script Table'!$E$19+H518)</f>
        <v/>
      </c>
      <c r="K518" s="132">
        <f t="shared" si="24"/>
        <v>836.81900000000633</v>
      </c>
      <c r="L518" s="132">
        <f t="shared" ref="L518:L581" si="25">L517+1</f>
        <v>518</v>
      </c>
      <c r="M518" s="132">
        <v>836.7190000000063</v>
      </c>
      <c r="N518" s="143">
        <v>161.64252858211208</v>
      </c>
    </row>
    <row r="519" spans="2:14">
      <c r="B519" s="130">
        <v>837.01900000000637</v>
      </c>
      <c r="C519">
        <v>22.712866518763452</v>
      </c>
      <c r="D519">
        <v>837.01900000000637</v>
      </c>
      <c r="E519">
        <v>-2235.4672684847233</v>
      </c>
      <c r="F519">
        <v>837.01900000000637</v>
      </c>
      <c r="G519">
        <v>4.3870615152768551</v>
      </c>
      <c r="J519" t="str">
        <f>IF(H519="","",$P$6-'Script Table'!$E$15-'Script Table'!$E$19+H519)</f>
        <v/>
      </c>
      <c r="K519" s="132">
        <f t="shared" si="24"/>
        <v>837.01900000000637</v>
      </c>
      <c r="L519" s="132">
        <f t="shared" si="25"/>
        <v>519</v>
      </c>
      <c r="M519" s="132">
        <v>836.91900000000635</v>
      </c>
      <c r="N519" s="143">
        <v>160.45673254611143</v>
      </c>
    </row>
    <row r="520" spans="2:14">
      <c r="B520" s="130">
        <v>837.21900000000642</v>
      </c>
      <c r="C520">
        <v>22.641873846470116</v>
      </c>
      <c r="D520">
        <v>837.21900000000642</v>
      </c>
      <c r="E520">
        <v>-2235.6542466028509</v>
      </c>
      <c r="F520">
        <v>837.21900000000642</v>
      </c>
      <c r="G520">
        <v>4.2000833971492284</v>
      </c>
      <c r="J520" t="str">
        <f>IF(H520="","",$P$6-'Script Table'!$E$15-'Script Table'!$E$19+H520)</f>
        <v/>
      </c>
      <c r="K520" s="132">
        <f t="shared" si="24"/>
        <v>837.21900000000642</v>
      </c>
      <c r="L520" s="132">
        <f t="shared" si="25"/>
        <v>520</v>
      </c>
      <c r="M520" s="132">
        <v>837.11900000000639</v>
      </c>
      <c r="N520" s="143">
        <v>159.20901215750322</v>
      </c>
    </row>
    <row r="521" spans="2:14">
      <c r="B521" s="130">
        <v>837.41900000000646</v>
      </c>
      <c r="C521">
        <v>22.56661398942979</v>
      </c>
      <c r="D521">
        <v>837.41900000000646</v>
      </c>
      <c r="E521">
        <v>-2235.8395482308661</v>
      </c>
      <c r="F521">
        <v>837.41900000000646</v>
      </c>
      <c r="G521">
        <v>4.0147817691340606</v>
      </c>
      <c r="J521" t="str">
        <f>IF(H521="","",$P$6-'Script Table'!$E$15-'Script Table'!$E$19+H521)</f>
        <v/>
      </c>
      <c r="K521" s="132">
        <f t="shared" si="24"/>
        <v>837.41900000000646</v>
      </c>
      <c r="L521" s="132">
        <f t="shared" si="25"/>
        <v>521</v>
      </c>
      <c r="M521" s="132">
        <v>837.31900000000644</v>
      </c>
      <c r="N521" s="143">
        <v>157.8955757052984</v>
      </c>
    </row>
    <row r="522" spans="2:14">
      <c r="B522" s="130">
        <v>837.61900000000651</v>
      </c>
      <c r="C522">
        <v>22.486911578705044</v>
      </c>
      <c r="D522">
        <v>837.61900000000651</v>
      </c>
      <c r="E522">
        <v>-2236.0229827648809</v>
      </c>
      <c r="F522">
        <v>837.61900000000651</v>
      </c>
      <c r="G522">
        <v>3.8313472351192104</v>
      </c>
      <c r="J522" t="str">
        <f>IF(H522="","",$P$6-'Script Table'!$E$15-'Script Table'!$E$19+H522)</f>
        <v/>
      </c>
      <c r="K522" s="132">
        <f t="shared" si="24"/>
        <v>837.61900000000651</v>
      </c>
      <c r="L522" s="132">
        <f t="shared" si="25"/>
        <v>522</v>
      </c>
      <c r="M522" s="132">
        <v>837.51900000000649</v>
      </c>
      <c r="N522" s="143">
        <v>156.51502595547004</v>
      </c>
    </row>
    <row r="523" spans="2:14">
      <c r="B523" s="130">
        <v>837.81900000000655</v>
      </c>
      <c r="C523">
        <v>22.40260563592366</v>
      </c>
      <c r="D523">
        <v>837.81900000000655</v>
      </c>
      <c r="E523">
        <v>-2236.204347517772</v>
      </c>
      <c r="F523">
        <v>837.81900000000655</v>
      </c>
      <c r="G523">
        <v>3.6499824822280971</v>
      </c>
      <c r="J523" t="str">
        <f>IF(H523="","",$P$6-'Script Table'!$E$15-'Script Table'!$E$19+H523)</f>
        <v/>
      </c>
      <c r="K523" s="132">
        <f t="shared" si="24"/>
        <v>837.81900000000655</v>
      </c>
      <c r="L523" s="132">
        <f t="shared" si="25"/>
        <v>523</v>
      </c>
      <c r="M523" s="132">
        <v>837.71900000000653</v>
      </c>
      <c r="N523" s="143">
        <v>155.06901913356117</v>
      </c>
    </row>
    <row r="524" spans="2:14">
      <c r="B524" s="130">
        <v>838.0190000000066</v>
      </c>
      <c r="C524">
        <v>22.313543246482613</v>
      </c>
      <c r="D524">
        <v>838.0190000000066</v>
      </c>
      <c r="E524">
        <v>-2236.3834243710112</v>
      </c>
      <c r="F524">
        <v>838.0190000000066</v>
      </c>
      <c r="G524">
        <v>3.4709056289889304</v>
      </c>
      <c r="J524" t="str">
        <f>IF(H524="","",$P$6-'Script Table'!$E$15-'Script Table'!$E$19+H524)</f>
        <v/>
      </c>
      <c r="K524" s="132">
        <f t="shared" si="24"/>
        <v>838.0190000000066</v>
      </c>
      <c r="L524" s="132">
        <f t="shared" si="25"/>
        <v>524</v>
      </c>
      <c r="M524" s="132">
        <v>837.91900000000658</v>
      </c>
      <c r="N524" s="143">
        <v>153.55692511253017</v>
      </c>
    </row>
    <row r="525" spans="2:14">
      <c r="B525" s="130">
        <v>838.21900000000664</v>
      </c>
      <c r="C525">
        <v>22.219588374961251</v>
      </c>
      <c r="D525">
        <v>838.21900000000664</v>
      </c>
      <c r="E525">
        <v>-2236.5599833518836</v>
      </c>
      <c r="F525">
        <v>838.21900000000664</v>
      </c>
      <c r="G525">
        <v>3.294346648116516</v>
      </c>
      <c r="J525" t="str">
        <f>IF(H525="","",$P$6-'Script Table'!$E$15-'Script Table'!$E$19+H525)</f>
        <v/>
      </c>
      <c r="K525" s="132">
        <f t="shared" si="24"/>
        <v>838.21900000000664</v>
      </c>
      <c r="L525" s="132">
        <f t="shared" si="25"/>
        <v>525</v>
      </c>
      <c r="M525" s="132">
        <v>838.11900000000662</v>
      </c>
      <c r="N525" s="143">
        <v>151.98057487637755</v>
      </c>
    </row>
    <row r="526" spans="2:14">
      <c r="B526" s="130">
        <v>838.41900000000669</v>
      </c>
      <c r="C526">
        <v>22.120617658741569</v>
      </c>
      <c r="D526">
        <v>838.41900000000669</v>
      </c>
      <c r="E526">
        <v>-2236.7337802220181</v>
      </c>
      <c r="F526">
        <v>838.41900000000669</v>
      </c>
      <c r="G526">
        <v>3.120549777981978</v>
      </c>
      <c r="J526" t="str">
        <f>IF(H526="","",$P$6-'Script Table'!$E$15-'Script Table'!$E$19+H526)</f>
        <v/>
      </c>
      <c r="K526" s="132">
        <f t="shared" si="24"/>
        <v>838.41900000000669</v>
      </c>
      <c r="L526" s="132">
        <f t="shared" si="25"/>
        <v>526</v>
      </c>
      <c r="M526" s="132">
        <v>838.31900000000667</v>
      </c>
      <c r="N526" s="143">
        <v>150.34013047382953</v>
      </c>
    </row>
    <row r="527" spans="2:14">
      <c r="B527" s="130">
        <v>838.61900000000674</v>
      </c>
      <c r="C527">
        <v>22.01650561543487</v>
      </c>
      <c r="D527">
        <v>838.61900000000674</v>
      </c>
      <c r="E527">
        <v>-2236.9045467306023</v>
      </c>
      <c r="F527">
        <v>838.61900000000674</v>
      </c>
      <c r="G527">
        <v>2.9497832693978125</v>
      </c>
      <c r="J527" t="str">
        <f>IF(H527="","",$P$6-'Script Table'!$E$15-'Script Table'!$E$19+H527)</f>
        <v/>
      </c>
      <c r="K527" s="132">
        <f t="shared" si="24"/>
        <v>838.61900000000674</v>
      </c>
      <c r="L527" s="132">
        <f t="shared" si="25"/>
        <v>527</v>
      </c>
      <c r="M527" s="132">
        <v>838.51900000000671</v>
      </c>
      <c r="N527" s="143">
        <v>148.63038896979526</v>
      </c>
    </row>
    <row r="528" spans="2:14">
      <c r="B528" s="130">
        <v>838.81900000000678</v>
      </c>
      <c r="C528">
        <v>21.907135632748219</v>
      </c>
      <c r="D528">
        <v>838.81900000000678</v>
      </c>
      <c r="E528">
        <v>-2237.0719942997266</v>
      </c>
      <c r="F528">
        <v>838.81900000000678</v>
      </c>
      <c r="G528">
        <v>2.7823357002735065</v>
      </c>
      <c r="J528" t="str">
        <f>IF(H528="","",$P$6-'Script Table'!$E$15-'Script Table'!$E$19+H528)</f>
        <v/>
      </c>
      <c r="K528" s="132">
        <f t="shared" si="24"/>
        <v>838.81900000000678</v>
      </c>
      <c r="L528" s="132">
        <f t="shared" si="25"/>
        <v>528</v>
      </c>
      <c r="M528" s="132">
        <v>838.71900000000676</v>
      </c>
      <c r="N528" s="143">
        <v>146.84905413404695</v>
      </c>
    </row>
    <row r="529" spans="2:14">
      <c r="B529" s="130">
        <v>839.01900000000683</v>
      </c>
      <c r="C529">
        <v>21.792413748738809</v>
      </c>
      <c r="D529">
        <v>839.01900000000683</v>
      </c>
      <c r="E529">
        <v>-2237.2358214485203</v>
      </c>
      <c r="F529">
        <v>839.01900000000683</v>
      </c>
      <c r="G529">
        <v>2.6185085514798629</v>
      </c>
      <c r="J529" t="str">
        <f>IF(H529="","",$P$6-'Script Table'!$E$15-'Script Table'!$E$19+H529)</f>
        <v/>
      </c>
      <c r="K529" s="132">
        <f t="shared" si="24"/>
        <v>839.01900000000683</v>
      </c>
      <c r="L529" s="132">
        <f t="shared" si="25"/>
        <v>529</v>
      </c>
      <c r="M529" s="132">
        <v>838.9190000000068</v>
      </c>
      <c r="N529" s="143">
        <v>144.99791627055944</v>
      </c>
    </row>
    <row r="530" spans="2:14">
      <c r="B530" s="130">
        <v>839.21900000000687</v>
      </c>
      <c r="C530">
        <v>21.672271937804894</v>
      </c>
      <c r="D530">
        <v>839.21900000000687</v>
      </c>
      <c r="E530">
        <v>-2237.3957162730208</v>
      </c>
      <c r="F530">
        <v>839.21900000000687</v>
      </c>
      <c r="G530">
        <v>2.4586137269793653</v>
      </c>
      <c r="J530" t="str">
        <f>IF(H530="","",$P$6-'Script Table'!$E$15-'Script Table'!$E$19+H530)</f>
        <v/>
      </c>
      <c r="K530" s="132">
        <f t="shared" si="24"/>
        <v>839.21900000000687</v>
      </c>
      <c r="L530" s="132">
        <f t="shared" si="25"/>
        <v>530</v>
      </c>
      <c r="M530" s="132">
        <v>839.11900000000685</v>
      </c>
      <c r="N530" s="143">
        <v>143.07952359787473</v>
      </c>
    </row>
    <row r="531" spans="2:14">
      <c r="B531" s="130">
        <v>839.41900000000692</v>
      </c>
      <c r="C531">
        <v>21.546665764893071</v>
      </c>
      <c r="D531">
        <v>839.41900000000692</v>
      </c>
      <c r="E531">
        <v>-2237.5513551621912</v>
      </c>
      <c r="F531">
        <v>839.41900000000692</v>
      </c>
      <c r="G531">
        <v>2.3029748378089607</v>
      </c>
      <c r="J531" t="str">
        <f>IF(H531="","",$P$6-'Script Table'!$E$15-'Script Table'!$E$19+H531)</f>
        <v/>
      </c>
      <c r="K531" s="132">
        <f t="shared" si="24"/>
        <v>839.41900000000692</v>
      </c>
      <c r="L531" s="132">
        <f t="shared" si="25"/>
        <v>531</v>
      </c>
      <c r="M531" s="132">
        <v>839.31900000000689</v>
      </c>
      <c r="N531" s="143">
        <v>141.09522420466828</v>
      </c>
    </row>
    <row r="532" spans="2:14">
      <c r="B532" s="130">
        <v>839.61900000000696</v>
      </c>
      <c r="C532">
        <v>21.415582756335695</v>
      </c>
      <c r="D532">
        <v>839.61900000000696</v>
      </c>
      <c r="E532">
        <v>-2237.7024100692347</v>
      </c>
      <c r="F532">
        <v>839.61900000000696</v>
      </c>
      <c r="G532">
        <v>2.1519199307654162</v>
      </c>
      <c r="J532" t="str">
        <f>IF(H532="","",$P$6-'Script Table'!$E$15-'Script Table'!$E$19+H532)</f>
        <v/>
      </c>
      <c r="K532" s="132">
        <f t="shared" si="24"/>
        <v>839.61900000000696</v>
      </c>
      <c r="L532" s="132">
        <f t="shared" si="25"/>
        <v>532</v>
      </c>
      <c r="M532" s="132">
        <v>839.51900000000694</v>
      </c>
      <c r="N532" s="143">
        <v>139.04908316554122</v>
      </c>
    </row>
    <row r="533" spans="2:14">
      <c r="B533" s="130">
        <v>839.81900000000701</v>
      </c>
      <c r="C533">
        <v>21.279037448915449</v>
      </c>
      <c r="D533">
        <v>839.81900000000701</v>
      </c>
      <c r="E533">
        <v>-2237.8485459154185</v>
      </c>
      <c r="F533">
        <v>839.81900000000701</v>
      </c>
      <c r="G533">
        <v>2.0057840845815917</v>
      </c>
      <c r="J533" t="str">
        <f>IF(H533="","",$P$6-'Script Table'!$E$15-'Script Table'!$E$19+H533)</f>
        <v/>
      </c>
      <c r="K533" s="132">
        <f t="shared" si="24"/>
        <v>839.81900000000701</v>
      </c>
      <c r="L533" s="132">
        <f t="shared" si="25"/>
        <v>533</v>
      </c>
      <c r="M533" s="132">
        <v>839.71900000000699</v>
      </c>
      <c r="N533" s="143">
        <v>136.94313169031022</v>
      </c>
    </row>
    <row r="534" spans="2:14">
      <c r="B534" s="130">
        <v>840.01900000000705</v>
      </c>
      <c r="C534">
        <v>21.137071707196696</v>
      </c>
      <c r="D534">
        <v>840.01900000000705</v>
      </c>
      <c r="E534">
        <v>-2237.9894217549222</v>
      </c>
      <c r="F534">
        <v>840.01900000000705</v>
      </c>
      <c r="G534">
        <v>1.8649082450779133</v>
      </c>
      <c r="J534" t="str">
        <f>IF(H534="","",$P$6-'Script Table'!$E$15-'Script Table'!$E$19+H534)</f>
        <v/>
      </c>
      <c r="K534" s="132">
        <f t="shared" si="24"/>
        <v>840.01900000000705</v>
      </c>
      <c r="L534" s="132">
        <f t="shared" si="25"/>
        <v>534</v>
      </c>
      <c r="M534" s="132">
        <v>839.91900000000703</v>
      </c>
      <c r="N534" s="143">
        <v>134.77921744160133</v>
      </c>
    </row>
    <row r="535" spans="2:14">
      <c r="B535" s="130">
        <v>840.2190000000071</v>
      </c>
      <c r="C535">
        <v>20.989755526218893</v>
      </c>
      <c r="D535">
        <v>840.2190000000071</v>
      </c>
      <c r="E535">
        <v>-2238.124692540508</v>
      </c>
      <c r="F535">
        <v>840.2190000000071</v>
      </c>
      <c r="G535">
        <v>1.7296374594920962</v>
      </c>
      <c r="J535" t="str">
        <f>IF(H535="","",$P$6-'Script Table'!$E$15-'Script Table'!$E$19+H535)</f>
        <v/>
      </c>
      <c r="K535" s="132">
        <f t="shared" si="24"/>
        <v>840.2190000000071</v>
      </c>
      <c r="L535" s="132">
        <f t="shared" si="25"/>
        <v>535</v>
      </c>
      <c r="M535" s="132">
        <v>840.11900000000708</v>
      </c>
      <c r="N535" s="143">
        <v>132.55921938873803</v>
      </c>
    </row>
    <row r="536" spans="2:14">
      <c r="B536" s="130">
        <v>840.41900000000714</v>
      </c>
      <c r="C536">
        <v>20.83719114995904</v>
      </c>
      <c r="D536">
        <v>840.41900000000714</v>
      </c>
      <c r="E536">
        <v>-2238.2540150972486</v>
      </c>
      <c r="F536">
        <v>840.41900000000714</v>
      </c>
      <c r="G536">
        <v>1.6003149027515065</v>
      </c>
      <c r="J536" t="str">
        <f>IF(H536="","",$P$6-'Script Table'!$E$15-'Script Table'!$E$19+H536)</f>
        <v/>
      </c>
      <c r="K536" s="132">
        <f t="shared" si="24"/>
        <v>840.41900000000714</v>
      </c>
      <c r="L536" s="132">
        <f t="shared" si="25"/>
        <v>536</v>
      </c>
      <c r="M536" s="132">
        <v>840.31900000000712</v>
      </c>
      <c r="N536" s="143">
        <v>130.28657536485133</v>
      </c>
    </row>
    <row r="537" spans="2:14">
      <c r="B537" s="130">
        <v>840.61900000000719</v>
      </c>
      <c r="C537">
        <v>20.679514358545138</v>
      </c>
      <c r="D537">
        <v>840.61900000000719</v>
      </c>
      <c r="E537">
        <v>-2238.3770525448967</v>
      </c>
      <c r="F537">
        <v>840.61900000000719</v>
      </c>
      <c r="G537">
        <v>1.4772774551033763</v>
      </c>
      <c r="J537" t="str">
        <f>IF(H537="","",$P$6-'Script Table'!$E$15-'Script Table'!$E$19+H537)</f>
        <v/>
      </c>
      <c r="K537" s="132">
        <f t="shared" si="24"/>
        <v>840.61900000000719</v>
      </c>
      <c r="L537" s="132">
        <f t="shared" si="25"/>
        <v>537</v>
      </c>
      <c r="M537" s="132">
        <v>840.51900000000717</v>
      </c>
      <c r="N537" s="143">
        <v>127.96542374084198</v>
      </c>
    </row>
    <row r="538" spans="2:14">
      <c r="B538" s="130">
        <v>840.81900000000724</v>
      </c>
      <c r="C538">
        <v>20.516896917985751</v>
      </c>
      <c r="D538">
        <v>840.81900000000724</v>
      </c>
      <c r="E538">
        <v>-2238.4934816017494</v>
      </c>
      <c r="F538">
        <v>840.81900000000724</v>
      </c>
      <c r="G538">
        <v>1.3608483982507096</v>
      </c>
      <c r="J538" t="str">
        <f>IF(H538="","",$P$6-'Script Table'!$E$15-'Script Table'!$E$19+H538)</f>
        <v/>
      </c>
      <c r="K538" s="132">
        <f t="shared" si="24"/>
        <v>840.81900000000724</v>
      </c>
      <c r="L538" s="132">
        <f t="shared" si="25"/>
        <v>538</v>
      </c>
      <c r="M538" s="132">
        <v>840.71900000000721</v>
      </c>
      <c r="N538" s="143">
        <v>125.60149176060705</v>
      </c>
    </row>
    <row r="539" spans="2:14">
      <c r="B539" s="130">
        <v>841.01900000000728</v>
      </c>
      <c r="C539">
        <v>20.349542649573884</v>
      </c>
      <c r="D539">
        <v>841.01900000000728</v>
      </c>
      <c r="E539">
        <v>-2238.6029927022591</v>
      </c>
      <c r="F539">
        <v>841.01900000000728</v>
      </c>
      <c r="G539">
        <v>1.2513372977409745</v>
      </c>
      <c r="J539" t="str">
        <f>IF(H539="","",$P$6-'Script Table'!$E$15-'Script Table'!$E$19+H539)</f>
        <v/>
      </c>
      <c r="K539" s="132">
        <f t="shared" si="24"/>
        <v>841.01900000000728</v>
      </c>
      <c r="L539" s="132">
        <f t="shared" si="25"/>
        <v>539</v>
      </c>
      <c r="M539" s="132">
        <v>840.91900000000726</v>
      </c>
      <c r="N539" s="143">
        <v>123.19940932656019</v>
      </c>
    </row>
    <row r="540" spans="2:14">
      <c r="B540" s="130">
        <v>841.21900000000733</v>
      </c>
      <c r="C540">
        <v>20.17768653170852</v>
      </c>
      <c r="D540">
        <v>841.21900000000733</v>
      </c>
      <c r="E540">
        <v>-2238.7052941396882</v>
      </c>
      <c r="F540">
        <v>841.21900000000733</v>
      </c>
      <c r="G540">
        <v>1.1490358603118693</v>
      </c>
      <c r="J540" t="str">
        <f>IF(H540="","",$P$6-'Script Table'!$E$15-'Script Table'!$E$19+H540)</f>
        <v/>
      </c>
      <c r="K540" s="132">
        <f t="shared" si="24"/>
        <v>841.21900000000733</v>
      </c>
      <c r="L540" s="132">
        <f t="shared" si="25"/>
        <v>540</v>
      </c>
      <c r="M540" s="132">
        <v>841.1190000000073</v>
      </c>
      <c r="N540" s="143">
        <v>120.76422834698718</v>
      </c>
    </row>
    <row r="541" spans="2:14">
      <c r="B541" s="130">
        <v>841.41900000000737</v>
      </c>
      <c r="C541">
        <v>20.001593191479305</v>
      </c>
      <c r="D541">
        <v>841.41900000000737</v>
      </c>
      <c r="E541">
        <v>-2238.8001162051846</v>
      </c>
      <c r="F541">
        <v>841.41900000000737</v>
      </c>
      <c r="G541">
        <v>1.0542137948154959</v>
      </c>
      <c r="J541" t="str">
        <f>IF(H541="","",$P$6-'Script Table'!$E$15-'Script Table'!$E$19+H541)</f>
        <v/>
      </c>
      <c r="K541" s="132">
        <f t="shared" si="24"/>
        <v>841.41900000000737</v>
      </c>
      <c r="L541" s="132">
        <f t="shared" si="25"/>
        <v>541</v>
      </c>
      <c r="M541" s="132">
        <v>841.31900000000735</v>
      </c>
      <c r="N541" s="143">
        <v>118.30140517403522</v>
      </c>
    </row>
    <row r="542" spans="2:14">
      <c r="B542" s="130">
        <v>841.61900000000742</v>
      </c>
      <c r="C542">
        <v>19.821554777111015</v>
      </c>
      <c r="D542">
        <v>841.61900000000742</v>
      </c>
      <c r="E542">
        <v>-2238.8872152262697</v>
      </c>
      <c r="F542">
        <v>841.61900000000742</v>
      </c>
      <c r="G542">
        <v>0.96711477373037269</v>
      </c>
      <c r="J542" t="str">
        <f>IF(H542="","",$P$6-'Script Table'!$E$15-'Script Table'!$E$19+H542)</f>
        <v/>
      </c>
      <c r="K542" s="132">
        <f t="shared" si="24"/>
        <v>841.61900000000742</v>
      </c>
      <c r="L542" s="132">
        <f t="shared" si="25"/>
        <v>542</v>
      </c>
      <c r="M542" s="132">
        <v>841.5190000000074</v>
      </c>
      <c r="N542" s="143">
        <v>115.81677809168816</v>
      </c>
    </row>
    <row r="543" spans="2:14">
      <c r="B543" s="130">
        <v>841.81900000000746</v>
      </c>
      <c r="C543">
        <v>19.637888221392309</v>
      </c>
      <c r="D543">
        <v>841.81900000000746</v>
      </c>
      <c r="E543">
        <v>-2238.9663774042051</v>
      </c>
      <c r="F543">
        <v>841.81900000000746</v>
      </c>
      <c r="G543">
        <v>0.88795259579501362</v>
      </c>
      <c r="J543" t="str">
        <f>IF(H543="","",$P$6-'Script Table'!$E$15-'Script Table'!$E$19+H543)</f>
        <v/>
      </c>
      <c r="K543" s="132">
        <f t="shared" si="24"/>
        <v>841.81900000000746</v>
      </c>
      <c r="L543" s="132">
        <f t="shared" si="25"/>
        <v>543</v>
      </c>
      <c r="M543" s="132">
        <v>841.71900000000744</v>
      </c>
      <c r="N543" s="143">
        <v>113.31654007113343</v>
      </c>
    </row>
    <row r="544" spans="2:14">
      <c r="B544" s="130">
        <v>842.01900000000751</v>
      </c>
      <c r="C544">
        <v>19.450931926333684</v>
      </c>
      <c r="D544">
        <v>842.01900000000751</v>
      </c>
      <c r="E544">
        <v>-2239.0374223503386</v>
      </c>
      <c r="F544">
        <v>842.01900000000751</v>
      </c>
      <c r="G544">
        <v>0.81690764966151619</v>
      </c>
      <c r="J544" t="str">
        <f>IF(H544="","",$P$6-'Script Table'!$E$15-'Script Table'!$E$19+H544)</f>
        <v/>
      </c>
      <c r="K544" s="132">
        <f t="shared" si="24"/>
        <v>842.01900000000751</v>
      </c>
      <c r="L544" s="132">
        <f t="shared" si="25"/>
        <v>544</v>
      </c>
      <c r="M544" s="132">
        <v>841.91900000000749</v>
      </c>
      <c r="N544" s="143">
        <v>110.80720717013051</v>
      </c>
    </row>
    <row r="545" spans="2:14">
      <c r="B545" s="130">
        <v>842.21900000000755</v>
      </c>
      <c r="C545">
        <v>19.261041919533287</v>
      </c>
      <c r="D545">
        <v>842.21900000000755</v>
      </c>
      <c r="E545">
        <v>-2239.1002062265197</v>
      </c>
      <c r="F545">
        <v>842.21900000000755</v>
      </c>
      <c r="G545">
        <v>0.75412377348038717</v>
      </c>
      <c r="J545" t="str">
        <f>IF(H545="","",$P$6-'Script Table'!$E$15-'Script Table'!$E$19+H545)</f>
        <v/>
      </c>
      <c r="K545" s="132">
        <f t="shared" si="24"/>
        <v>842.21900000000755</v>
      </c>
      <c r="L545" s="132">
        <f t="shared" si="25"/>
        <v>545</v>
      </c>
      <c r="M545" s="132">
        <v>842.11900000000753</v>
      </c>
      <c r="N545" s="143">
        <v>108.29558307932402</v>
      </c>
    </row>
    <row r="546" spans="2:14">
      <c r="B546" s="130">
        <v>842.4190000000076</v>
      </c>
      <c r="C546">
        <v>19.068587552008459</v>
      </c>
      <c r="D546">
        <v>842.4190000000076</v>
      </c>
      <c r="E546">
        <v>-2239.1546244041801</v>
      </c>
      <c r="F546">
        <v>842.4190000000076</v>
      </c>
      <c r="G546">
        <v>0.69970559581997804</v>
      </c>
      <c r="J546" t="str">
        <f>IF(H546="","",$P$6-'Script Table'!$E$15-'Script Table'!$E$19+H546)</f>
        <v/>
      </c>
      <c r="K546" s="132">
        <f t="shared" si="24"/>
        <v>842.4190000000076</v>
      </c>
      <c r="L546" s="132">
        <f t="shared" si="25"/>
        <v>546</v>
      </c>
      <c r="M546" s="132">
        <v>842.31900000000758</v>
      </c>
      <c r="N546" s="143">
        <v>105.78872046539702</v>
      </c>
    </row>
    <row r="547" spans="2:14">
      <c r="B547" s="130">
        <v>842.61900000000765</v>
      </c>
      <c r="C547">
        <v>18.87394682449581</v>
      </c>
      <c r="D547">
        <v>842.61900000000765</v>
      </c>
      <c r="E547">
        <v>-2239.2006135703614</v>
      </c>
      <c r="F547">
        <v>842.61900000000765</v>
      </c>
      <c r="G547">
        <v>0.65371642963873455</v>
      </c>
      <c r="J547" t="str">
        <f>IF(H547="","",$P$6-'Script Table'!$E$15-'Script Table'!$E$19+H547)</f>
        <v/>
      </c>
      <c r="K547" s="132">
        <f t="shared" si="24"/>
        <v>842.61900000000765</v>
      </c>
      <c r="L547" s="132">
        <f t="shared" si="25"/>
        <v>547</v>
      </c>
      <c r="M547" s="132">
        <v>842.51900000000762</v>
      </c>
      <c r="N547" s="143">
        <v>103.29387986482999</v>
      </c>
    </row>
    <row r="548" spans="2:14">
      <c r="B548" s="130">
        <v>842.81900000000769</v>
      </c>
      <c r="C548">
        <v>18.677501443427182</v>
      </c>
      <c r="D548">
        <v>842.81900000000769</v>
      </c>
      <c r="E548">
        <v>-2239.2381532264021</v>
      </c>
      <c r="F548">
        <v>842.81900000000769</v>
      </c>
      <c r="G548">
        <v>0.61617677359799927</v>
      </c>
      <c r="J548" t="str">
        <f>IF(H548="","",$P$6-'Script Table'!$E$15-'Script Table'!$E$19+H548)</f>
        <v/>
      </c>
      <c r="K548" s="132">
        <f t="shared" si="24"/>
        <v>842.81900000000769</v>
      </c>
      <c r="L548" s="132">
        <f t="shared" si="25"/>
        <v>548</v>
      </c>
      <c r="M548" s="132">
        <v>842.71900000000767</v>
      </c>
      <c r="N548" s="143">
        <v>100.81848698942116</v>
      </c>
    </row>
    <row r="549" spans="2:14">
      <c r="B549" s="130">
        <v>843.01900000000774</v>
      </c>
      <c r="C549">
        <v>18.47963171810672</v>
      </c>
      <c r="D549">
        <v>843.01900000000774</v>
      </c>
      <c r="E549">
        <v>-2239.2672665453265</v>
      </c>
      <c r="F549">
        <v>843.01900000000774</v>
      </c>
      <c r="G549">
        <v>0.58706345467362553</v>
      </c>
      <c r="J549" t="str">
        <f>IF(H549="","",$P$6-'Script Table'!$E$15-'Script Table'!$E$19+H549)</f>
        <v/>
      </c>
      <c r="K549" s="132">
        <f t="shared" si="24"/>
        <v>843.01900000000774</v>
      </c>
      <c r="L549" s="132">
        <f t="shared" si="25"/>
        <v>549</v>
      </c>
      <c r="M549" s="132">
        <v>842.91900000000771</v>
      </c>
      <c r="N549" s="143">
        <v>98.370089371397825</v>
      </c>
    </row>
    <row r="550" spans="2:14">
      <c r="B550" s="130">
        <v>843.21900000000778</v>
      </c>
      <c r="C550">
        <v>18.280711416428261</v>
      </c>
      <c r="D550">
        <v>843.21900000000778</v>
      </c>
      <c r="E550">
        <v>-2239.2880205762335</v>
      </c>
      <c r="F550">
        <v>843.21900000000778</v>
      </c>
      <c r="G550">
        <v>0.56630942376659732</v>
      </c>
      <c r="J550" t="str">
        <f>IF(H550="","",$P$6-'Script Table'!$E$15-'Script Table'!$E$19+H550)</f>
        <v/>
      </c>
      <c r="K550" s="132">
        <f t="shared" si="24"/>
        <v>843.21900000000778</v>
      </c>
      <c r="L550" s="132">
        <f t="shared" si="25"/>
        <v>550</v>
      </c>
      <c r="M550" s="132">
        <v>843.11900000000776</v>
      </c>
      <c r="N550" s="143">
        <v>95.95631332120179</v>
      </c>
    </row>
    <row r="551" spans="2:14">
      <c r="B551" s="130">
        <v>843.41900000000783</v>
      </c>
      <c r="C551">
        <v>18.081102697456675</v>
      </c>
      <c r="D551">
        <v>843.41900000000783</v>
      </c>
      <c r="E551">
        <v>-2239.3005258070493</v>
      </c>
      <c r="F551">
        <v>843.41900000000783</v>
      </c>
      <c r="G551">
        <v>0.55380419295079264</v>
      </c>
      <c r="J551" t="str">
        <f>IF(H551="","",$P$6-'Script Table'!$E$15-'Script Table'!$E$19+H551)</f>
        <v/>
      </c>
      <c r="K551" s="132">
        <f t="shared" si="24"/>
        <v>843.41900000000783</v>
      </c>
      <c r="L551" s="132">
        <f t="shared" si="25"/>
        <v>551</v>
      </c>
      <c r="M551" s="132">
        <v>843.3190000000078</v>
      </c>
      <c r="N551" s="143">
        <v>93.584822189338297</v>
      </c>
    </row>
    <row r="552" spans="2:14">
      <c r="B552" s="130">
        <v>843.61900000000787</v>
      </c>
      <c r="C552">
        <v>17.881151235340692</v>
      </c>
      <c r="D552">
        <v>843.61900000000787</v>
      </c>
      <c r="E552">
        <v>-2239.30493511961</v>
      </c>
      <c r="F552">
        <v>843.61900000000787</v>
      </c>
      <c r="G552">
        <v>0.54939488039008211</v>
      </c>
      <c r="J552" t="str">
        <f>IF(H552="","",$P$6-'Script Table'!$E$15-'Script Table'!$E$19+H552)</f>
        <v/>
      </c>
      <c r="K552" s="132">
        <f t="shared" si="24"/>
        <v>843.61900000000787</v>
      </c>
      <c r="L552" s="132">
        <f t="shared" si="25"/>
        <v>552</v>
      </c>
      <c r="M552" s="132">
        <v>843.51900000000785</v>
      </c>
      <c r="N552" s="143">
        <v>91.263276889903494</v>
      </c>
    </row>
    <row r="553" spans="2:14">
      <c r="B553" s="130">
        <v>843.81900000000792</v>
      </c>
      <c r="C553">
        <v>17.68118152391245</v>
      </c>
      <c r="D553">
        <v>843.81900000000792</v>
      </c>
      <c r="E553">
        <v>-2239.3014488824197</v>
      </c>
      <c r="F553">
        <v>843.81900000000792</v>
      </c>
      <c r="G553">
        <v>0.55288111758045488</v>
      </c>
      <c r="J553" t="str">
        <f>IF(H553="","",$P$6-'Script Table'!$E$15-'Script Table'!$E$19+H553)</f>
        <v/>
      </c>
      <c r="K553" s="132">
        <f t="shared" si="24"/>
        <v>843.81900000000792</v>
      </c>
      <c r="L553" s="132">
        <f t="shared" si="25"/>
        <v>553</v>
      </c>
      <c r="M553" s="132">
        <v>843.7190000000079</v>
      </c>
      <c r="N553" s="143">
        <v>89.001216520417742</v>
      </c>
    </row>
    <row r="554" spans="2:14">
      <c r="B554" s="130">
        <v>844.01900000000796</v>
      </c>
      <c r="C554">
        <v>17.481491931389968</v>
      </c>
      <c r="D554">
        <v>844.01900000000796</v>
      </c>
      <c r="E554">
        <v>-2239.2903080447113</v>
      </c>
      <c r="F554">
        <v>844.01900000000796</v>
      </c>
      <c r="G554">
        <v>0.56402195528880839</v>
      </c>
      <c r="J554" t="str">
        <f>IF(H554="","",$P$6-'Script Table'!$E$15-'Script Table'!$E$19+H554)</f>
        <v/>
      </c>
      <c r="K554" s="132">
        <f t="shared" si="24"/>
        <v>844.01900000000796</v>
      </c>
      <c r="L554" s="132">
        <f t="shared" si="25"/>
        <v>554</v>
      </c>
      <c r="M554" s="132">
        <v>843.91900000000794</v>
      </c>
      <c r="N554" s="143">
        <v>86.806734275432007</v>
      </c>
    </row>
    <row r="555" spans="2:14">
      <c r="B555" s="130">
        <v>844.21900000000801</v>
      </c>
      <c r="C555">
        <v>17.28235106389636</v>
      </c>
      <c r="D555">
        <v>844.21900000000801</v>
      </c>
      <c r="E555">
        <v>-2239.2717883032301</v>
      </c>
      <c r="F555">
        <v>844.21900000000801</v>
      </c>
      <c r="G555">
        <v>0.5825416967700221</v>
      </c>
      <c r="J555" t="str">
        <f>IF(H555="","",$P$6-'Script Table'!$E$15-'Script Table'!$E$19+H555)</f>
        <v/>
      </c>
      <c r="K555" s="132">
        <f t="shared" si="24"/>
        <v>844.21900000000801</v>
      </c>
      <c r="L555" s="132">
        <f t="shared" si="25"/>
        <v>555</v>
      </c>
      <c r="M555" s="132">
        <v>844.11900000000799</v>
      </c>
      <c r="N555" s="143">
        <v>84.686877821352539</v>
      </c>
    </row>
    <row r="556" spans="2:14">
      <c r="B556" s="130">
        <v>844.41834482759418</v>
      </c>
      <c r="C556">
        <v>17.084643334132931</v>
      </c>
      <c r="D556">
        <v>844.41834482759418</v>
      </c>
      <c r="E556">
        <v>-2239.2462912545298</v>
      </c>
      <c r="F556">
        <v>844.41834482759418</v>
      </c>
      <c r="G556">
        <v>0.60803874547036685</v>
      </c>
      <c r="J556" t="str">
        <f>IF(H556="","",$P$6-'Script Table'!$E$15-'Script Table'!$E$19+H556)</f>
        <v/>
      </c>
      <c r="K556" s="132">
        <f t="shared" si="24"/>
        <v>844.41834482759418</v>
      </c>
      <c r="L556" s="132">
        <f t="shared" si="25"/>
        <v>556</v>
      </c>
      <c r="M556" s="132">
        <v>844.3186724138011</v>
      </c>
      <c r="N556" s="143">
        <v>82.651504856592652</v>
      </c>
    </row>
    <row r="557" spans="2:14">
      <c r="B557" s="130">
        <v>844.61768965518036</v>
      </c>
      <c r="C557">
        <v>16.887909227814468</v>
      </c>
      <c r="D557">
        <v>844.61768965518036</v>
      </c>
      <c r="E557">
        <v>-2239.2141327985946</v>
      </c>
      <c r="F557">
        <v>844.61768965518036</v>
      </c>
      <c r="G557">
        <v>0.64019720140549907</v>
      </c>
      <c r="J557" t="str">
        <f>IF(H557="","",$P$6-'Script Table'!$E$15-'Script Table'!$E$19+H557)</f>
        <v/>
      </c>
      <c r="K557" s="132">
        <f t="shared" si="24"/>
        <v>844.61768965518036</v>
      </c>
      <c r="L557" s="132">
        <f t="shared" si="25"/>
        <v>557</v>
      </c>
      <c r="M557" s="132">
        <v>844.51801724138727</v>
      </c>
      <c r="N557" s="143">
        <v>80.71644825888319</v>
      </c>
    </row>
    <row r="558" spans="2:14">
      <c r="B558" s="130">
        <v>844.81703448276653</v>
      </c>
      <c r="C558">
        <v>16.692291114938566</v>
      </c>
      <c r="D558">
        <v>844.81703448276653</v>
      </c>
      <c r="E558">
        <v>-2239.1757653269387</v>
      </c>
      <c r="F558">
        <v>844.81703448276653</v>
      </c>
      <c r="G558">
        <v>0.67856467306137347</v>
      </c>
      <c r="J558" t="str">
        <f>IF(H558="","",$P$6-'Script Table'!$E$15-'Script Table'!$E$19+H558)</f>
        <v/>
      </c>
      <c r="K558" s="132">
        <f t="shared" si="24"/>
        <v>844.81703448276653</v>
      </c>
      <c r="L558" s="132">
        <f t="shared" si="25"/>
        <v>558</v>
      </c>
      <c r="M558" s="132">
        <v>844.71736206897344</v>
      </c>
      <c r="N558" s="143">
        <v>78.903180389572682</v>
      </c>
    </row>
    <row r="559" spans="2:14">
      <c r="B559" s="130">
        <v>845.0163793103527</v>
      </c>
      <c r="C559">
        <v>16.497868482198168</v>
      </c>
      <c r="D559">
        <v>845.0163793103527</v>
      </c>
      <c r="E559">
        <v>-2239.1317382096308</v>
      </c>
      <c r="F559">
        <v>845.0163793103527</v>
      </c>
      <c r="G559">
        <v>0.7225917903692789</v>
      </c>
      <c r="J559" t="str">
        <f>IF(H559="","",$P$6-'Script Table'!$E$15-'Script Table'!$E$19+H559)</f>
        <v/>
      </c>
      <c r="K559" s="132">
        <f t="shared" si="24"/>
        <v>845.0163793103527</v>
      </c>
      <c r="L559" s="132">
        <f t="shared" si="25"/>
        <v>559</v>
      </c>
      <c r="M559" s="132">
        <v>844.91670689655962</v>
      </c>
      <c r="N559" s="143">
        <v>77.240534000955222</v>
      </c>
    </row>
    <row r="560" spans="2:14">
      <c r="B560" s="130">
        <v>845.21572413793888</v>
      </c>
      <c r="C560">
        <v>16.304669749192719</v>
      </c>
      <c r="D560">
        <v>845.21572413793888</v>
      </c>
      <c r="E560">
        <v>-2239.0826175599759</v>
      </c>
      <c r="F560">
        <v>845.21572413793888</v>
      </c>
      <c r="G560">
        <v>0.77171244002420281</v>
      </c>
      <c r="J560" t="str">
        <f>IF(H560="","",$P$6-'Script Table'!$E$15-'Script Table'!$E$19+H560)</f>
        <v/>
      </c>
      <c r="K560" s="132">
        <f t="shared" si="24"/>
        <v>845.21572413793888</v>
      </c>
      <c r="L560" s="132">
        <f t="shared" si="25"/>
        <v>560</v>
      </c>
      <c r="M560" s="132">
        <v>845.11605172414579</v>
      </c>
      <c r="N560" s="143">
        <v>75.734839301119976</v>
      </c>
    </row>
    <row r="561" spans="2:14">
      <c r="B561" s="130">
        <v>845.41506896552505</v>
      </c>
      <c r="C561">
        <v>16.112651904337266</v>
      </c>
      <c r="D561">
        <v>845.41506896552505</v>
      </c>
      <c r="E561">
        <v>-2239.029065908182</v>
      </c>
      <c r="F561">
        <v>845.41506896552505</v>
      </c>
      <c r="G561">
        <v>0.82526409181809868</v>
      </c>
      <c r="J561" t="str">
        <f>IF(H561="","",$P$6-'Script Table'!$E$15-'Script Table'!$E$19+H561)</f>
        <v/>
      </c>
      <c r="K561" s="132">
        <f t="shared" si="24"/>
        <v>845.41506896552505</v>
      </c>
      <c r="L561" s="132">
        <f t="shared" si="25"/>
        <v>561</v>
      </c>
      <c r="M561" s="132">
        <v>845.31539655173196</v>
      </c>
      <c r="N561" s="143">
        <v>74.416801965951265</v>
      </c>
    </row>
    <row r="562" spans="2:14">
      <c r="B562" s="130">
        <v>845.61441379311123</v>
      </c>
      <c r="C562">
        <v>15.921703971370311</v>
      </c>
      <c r="D562">
        <v>845.61441379311123</v>
      </c>
      <c r="E562">
        <v>-2238.971815901562</v>
      </c>
      <c r="F562">
        <v>845.61441379311123</v>
      </c>
      <c r="G562">
        <v>0.88251409843815054</v>
      </c>
      <c r="J562" t="str">
        <f>IF(H562="","",$P$6-'Script Table'!$E$15-'Script Table'!$E$19+H562)</f>
        <v/>
      </c>
      <c r="K562" s="132">
        <f t="shared" si="24"/>
        <v>845.61441379311123</v>
      </c>
      <c r="L562" s="132">
        <f t="shared" si="25"/>
        <v>562</v>
      </c>
      <c r="M562" s="132">
        <v>845.51474137931814</v>
      </c>
      <c r="N562" s="143">
        <v>73.310218650448121</v>
      </c>
    </row>
    <row r="563" spans="2:14">
      <c r="B563" s="130">
        <v>845.8137586206974</v>
      </c>
      <c r="C563">
        <v>15.731658080626449</v>
      </c>
      <c r="D563">
        <v>845.8137586206974</v>
      </c>
      <c r="E563">
        <v>-2238.911638834285</v>
      </c>
      <c r="F563">
        <v>845.8137586206974</v>
      </c>
      <c r="G563">
        <v>0.94269116571513223</v>
      </c>
      <c r="J563" t="str">
        <f>IF(H563="","",$P$6-'Script Table'!$E$15-'Script Table'!$E$19+H563)</f>
        <v/>
      </c>
      <c r="K563" s="132">
        <f t="shared" si="24"/>
        <v>845.8137586206974</v>
      </c>
      <c r="L563" s="132">
        <f t="shared" si="25"/>
        <v>563</v>
      </c>
      <c r="M563" s="132">
        <v>845.71408620690431</v>
      </c>
      <c r="N563" s="143">
        <v>72.429873277719594</v>
      </c>
    </row>
    <row r="564" spans="2:14">
      <c r="B564" s="130">
        <v>846.01310344828357</v>
      </c>
      <c r="C564">
        <v>15.542274960199013</v>
      </c>
      <c r="D564">
        <v>846.01310344828357</v>
      </c>
      <c r="E564">
        <v>-2238.8494070490515</v>
      </c>
      <c r="F564">
        <v>846.01310344828357</v>
      </c>
      <c r="G564">
        <v>1.0049229509486395</v>
      </c>
      <c r="J564" t="str">
        <f>IF(H564="","",$P$6-'Script Table'!$E$15-'Script Table'!$E$19+H564)</f>
        <v/>
      </c>
      <c r="K564" s="132">
        <f t="shared" si="24"/>
        <v>846.01310344828357</v>
      </c>
      <c r="L564" s="132">
        <f t="shared" si="25"/>
        <v>564</v>
      </c>
      <c r="M564" s="132">
        <v>845.91343103449049</v>
      </c>
      <c r="N564" s="143">
        <v>71.809342496465689</v>
      </c>
    </row>
    <row r="565" spans="2:14">
      <c r="B565" s="130">
        <v>846.21244827586975</v>
      </c>
      <c r="C565">
        <v>15.353275716734849</v>
      </c>
      <c r="D565">
        <v>846.21244827586975</v>
      </c>
      <c r="E565">
        <v>-2238.7860186822736</v>
      </c>
      <c r="F565">
        <v>846.21244827586975</v>
      </c>
      <c r="G565">
        <v>1.0683113177265113</v>
      </c>
      <c r="J565" t="str">
        <f>IF(H565="","",$P$6-'Script Table'!$E$15-'Script Table'!$E$19+H565)</f>
        <v/>
      </c>
      <c r="K565" s="132">
        <f t="shared" si="24"/>
        <v>846.21244827586975</v>
      </c>
      <c r="L565" s="132">
        <f t="shared" si="25"/>
        <v>565</v>
      </c>
      <c r="M565" s="132">
        <v>846.11277586207666</v>
      </c>
      <c r="N565" s="143">
        <v>71.459086590808582</v>
      </c>
    </row>
    <row r="566" spans="2:14">
      <c r="B566" s="130">
        <v>846.41179310345592</v>
      </c>
      <c r="C566">
        <v>15.164342492546492</v>
      </c>
      <c r="D566">
        <v>846.41179310345592</v>
      </c>
      <c r="E566">
        <v>-2238.7224386998091</v>
      </c>
      <c r="F566">
        <v>846.41179310345592</v>
      </c>
      <c r="G566">
        <v>1.1318913001910005</v>
      </c>
      <c r="J566" t="str">
        <f>IF(H566="","",$P$6-'Script Table'!$E$15-'Script Table'!$E$19+H566)</f>
        <v/>
      </c>
      <c r="K566" s="132">
        <f t="shared" si="24"/>
        <v>846.41179310345592</v>
      </c>
      <c r="L566" s="132">
        <f t="shared" si="25"/>
        <v>566</v>
      </c>
      <c r="M566" s="132">
        <v>846.31212068966283</v>
      </c>
      <c r="N566" s="143">
        <v>71.400836913293247</v>
      </c>
    </row>
    <row r="567" spans="2:14">
      <c r="B567" s="130">
        <v>846.61113793104209</v>
      </c>
      <c r="C567">
        <v>14.975652471519844</v>
      </c>
      <c r="D567">
        <v>846.61113793104209</v>
      </c>
      <c r="E567">
        <v>-2238.6581403157006</v>
      </c>
      <c r="F567">
        <v>846.61113793104209</v>
      </c>
      <c r="G567">
        <v>1.1961896842994975</v>
      </c>
      <c r="J567" t="str">
        <f>IF(H567="","",$P$6-'Script Table'!$E$15-'Script Table'!$E$19+H567)</f>
        <v/>
      </c>
      <c r="K567" s="132">
        <f t="shared" si="24"/>
        <v>846.61113793104209</v>
      </c>
      <c r="L567" s="132">
        <f t="shared" si="25"/>
        <v>567</v>
      </c>
      <c r="M567" s="132">
        <v>846.51146551724901</v>
      </c>
      <c r="N567" s="143">
        <v>71.182841847089719</v>
      </c>
    </row>
    <row r="568" spans="2:14">
      <c r="B568" s="130">
        <v>846.81048275862827</v>
      </c>
      <c r="C568">
        <v>14.787361409947804</v>
      </c>
      <c r="D568">
        <v>846.81048275862827</v>
      </c>
      <c r="E568">
        <v>-2238.5926826130458</v>
      </c>
      <c r="F568">
        <v>846.81048275862827</v>
      </c>
      <c r="G568">
        <v>1.261647386954337</v>
      </c>
      <c r="J568" t="str">
        <f>IF(H568="","",$P$6-'Script Table'!$E$15-'Script Table'!$E$19+H568)</f>
        <v/>
      </c>
      <c r="K568" s="132">
        <f t="shared" si="24"/>
        <v>846.81048275862827</v>
      </c>
      <c r="L568" s="132">
        <f t="shared" si="25"/>
        <v>568</v>
      </c>
      <c r="M568" s="132">
        <v>846.71081034483518</v>
      </c>
      <c r="N568" s="143">
        <v>70.830450059469797</v>
      </c>
    </row>
    <row r="569" spans="2:14">
      <c r="B569" s="130">
        <v>847.00982758621444</v>
      </c>
      <c r="C569">
        <v>14.599611908217076</v>
      </c>
      <c r="D569">
        <v>847.00982758621444</v>
      </c>
      <c r="E569">
        <v>-2238.525687179233</v>
      </c>
      <c r="F569">
        <v>847.00982758621444</v>
      </c>
      <c r="G569">
        <v>1.3286428207670724</v>
      </c>
      <c r="J569" t="str">
        <f>IF(H569="","",$P$6-'Script Table'!$E$15-'Script Table'!$E$19+H569)</f>
        <v/>
      </c>
      <c r="K569" s="132">
        <f t="shared" si="24"/>
        <v>847.00982758621444</v>
      </c>
      <c r="L569" s="132">
        <f t="shared" si="25"/>
        <v>569</v>
      </c>
      <c r="M569" s="132">
        <v>846.91015517242136</v>
      </c>
      <c r="N569" s="143">
        <v>70.361864243981458</v>
      </c>
    </row>
    <row r="570" spans="2:14">
      <c r="B570" s="130">
        <v>847.20917241380062</v>
      </c>
      <c r="C570">
        <v>14.412525071116788</v>
      </c>
      <c r="D570">
        <v>847.20917241380062</v>
      </c>
      <c r="E570">
        <v>-2238.456862700727</v>
      </c>
      <c r="F570">
        <v>847.20917241380062</v>
      </c>
      <c r="G570">
        <v>1.397467299273103</v>
      </c>
      <c r="J570" t="str">
        <f>IF(H570="","",$P$6-'Script Table'!$E$15-'Script Table'!$E$19+H570)</f>
        <v/>
      </c>
      <c r="K570" s="132">
        <f t="shared" si="24"/>
        <v>847.20917241380062</v>
      </c>
      <c r="L570" s="132">
        <f t="shared" si="25"/>
        <v>570</v>
      </c>
      <c r="M570" s="132">
        <v>847.10950000000753</v>
      </c>
      <c r="N570" s="143">
        <v>69.802717572412689</v>
      </c>
    </row>
    <row r="571" spans="2:14">
      <c r="B571" s="130">
        <v>847.40851724138679</v>
      </c>
      <c r="C571">
        <v>14.226200123991443</v>
      </c>
      <c r="D571">
        <v>847.40851724138679</v>
      </c>
      <c r="E571">
        <v>-2238.386001293668</v>
      </c>
      <c r="F571">
        <v>847.40851724138679</v>
      </c>
      <c r="G571">
        <v>1.4683287063321586</v>
      </c>
      <c r="J571" t="str">
        <f>IF(H571="","",$P$6-'Script Table'!$E$15-'Script Table'!$E$19+H571)</f>
        <v/>
      </c>
      <c r="K571" s="132">
        <f t="shared" si="24"/>
        <v>847.40851724138679</v>
      </c>
      <c r="L571" s="132">
        <f t="shared" si="25"/>
        <v>571</v>
      </c>
      <c r="M571" s="132">
        <v>847.3088448275937</v>
      </c>
      <c r="N571" s="143">
        <v>69.177645349769449</v>
      </c>
    </row>
    <row r="572" spans="2:14">
      <c r="B572" s="130">
        <v>847.60786206897296</v>
      </c>
      <c r="C572">
        <v>14.040717136891054</v>
      </c>
      <c r="D572">
        <v>847.60786206897296</v>
      </c>
      <c r="E572">
        <v>-2238.3129641811215</v>
      </c>
      <c r="F572">
        <v>847.60786206897296</v>
      </c>
      <c r="G572">
        <v>1.541365818878603</v>
      </c>
      <c r="J572" t="str">
        <f>IF(H572="","",$P$6-'Script Table'!$E$15-'Script Table'!$E$19+H572)</f>
        <v/>
      </c>
      <c r="K572" s="132">
        <f t="shared" si="24"/>
        <v>847.60786206897296</v>
      </c>
      <c r="L572" s="132">
        <f t="shared" si="25"/>
        <v>572</v>
      </c>
      <c r="M572" s="132">
        <v>847.50818965517988</v>
      </c>
      <c r="N572" s="143">
        <v>68.507107816137065</v>
      </c>
    </row>
    <row r="573" spans="2:14">
      <c r="B573" s="130">
        <v>847.80720689655914</v>
      </c>
      <c r="C573">
        <v>13.856134011487548</v>
      </c>
      <c r="D573">
        <v>847.80720689655914</v>
      </c>
      <c r="E573">
        <v>-2238.237681622566</v>
      </c>
      <c r="F573">
        <v>847.80720689655914</v>
      </c>
      <c r="G573">
        <v>1.6166483774341032</v>
      </c>
      <c r="J573" t="str">
        <f>IF(H573="","",$P$6-'Script Table'!$E$15-'Script Table'!$E$19+H573)</f>
        <v/>
      </c>
      <c r="K573" s="132">
        <f t="shared" si="24"/>
        <v>847.80720689655914</v>
      </c>
      <c r="L573" s="132">
        <f t="shared" si="25"/>
        <v>573</v>
      </c>
      <c r="M573" s="132">
        <v>847.70753448276605</v>
      </c>
      <c r="N573" s="143">
        <v>67.811820684127369</v>
      </c>
    </row>
    <row r="574" spans="2:14">
      <c r="B574" s="130">
        <v>848.00655172414531</v>
      </c>
      <c r="C574">
        <v>13.67248090830825</v>
      </c>
      <c r="D574">
        <v>848.00655172414531</v>
      </c>
      <c r="E574">
        <v>-2238.1601576316079</v>
      </c>
      <c r="F574">
        <v>848.00655172414531</v>
      </c>
      <c r="G574">
        <v>1.6941723683921737</v>
      </c>
      <c r="J574" t="str">
        <f>IF(H574="","",$P$6-'Script Table'!$E$15-'Script Table'!$E$19+H574)</f>
        <v/>
      </c>
      <c r="K574" s="132">
        <f t="shared" si="24"/>
        <v>848.00655172414531</v>
      </c>
      <c r="L574" s="132">
        <f t="shared" si="25"/>
        <v>574</v>
      </c>
      <c r="M574" s="132">
        <v>847.90687931035222</v>
      </c>
      <c r="N574" s="143">
        <v>67.114328446404699</v>
      </c>
    </row>
    <row r="575" spans="2:14">
      <c r="B575" s="130">
        <v>848.20589655173148</v>
      </c>
      <c r="C575">
        <v>13.489756808336033</v>
      </c>
      <c r="D575">
        <v>848.20589655173148</v>
      </c>
      <c r="E575">
        <v>-2238.0804683942242</v>
      </c>
      <c r="F575">
        <v>848.20589655173148</v>
      </c>
      <c r="G575">
        <v>1.7738616057758918</v>
      </c>
      <c r="J575" t="str">
        <f>IF(H575="","",$P$6-'Script Table'!$E$15-'Script Table'!$E$19+H575)</f>
        <v/>
      </c>
      <c r="K575" s="132">
        <f t="shared" si="24"/>
        <v>848.20589655173148</v>
      </c>
      <c r="L575" s="132">
        <f t="shared" si="25"/>
        <v>575</v>
      </c>
      <c r="M575" s="132">
        <v>848.1062241379384</v>
      </c>
      <c r="N575" s="143">
        <v>66.437125924340251</v>
      </c>
    </row>
    <row r="576" spans="2:14">
      <c r="B576" s="130">
        <v>848.40524137931766</v>
      </c>
      <c r="C576">
        <v>13.307929285783693</v>
      </c>
      <c r="D576">
        <v>848.40524137931766</v>
      </c>
      <c r="E576">
        <v>-2237.9987538606306</v>
      </c>
      <c r="F576">
        <v>848.40524137931766</v>
      </c>
      <c r="G576">
        <v>1.855576139369532</v>
      </c>
      <c r="J576" t="str">
        <f>IF(H576="","",$P$6-'Script Table'!$E$15-'Script Table'!$E$19+H576)</f>
        <v/>
      </c>
      <c r="K576" s="132">
        <f t="shared" si="24"/>
        <v>848.40524137931766</v>
      </c>
      <c r="L576" s="132">
        <f t="shared" si="25"/>
        <v>576</v>
      </c>
      <c r="M576" s="132">
        <v>848.30556896552457</v>
      </c>
      <c r="N576" s="143">
        <v>65.800523048495108</v>
      </c>
    </row>
    <row r="577" spans="2:14">
      <c r="B577" s="130">
        <v>848.60458620690383</v>
      </c>
      <c r="C577">
        <v>13.126931815673558</v>
      </c>
      <c r="D577">
        <v>848.60458620690383</v>
      </c>
      <c r="E577">
        <v>-2237.9152166111539</v>
      </c>
      <c r="F577">
        <v>848.60458620690383</v>
      </c>
      <c r="G577">
        <v>1.9391133888461809</v>
      </c>
      <c r="J577" t="str">
        <f>IF(H577="","",$P$6-'Script Table'!$E$15-'Script Table'!$E$19+H577)</f>
        <v/>
      </c>
      <c r="K577" s="132">
        <f t="shared" si="24"/>
        <v>848.60458620690383</v>
      </c>
      <c r="L577" s="132">
        <f t="shared" si="25"/>
        <v>577</v>
      </c>
      <c r="M577" s="132">
        <v>848.50491379311075</v>
      </c>
      <c r="N577" s="143">
        <v>65.22487102334118</v>
      </c>
    </row>
    <row r="578" spans="2:14">
      <c r="B578" s="130">
        <v>848.80393103449001</v>
      </c>
      <c r="C578">
        <v>12.946666368741747</v>
      </c>
      <c r="D578">
        <v>848.80393103449001</v>
      </c>
      <c r="E578">
        <v>-2237.8301109748813</v>
      </c>
      <c r="F578">
        <v>848.80393103449001</v>
      </c>
      <c r="G578">
        <v>2.0242190251187822</v>
      </c>
      <c r="J578" t="str">
        <f>IF(H578="","",$P$6-'Script Table'!$E$15-'Script Table'!$E$19+H578)</f>
        <v/>
      </c>
      <c r="K578" s="132">
        <f t="shared" si="24"/>
        <v>848.80393103449001</v>
      </c>
      <c r="L578" s="132">
        <f t="shared" si="25"/>
        <v>578</v>
      </c>
      <c r="M578" s="132">
        <v>848.70425862069692</v>
      </c>
      <c r="N578" s="143">
        <v>64.727401322258203</v>
      </c>
    </row>
    <row r="579" spans="2:14">
      <c r="B579" s="130">
        <v>849.00327586207618</v>
      </c>
      <c r="C579">
        <v>12.766975745687578</v>
      </c>
      <c r="D579">
        <v>849.00327586207618</v>
      </c>
      <c r="E579">
        <v>-2237.7437980233185</v>
      </c>
      <c r="F579">
        <v>849.00327586207618</v>
      </c>
      <c r="G579">
        <v>2.1105319766816137</v>
      </c>
      <c r="J579" t="str">
        <f>IF(H579="","",$P$6-'Script Table'!$E$15-'Script Table'!$E$19+H579)</f>
        <v/>
      </c>
      <c r="K579" s="132">
        <f t="shared" si="24"/>
        <v>849.00327586207618</v>
      </c>
      <c r="L579" s="132">
        <f t="shared" si="25"/>
        <v>579</v>
      </c>
      <c r="M579" s="132">
        <v>848.90360344828309</v>
      </c>
      <c r="N579" s="143">
        <v>64.343070897629232</v>
      </c>
    </row>
    <row r="580" spans="2:14">
      <c r="B580" s="130">
        <v>849.20262068966235</v>
      </c>
      <c r="C580">
        <v>12.587680528153193</v>
      </c>
      <c r="D580">
        <v>849.20262068966235</v>
      </c>
      <c r="E580">
        <v>-2237.6566664251395</v>
      </c>
      <c r="F580">
        <v>849.20262068966235</v>
      </c>
      <c r="G580">
        <v>2.1976635748605986</v>
      </c>
      <c r="J580" t="str">
        <f>IF(H580="","",$P$6-'Script Table'!$E$15-'Script Table'!$E$19+H580)</f>
        <v/>
      </c>
      <c r="K580" s="132">
        <f t="shared" ref="K580:K643" si="26">F580</f>
        <v>849.20262068966235</v>
      </c>
      <c r="L580" s="132">
        <f t="shared" si="25"/>
        <v>580</v>
      </c>
      <c r="M580" s="132">
        <v>849.10294827586927</v>
      </c>
      <c r="N580" s="143">
        <v>64.0817674817783</v>
      </c>
    </row>
    <row r="581" spans="2:14">
      <c r="B581" s="130">
        <v>849.40196551724853</v>
      </c>
      <c r="C581">
        <v>12.408552429577467</v>
      </c>
      <c r="D581">
        <v>849.40196551724853</v>
      </c>
      <c r="E581">
        <v>-2237.5691983932284</v>
      </c>
      <c r="F581">
        <v>849.40196551724853</v>
      </c>
      <c r="G581">
        <v>2.2851316067717562</v>
      </c>
      <c r="J581" t="str">
        <f>IF(H581="","",$P$6-'Script Table'!$E$15-'Script Table'!$E$19+H581)</f>
        <v/>
      </c>
      <c r="K581" s="132">
        <f t="shared" si="26"/>
        <v>849.40196551724853</v>
      </c>
      <c r="L581" s="132">
        <f t="shared" si="25"/>
        <v>581</v>
      </c>
      <c r="M581" s="132">
        <v>849.30229310345544</v>
      </c>
      <c r="N581" s="143">
        <v>63.973799533429343</v>
      </c>
    </row>
    <row r="582" spans="2:14">
      <c r="B582" s="130">
        <v>849.6013103448347</v>
      </c>
      <c r="C582">
        <v>12.230272423082264</v>
      </c>
      <c r="D582">
        <v>849.6013103448347</v>
      </c>
      <c r="E582">
        <v>-2237.4800143247999</v>
      </c>
      <c r="F582">
        <v>849.6013103448347</v>
      </c>
      <c r="G582">
        <v>2.3743156752002506</v>
      </c>
      <c r="J582" t="str">
        <f>IF(H582="","",$P$6-'Script Table'!$E$15-'Script Table'!$E$19+H582)</f>
        <v/>
      </c>
      <c r="K582" s="132">
        <f t="shared" si="26"/>
        <v>849.6013103448347</v>
      </c>
      <c r="L582" s="132">
        <f t="shared" ref="L582:L645" si="27">L581+1</f>
        <v>582</v>
      </c>
      <c r="M582" s="132">
        <v>849.50163793104161</v>
      </c>
      <c r="N582" s="143">
        <v>63.423620578931903</v>
      </c>
    </row>
    <row r="583" spans="2:14">
      <c r="B583" s="130">
        <v>849.80065517242087</v>
      </c>
      <c r="C583">
        <v>12.053513880127223</v>
      </c>
      <c r="D583">
        <v>849.80065517242087</v>
      </c>
      <c r="E583">
        <v>-2237.3878514628109</v>
      </c>
      <c r="F583">
        <v>849.80065517242087</v>
      </c>
      <c r="G583">
        <v>2.4664785371892322</v>
      </c>
      <c r="J583" t="str">
        <f>IF(H583="","",$P$6-'Script Table'!$E$15-'Script Table'!$E$19+H583)</f>
        <v/>
      </c>
      <c r="K583" s="132">
        <f t="shared" si="26"/>
        <v>849.80065517242087</v>
      </c>
      <c r="L583" s="132">
        <f t="shared" si="27"/>
        <v>583</v>
      </c>
      <c r="M583" s="132">
        <v>849.70098275862779</v>
      </c>
      <c r="N583" s="143">
        <v>62.462219668289158</v>
      </c>
    </row>
    <row r="584" spans="2:14">
      <c r="B584" s="130">
        <v>850.00000000000705</v>
      </c>
      <c r="C584">
        <v>11.878987204110835</v>
      </c>
      <c r="D584">
        <v>850.00000000000705</v>
      </c>
      <c r="E584">
        <v>-2237.291528958845</v>
      </c>
      <c r="F584">
        <v>850.00000000000705</v>
      </c>
      <c r="G584">
        <v>2.4134710411549349</v>
      </c>
      <c r="J584" t="str">
        <f>IF(H584="","",$P$6-'Script Table'!$E$15-'Script Table'!$E$19+H584)</f>
        <v/>
      </c>
      <c r="K584" s="132">
        <f t="shared" si="26"/>
        <v>850.00000000000705</v>
      </c>
      <c r="L584" s="132">
        <f t="shared" si="27"/>
        <v>584</v>
      </c>
      <c r="M584" s="132">
        <v>849.90032758621396</v>
      </c>
      <c r="N584" s="143">
        <v>61.105384171211526</v>
      </c>
    </row>
    <row r="585" spans="2:14">
      <c r="B585" s="130">
        <v>852.2190000000071</v>
      </c>
      <c r="C585">
        <v>9.9526576534674316</v>
      </c>
      <c r="D585">
        <v>852.2190000000071</v>
      </c>
      <c r="E585">
        <v>-2236.1900683441818</v>
      </c>
      <c r="F585">
        <v>852.2190000000071</v>
      </c>
      <c r="G585">
        <v>3.5149316558181454</v>
      </c>
      <c r="J585" t="str">
        <f>IF(H585="","",$P$6-'Script Table'!$E$15-'Script Table'!$E$19+H585)</f>
        <v/>
      </c>
      <c r="K585" s="132">
        <f t="shared" si="26"/>
        <v>852.2190000000071</v>
      </c>
      <c r="L585" s="132">
        <f t="shared" si="27"/>
        <v>585</v>
      </c>
      <c r="M585" s="132">
        <v>851.10950000000707</v>
      </c>
      <c r="N585" s="143">
        <v>60.239406211459901</v>
      </c>
    </row>
    <row r="586" spans="2:14">
      <c r="B586" s="130"/>
      <c r="J586" t="str">
        <f>IF(H586="","",$P$6-'Script Table'!$E$15-'Script Table'!$E$19+H586)</f>
        <v/>
      </c>
      <c r="K586" s="132">
        <f t="shared" si="26"/>
        <v>0</v>
      </c>
      <c r="L586" s="132">
        <f t="shared" si="27"/>
        <v>586</v>
      </c>
      <c r="M586" s="132">
        <v>852.2190000000071</v>
      </c>
      <c r="N586" s="143">
        <v>60.229741528356207</v>
      </c>
    </row>
    <row r="587" spans="2:14">
      <c r="B587" s="130"/>
      <c r="J587" t="str">
        <f>IF(H587="","",$P$6-'Script Table'!$E$15-'Script Table'!$E$19+H587)</f>
        <v/>
      </c>
      <c r="K587" s="132">
        <f t="shared" si="26"/>
        <v>0</v>
      </c>
      <c r="L587" s="132">
        <f t="shared" si="27"/>
        <v>587</v>
      </c>
      <c r="N587" s="143"/>
    </row>
    <row r="588" spans="2:14">
      <c r="B588" s="130"/>
      <c r="J588" t="str">
        <f>IF(H588="","",$P$6-'Script Table'!$E$15-'Script Table'!$E$19+H588)</f>
        <v/>
      </c>
      <c r="K588" s="132">
        <f t="shared" si="26"/>
        <v>0</v>
      </c>
      <c r="L588" s="132">
        <f t="shared" si="27"/>
        <v>588</v>
      </c>
      <c r="N588" s="143"/>
    </row>
    <row r="589" spans="2:14">
      <c r="B589" s="130"/>
      <c r="J589" t="str">
        <f>IF(H589="","",$P$6-'Script Table'!$E$15-'Script Table'!$E$19+H589)</f>
        <v/>
      </c>
      <c r="K589" s="132">
        <f t="shared" si="26"/>
        <v>0</v>
      </c>
      <c r="L589" s="132">
        <f t="shared" si="27"/>
        <v>589</v>
      </c>
      <c r="N589" s="143"/>
    </row>
    <row r="590" spans="2:14">
      <c r="B590" s="130"/>
      <c r="J590" t="str">
        <f>IF(H590="","",$P$6-'Script Table'!$E$15-'Script Table'!$E$19+H590)</f>
        <v/>
      </c>
      <c r="K590" s="132">
        <f t="shared" si="26"/>
        <v>0</v>
      </c>
      <c r="L590" s="132">
        <f t="shared" si="27"/>
        <v>590</v>
      </c>
      <c r="N590" s="143"/>
    </row>
    <row r="591" spans="2:14">
      <c r="B591" s="130"/>
      <c r="J591" t="str">
        <f>IF(H591="","",$P$6-'Script Table'!$E$15-'Script Table'!$E$19+H591)</f>
        <v/>
      </c>
      <c r="K591" s="132">
        <f t="shared" si="26"/>
        <v>0</v>
      </c>
      <c r="L591" s="132">
        <f t="shared" si="27"/>
        <v>591</v>
      </c>
      <c r="N591" s="143"/>
    </row>
    <row r="592" spans="2:14">
      <c r="B592" s="130"/>
      <c r="J592" t="str">
        <f>IF(H592="","",$P$6-'Script Table'!$E$15-'Script Table'!$E$19+H592)</f>
        <v/>
      </c>
      <c r="K592" s="132">
        <f t="shared" si="26"/>
        <v>0</v>
      </c>
      <c r="L592" s="132">
        <f t="shared" si="27"/>
        <v>592</v>
      </c>
      <c r="N592" s="143"/>
    </row>
    <row r="593" spans="2:14">
      <c r="B593" s="130"/>
      <c r="J593" t="str">
        <f>IF(H593="","",$P$6-'Script Table'!$E$15-'Script Table'!$E$19+H593)</f>
        <v/>
      </c>
      <c r="K593" s="132">
        <f t="shared" si="26"/>
        <v>0</v>
      </c>
      <c r="L593" s="132">
        <f t="shared" si="27"/>
        <v>593</v>
      </c>
      <c r="N593" s="143"/>
    </row>
    <row r="594" spans="2:14">
      <c r="B594" s="130"/>
      <c r="J594" t="str">
        <f>IF(H594="","",$P$6-'Script Table'!$E$15-'Script Table'!$E$19+H594)</f>
        <v/>
      </c>
      <c r="K594" s="132">
        <f t="shared" si="26"/>
        <v>0</v>
      </c>
      <c r="L594" s="132">
        <f t="shared" si="27"/>
        <v>594</v>
      </c>
      <c r="N594" s="143"/>
    </row>
    <row r="595" spans="2:14">
      <c r="B595" s="130"/>
      <c r="J595" t="str">
        <f>IF(H595="","",$P$6-'Script Table'!$E$15-'Script Table'!$E$19+H595)</f>
        <v/>
      </c>
      <c r="K595" s="132">
        <f t="shared" si="26"/>
        <v>0</v>
      </c>
      <c r="L595" s="132">
        <f t="shared" si="27"/>
        <v>595</v>
      </c>
      <c r="N595" s="143"/>
    </row>
    <row r="596" spans="2:14">
      <c r="B596" s="130"/>
      <c r="J596" t="str">
        <f>IF(H596="","",$P$6-'Script Table'!$E$15-'Script Table'!$E$19+H596)</f>
        <v/>
      </c>
      <c r="K596" s="132">
        <f t="shared" si="26"/>
        <v>0</v>
      </c>
      <c r="L596" s="132">
        <f t="shared" si="27"/>
        <v>596</v>
      </c>
      <c r="N596" s="143"/>
    </row>
    <row r="597" spans="2:14">
      <c r="B597" s="130"/>
      <c r="J597" t="str">
        <f>IF(H597="","",$P$6-'Script Table'!$E$15-'Script Table'!$E$19+H597)</f>
        <v/>
      </c>
      <c r="K597" s="132">
        <f t="shared" si="26"/>
        <v>0</v>
      </c>
      <c r="L597" s="132">
        <f t="shared" si="27"/>
        <v>597</v>
      </c>
      <c r="N597" s="143"/>
    </row>
    <row r="598" spans="2:14">
      <c r="B598" s="130"/>
      <c r="J598" t="str">
        <f>IF(H598="","",$P$6-'Script Table'!$E$15-'Script Table'!$E$19+H598)</f>
        <v/>
      </c>
      <c r="K598" s="132">
        <f t="shared" si="26"/>
        <v>0</v>
      </c>
      <c r="L598" s="132">
        <f t="shared" si="27"/>
        <v>598</v>
      </c>
      <c r="N598" s="143"/>
    </row>
    <row r="599" spans="2:14">
      <c r="B599" s="130"/>
      <c r="J599" t="str">
        <f>IF(H599="","",$P$6-'Script Table'!$E$15-'Script Table'!$E$19+H599)</f>
        <v/>
      </c>
      <c r="K599" s="132">
        <f t="shared" si="26"/>
        <v>0</v>
      </c>
      <c r="L599" s="132">
        <f t="shared" si="27"/>
        <v>599</v>
      </c>
      <c r="N599" s="143"/>
    </row>
    <row r="600" spans="2:14">
      <c r="B600" s="130"/>
      <c r="J600" t="str">
        <f>IF(H600="","",$P$6-'Script Table'!$E$15-'Script Table'!$E$19+H600)</f>
        <v/>
      </c>
      <c r="K600" s="132">
        <f t="shared" si="26"/>
        <v>0</v>
      </c>
      <c r="L600" s="132">
        <f t="shared" si="27"/>
        <v>600</v>
      </c>
      <c r="N600" s="143"/>
    </row>
    <row r="601" spans="2:14">
      <c r="B601" s="130"/>
      <c r="J601" t="str">
        <f>IF(H601="","",$P$6-'Script Table'!$E$15-'Script Table'!$E$19+H601)</f>
        <v/>
      </c>
      <c r="K601" s="132">
        <f t="shared" si="26"/>
        <v>0</v>
      </c>
      <c r="L601" s="132">
        <f t="shared" si="27"/>
        <v>601</v>
      </c>
      <c r="N601" s="143"/>
    </row>
    <row r="602" spans="2:14">
      <c r="B602" s="130"/>
      <c r="J602" t="str">
        <f>IF(H602="","",$P$6-'Script Table'!$E$15-'Script Table'!$E$19+H602)</f>
        <v/>
      </c>
      <c r="K602" s="132">
        <f t="shared" si="26"/>
        <v>0</v>
      </c>
      <c r="L602" s="132">
        <f t="shared" si="27"/>
        <v>602</v>
      </c>
      <c r="N602" s="143"/>
    </row>
    <row r="603" spans="2:14">
      <c r="B603" s="130"/>
      <c r="J603" t="str">
        <f>IF(H603="","",$P$6-'Script Table'!$E$15-'Script Table'!$E$19+H603)</f>
        <v/>
      </c>
      <c r="K603" s="132">
        <f t="shared" si="26"/>
        <v>0</v>
      </c>
      <c r="L603" s="132">
        <f t="shared" si="27"/>
        <v>603</v>
      </c>
      <c r="N603" s="143"/>
    </row>
    <row r="604" spans="2:14">
      <c r="B604" s="130"/>
      <c r="J604" t="str">
        <f>IF(H604="","",$P$6-'Script Table'!$E$15-'Script Table'!$E$19+H604)</f>
        <v/>
      </c>
      <c r="K604" s="132">
        <f t="shared" si="26"/>
        <v>0</v>
      </c>
      <c r="L604" s="132">
        <f t="shared" si="27"/>
        <v>604</v>
      </c>
      <c r="N604" s="143"/>
    </row>
    <row r="605" spans="2:14">
      <c r="B605" s="130"/>
      <c r="J605" t="str">
        <f>IF(H605="","",$P$6-'Script Table'!$E$15-'Script Table'!$E$19+H605)</f>
        <v/>
      </c>
      <c r="K605" s="132">
        <f t="shared" si="26"/>
        <v>0</v>
      </c>
      <c r="L605" s="132">
        <f t="shared" si="27"/>
        <v>605</v>
      </c>
      <c r="N605" s="143"/>
    </row>
    <row r="606" spans="2:14">
      <c r="B606" s="130"/>
      <c r="J606" t="str">
        <f>IF(H606="","",$P$6-'Script Table'!$E$15-'Script Table'!$E$19+H606)</f>
        <v/>
      </c>
      <c r="K606" s="132">
        <f t="shared" si="26"/>
        <v>0</v>
      </c>
      <c r="L606" s="132">
        <f t="shared" si="27"/>
        <v>606</v>
      </c>
      <c r="N606" s="143"/>
    </row>
    <row r="607" spans="2:14">
      <c r="B607" s="130"/>
      <c r="J607" t="str">
        <f>IF(H607="","",$P$6-'Script Table'!$E$15-'Script Table'!$E$19+H607)</f>
        <v/>
      </c>
      <c r="K607" s="132">
        <f t="shared" si="26"/>
        <v>0</v>
      </c>
      <c r="L607" s="132">
        <f t="shared" si="27"/>
        <v>607</v>
      </c>
      <c r="N607" s="143"/>
    </row>
    <row r="608" spans="2:14">
      <c r="B608" s="130"/>
      <c r="J608" t="str">
        <f>IF(H608="","",$P$6-'Script Table'!$E$15-'Script Table'!$E$19+H608)</f>
        <v/>
      </c>
      <c r="K608" s="132">
        <f t="shared" si="26"/>
        <v>0</v>
      </c>
      <c r="L608" s="132">
        <f t="shared" si="27"/>
        <v>608</v>
      </c>
      <c r="N608" s="143"/>
    </row>
    <row r="609" spans="2:14">
      <c r="B609" s="130"/>
      <c r="J609" t="str">
        <f>IF(H609="","",$P$6-'Script Table'!$E$15-'Script Table'!$E$19+H609)</f>
        <v/>
      </c>
      <c r="K609" s="132">
        <f t="shared" si="26"/>
        <v>0</v>
      </c>
      <c r="L609" s="132">
        <f t="shared" si="27"/>
        <v>609</v>
      </c>
      <c r="N609" s="143"/>
    </row>
    <row r="610" spans="2:14">
      <c r="B610" s="130"/>
      <c r="J610" t="str">
        <f>IF(H610="","",$P$6-'Script Table'!$E$15-'Script Table'!$E$19+H610)</f>
        <v/>
      </c>
      <c r="K610" s="132">
        <f t="shared" si="26"/>
        <v>0</v>
      </c>
      <c r="L610" s="132">
        <f t="shared" si="27"/>
        <v>610</v>
      </c>
      <c r="N610" s="143"/>
    </row>
    <row r="611" spans="2:14">
      <c r="B611" s="130"/>
      <c r="J611" t="str">
        <f>IF(H611="","",$P$6-'Script Table'!$E$15-'Script Table'!$E$19+H611)</f>
        <v/>
      </c>
      <c r="K611" s="132">
        <f t="shared" si="26"/>
        <v>0</v>
      </c>
      <c r="L611" s="132">
        <f t="shared" si="27"/>
        <v>611</v>
      </c>
      <c r="N611" s="143"/>
    </row>
    <row r="612" spans="2:14">
      <c r="B612" s="130"/>
      <c r="J612" t="str">
        <f>IF(H612="","",$P$6-'Script Table'!$E$15-'Script Table'!$E$19+H612)</f>
        <v/>
      </c>
      <c r="K612" s="132">
        <f t="shared" si="26"/>
        <v>0</v>
      </c>
      <c r="L612" s="132">
        <f t="shared" si="27"/>
        <v>612</v>
      </c>
      <c r="N612" s="143"/>
    </row>
    <row r="613" spans="2:14">
      <c r="B613" s="130"/>
      <c r="J613" t="str">
        <f>IF(H613="","",$P$6-'Script Table'!$E$15-'Script Table'!$E$19+H613)</f>
        <v/>
      </c>
      <c r="K613" s="132">
        <f t="shared" si="26"/>
        <v>0</v>
      </c>
      <c r="L613" s="132">
        <f t="shared" si="27"/>
        <v>613</v>
      </c>
      <c r="N613" s="143"/>
    </row>
    <row r="614" spans="2:14">
      <c r="B614" s="130"/>
      <c r="J614" t="str">
        <f>IF(H614="","",$P$6-'Script Table'!$E$15-'Script Table'!$E$19+H614)</f>
        <v/>
      </c>
      <c r="K614" s="132">
        <f t="shared" si="26"/>
        <v>0</v>
      </c>
      <c r="L614" s="132">
        <f t="shared" si="27"/>
        <v>614</v>
      </c>
      <c r="N614" s="143"/>
    </row>
    <row r="615" spans="2:14">
      <c r="B615" s="130"/>
      <c r="J615" t="str">
        <f>IF(H615="","",$P$6-'Script Table'!$E$15-'Script Table'!$E$19+H615)</f>
        <v/>
      </c>
      <c r="K615" s="132">
        <f t="shared" si="26"/>
        <v>0</v>
      </c>
      <c r="L615" s="132">
        <f t="shared" si="27"/>
        <v>615</v>
      </c>
      <c r="N615" s="143"/>
    </row>
    <row r="616" spans="2:14">
      <c r="B616" s="130"/>
      <c r="J616" t="str">
        <f>IF(H616="","",$P$6-'Script Table'!$E$15-'Script Table'!$E$19+H616)</f>
        <v/>
      </c>
      <c r="K616" s="132">
        <f t="shared" si="26"/>
        <v>0</v>
      </c>
      <c r="L616" s="132">
        <f t="shared" si="27"/>
        <v>616</v>
      </c>
      <c r="N616" s="143"/>
    </row>
    <row r="617" spans="2:14">
      <c r="B617" s="130"/>
      <c r="J617" t="str">
        <f>IF(H617="","",$P$6-'Script Table'!$E$15-'Script Table'!$E$19+H617)</f>
        <v/>
      </c>
      <c r="K617" s="132">
        <f t="shared" si="26"/>
        <v>0</v>
      </c>
      <c r="L617" s="132">
        <f t="shared" si="27"/>
        <v>617</v>
      </c>
      <c r="N617" s="143"/>
    </row>
    <row r="618" spans="2:14">
      <c r="B618" s="130"/>
      <c r="J618" t="str">
        <f>IF(H618="","",$P$6-'Script Table'!$E$15-'Script Table'!$E$19+H618)</f>
        <v/>
      </c>
      <c r="K618" s="132">
        <f t="shared" si="26"/>
        <v>0</v>
      </c>
      <c r="L618" s="132">
        <f t="shared" si="27"/>
        <v>618</v>
      </c>
      <c r="N618" s="143"/>
    </row>
    <row r="619" spans="2:14">
      <c r="B619" s="130"/>
      <c r="J619" t="str">
        <f>IF(H619="","",$P$6-'Script Table'!$E$15-'Script Table'!$E$19+H619)</f>
        <v/>
      </c>
      <c r="K619" s="132">
        <f t="shared" si="26"/>
        <v>0</v>
      </c>
      <c r="L619" s="132">
        <f t="shared" si="27"/>
        <v>619</v>
      </c>
      <c r="N619" s="143"/>
    </row>
    <row r="620" spans="2:14">
      <c r="B620" s="130"/>
      <c r="J620" t="str">
        <f>IF(H620="","",$P$6-'Script Table'!$E$15-'Script Table'!$E$19+H620)</f>
        <v/>
      </c>
      <c r="K620" s="132">
        <f t="shared" si="26"/>
        <v>0</v>
      </c>
      <c r="L620" s="132">
        <f t="shared" si="27"/>
        <v>620</v>
      </c>
      <c r="N620" s="143"/>
    </row>
    <row r="621" spans="2:14">
      <c r="B621" s="130"/>
      <c r="J621" t="str">
        <f>IF(H621="","",$P$6-'Script Table'!$E$15-'Script Table'!$E$19+H621)</f>
        <v/>
      </c>
      <c r="K621" s="132">
        <f t="shared" si="26"/>
        <v>0</v>
      </c>
      <c r="L621" s="132">
        <f t="shared" si="27"/>
        <v>621</v>
      </c>
      <c r="N621" s="143"/>
    </row>
    <row r="622" spans="2:14">
      <c r="B622" s="130"/>
      <c r="J622" t="str">
        <f>IF(H622="","",$P$6-'Script Table'!$E$15-'Script Table'!$E$19+H622)</f>
        <v/>
      </c>
      <c r="K622" s="132">
        <f t="shared" si="26"/>
        <v>0</v>
      </c>
      <c r="L622" s="132">
        <f t="shared" si="27"/>
        <v>622</v>
      </c>
      <c r="N622" s="143"/>
    </row>
    <row r="623" spans="2:14">
      <c r="B623" s="130"/>
      <c r="J623" t="str">
        <f>IF(H623="","",$P$6-'Script Table'!$E$15-'Script Table'!$E$19+H623)</f>
        <v/>
      </c>
      <c r="K623" s="132">
        <f t="shared" si="26"/>
        <v>0</v>
      </c>
      <c r="L623" s="132">
        <f t="shared" si="27"/>
        <v>623</v>
      </c>
      <c r="N623" s="143"/>
    </row>
    <row r="624" spans="2:14">
      <c r="B624" s="130"/>
      <c r="J624" t="str">
        <f>IF(H624="","",$P$6-'Script Table'!$E$15-'Script Table'!$E$19+H624)</f>
        <v/>
      </c>
      <c r="K624" s="132">
        <f t="shared" si="26"/>
        <v>0</v>
      </c>
      <c r="L624" s="132">
        <f t="shared" si="27"/>
        <v>624</v>
      </c>
      <c r="N624" s="143"/>
    </row>
    <row r="625" spans="2:14">
      <c r="B625" s="130"/>
      <c r="J625" t="str">
        <f>IF(H625="","",$P$6-'Script Table'!$E$15-'Script Table'!$E$19+H625)</f>
        <v/>
      </c>
      <c r="K625" s="132">
        <f t="shared" si="26"/>
        <v>0</v>
      </c>
      <c r="L625" s="132">
        <f t="shared" si="27"/>
        <v>625</v>
      </c>
      <c r="N625" s="143"/>
    </row>
    <row r="626" spans="2:14">
      <c r="B626" s="130"/>
      <c r="J626" t="str">
        <f>IF(H626="","",$P$6-'Script Table'!$E$15-'Script Table'!$E$19+H626)</f>
        <v/>
      </c>
      <c r="K626" s="132">
        <f t="shared" si="26"/>
        <v>0</v>
      </c>
      <c r="L626" s="132">
        <f t="shared" si="27"/>
        <v>626</v>
      </c>
      <c r="N626" s="143"/>
    </row>
    <row r="627" spans="2:14">
      <c r="B627" s="130"/>
      <c r="J627" t="str">
        <f>IF(H627="","",$P$6-'Script Table'!$E$15-'Script Table'!$E$19+H627)</f>
        <v/>
      </c>
      <c r="K627" s="132">
        <f t="shared" si="26"/>
        <v>0</v>
      </c>
      <c r="L627" s="132">
        <f t="shared" si="27"/>
        <v>627</v>
      </c>
      <c r="N627" s="143"/>
    </row>
    <row r="628" spans="2:14">
      <c r="B628" s="130"/>
      <c r="J628" t="str">
        <f>IF(H628="","",$P$6-'Script Table'!$E$15-'Script Table'!$E$19+H628)</f>
        <v/>
      </c>
      <c r="K628" s="132">
        <f t="shared" si="26"/>
        <v>0</v>
      </c>
      <c r="L628" s="132">
        <f t="shared" si="27"/>
        <v>628</v>
      </c>
      <c r="N628" s="143"/>
    </row>
    <row r="629" spans="2:14">
      <c r="B629" s="130"/>
      <c r="J629" t="str">
        <f>IF(H629="","",$P$6-'Script Table'!$E$15-'Script Table'!$E$19+H629)</f>
        <v/>
      </c>
      <c r="K629" s="132">
        <f t="shared" si="26"/>
        <v>0</v>
      </c>
      <c r="L629" s="132">
        <f t="shared" si="27"/>
        <v>629</v>
      </c>
      <c r="N629" s="143"/>
    </row>
    <row r="630" spans="2:14">
      <c r="B630" s="130"/>
      <c r="J630" t="str">
        <f>IF(H630="","",$P$6-'Script Table'!$E$15-'Script Table'!$E$19+H630)</f>
        <v/>
      </c>
      <c r="K630" s="132">
        <f t="shared" si="26"/>
        <v>0</v>
      </c>
      <c r="L630" s="132">
        <f t="shared" si="27"/>
        <v>630</v>
      </c>
      <c r="N630" s="143"/>
    </row>
    <row r="631" spans="2:14">
      <c r="B631" s="130"/>
      <c r="J631" t="str">
        <f>IF(H631="","",$P$6-'Script Table'!$E$15-'Script Table'!$E$19+H631)</f>
        <v/>
      </c>
      <c r="K631" s="132">
        <f t="shared" si="26"/>
        <v>0</v>
      </c>
      <c r="L631" s="132">
        <f t="shared" si="27"/>
        <v>631</v>
      </c>
      <c r="N631" s="143"/>
    </row>
    <row r="632" spans="2:14">
      <c r="B632" s="130"/>
      <c r="J632" t="str">
        <f>IF(H632="","",$P$6-'Script Table'!$E$15-'Script Table'!$E$19+H632)</f>
        <v/>
      </c>
      <c r="K632" s="132">
        <f t="shared" si="26"/>
        <v>0</v>
      </c>
      <c r="L632" s="132">
        <f t="shared" si="27"/>
        <v>632</v>
      </c>
      <c r="N632" s="143"/>
    </row>
    <row r="633" spans="2:14">
      <c r="B633" s="130"/>
      <c r="J633" t="str">
        <f>IF(H633="","",$P$6-'Script Table'!$E$15-'Script Table'!$E$19+H633)</f>
        <v/>
      </c>
      <c r="K633" s="132">
        <f t="shared" si="26"/>
        <v>0</v>
      </c>
      <c r="L633" s="132">
        <f t="shared" si="27"/>
        <v>633</v>
      </c>
      <c r="N633" s="143"/>
    </row>
    <row r="634" spans="2:14">
      <c r="B634" s="130"/>
      <c r="J634" t="str">
        <f>IF(H634="","",$P$6-'Script Table'!$E$15-'Script Table'!$E$19+H634)</f>
        <v/>
      </c>
      <c r="K634" s="132">
        <f t="shared" si="26"/>
        <v>0</v>
      </c>
      <c r="L634" s="132">
        <f t="shared" si="27"/>
        <v>634</v>
      </c>
      <c r="N634" s="143"/>
    </row>
    <row r="635" spans="2:14">
      <c r="B635" s="130"/>
      <c r="J635" t="str">
        <f>IF(H635="","",$P$6-'Script Table'!$E$15-'Script Table'!$E$19+H635)</f>
        <v/>
      </c>
      <c r="K635" s="132">
        <f t="shared" si="26"/>
        <v>0</v>
      </c>
      <c r="L635" s="132">
        <f t="shared" si="27"/>
        <v>635</v>
      </c>
      <c r="N635" s="143"/>
    </row>
    <row r="636" spans="2:14">
      <c r="B636" s="130"/>
      <c r="J636" t="str">
        <f>IF(H636="","",$P$6-'Script Table'!$E$15-'Script Table'!$E$19+H636)</f>
        <v/>
      </c>
      <c r="K636" s="132">
        <f t="shared" si="26"/>
        <v>0</v>
      </c>
      <c r="L636" s="132">
        <f t="shared" si="27"/>
        <v>636</v>
      </c>
      <c r="N636" s="143"/>
    </row>
    <row r="637" spans="2:14">
      <c r="B637" s="130"/>
      <c r="J637" t="str">
        <f>IF(H637="","",$P$6-'Script Table'!$E$15-'Script Table'!$E$19+H637)</f>
        <v/>
      </c>
      <c r="K637" s="132">
        <f t="shared" si="26"/>
        <v>0</v>
      </c>
      <c r="L637" s="132">
        <f t="shared" si="27"/>
        <v>637</v>
      </c>
      <c r="N637" s="143"/>
    </row>
    <row r="638" spans="2:14">
      <c r="B638" s="130"/>
      <c r="J638" t="str">
        <f>IF(H638="","",$P$6-'Script Table'!$E$15-'Script Table'!$E$19+H638)</f>
        <v/>
      </c>
      <c r="K638" s="132">
        <f t="shared" si="26"/>
        <v>0</v>
      </c>
      <c r="L638" s="132">
        <f t="shared" si="27"/>
        <v>638</v>
      </c>
      <c r="N638" s="143"/>
    </row>
    <row r="639" spans="2:14">
      <c r="B639" s="130"/>
      <c r="J639" t="str">
        <f>IF(H639="","",$P$6-'Script Table'!$E$15-'Script Table'!$E$19+H639)</f>
        <v/>
      </c>
      <c r="K639" s="132">
        <f t="shared" si="26"/>
        <v>0</v>
      </c>
      <c r="L639" s="132">
        <f t="shared" si="27"/>
        <v>639</v>
      </c>
      <c r="N639" s="143"/>
    </row>
    <row r="640" spans="2:14">
      <c r="B640" s="130"/>
      <c r="J640" t="str">
        <f>IF(H640="","",$P$6-'Script Table'!$E$15-'Script Table'!$E$19+H640)</f>
        <v/>
      </c>
      <c r="K640" s="132">
        <f t="shared" si="26"/>
        <v>0</v>
      </c>
      <c r="L640" s="132">
        <f t="shared" si="27"/>
        <v>640</v>
      </c>
      <c r="N640" s="143"/>
    </row>
    <row r="641" spans="2:14">
      <c r="B641" s="130"/>
      <c r="J641" t="str">
        <f>IF(H641="","",$P$6-'Script Table'!$E$15-'Script Table'!$E$19+H641)</f>
        <v/>
      </c>
      <c r="K641" s="132">
        <f t="shared" si="26"/>
        <v>0</v>
      </c>
      <c r="L641" s="132">
        <f t="shared" si="27"/>
        <v>641</v>
      </c>
      <c r="N641" s="143"/>
    </row>
    <row r="642" spans="2:14">
      <c r="B642" s="130"/>
      <c r="J642" t="str">
        <f>IF(H642="","",$P$6-'Script Table'!$E$15-'Script Table'!$E$19+H642)</f>
        <v/>
      </c>
      <c r="K642" s="132">
        <f t="shared" si="26"/>
        <v>0</v>
      </c>
      <c r="L642" s="132">
        <f t="shared" si="27"/>
        <v>642</v>
      </c>
      <c r="N642" s="143"/>
    </row>
    <row r="643" spans="2:14">
      <c r="B643" s="130"/>
      <c r="J643" t="str">
        <f>IF(H643="","",$P$6-'Script Table'!$E$15-'Script Table'!$E$19+H643)</f>
        <v/>
      </c>
      <c r="K643" s="132">
        <f t="shared" si="26"/>
        <v>0</v>
      </c>
      <c r="L643" s="132">
        <f t="shared" si="27"/>
        <v>643</v>
      </c>
      <c r="N643" s="143"/>
    </row>
    <row r="644" spans="2:14">
      <c r="B644" s="130"/>
      <c r="J644" t="str">
        <f>IF(H644="","",$P$6-'Script Table'!$E$15-'Script Table'!$E$19+H644)</f>
        <v/>
      </c>
      <c r="K644" s="132">
        <f t="shared" ref="K644:K707" si="28">F644</f>
        <v>0</v>
      </c>
      <c r="L644" s="132">
        <f t="shared" si="27"/>
        <v>644</v>
      </c>
      <c r="N644" s="143"/>
    </row>
    <row r="645" spans="2:14">
      <c r="B645" s="130"/>
      <c r="J645" t="str">
        <f>IF(H645="","",$P$6-'Script Table'!$E$15-'Script Table'!$E$19+H645)</f>
        <v/>
      </c>
      <c r="K645" s="132">
        <f t="shared" si="28"/>
        <v>0</v>
      </c>
      <c r="L645" s="132">
        <f t="shared" si="27"/>
        <v>645</v>
      </c>
      <c r="N645" s="143"/>
    </row>
    <row r="646" spans="2:14">
      <c r="B646" s="130"/>
      <c r="J646" t="str">
        <f>IF(H646="","",$P$6-'Script Table'!$E$15-'Script Table'!$E$19+H646)</f>
        <v/>
      </c>
      <c r="K646" s="132">
        <f t="shared" si="28"/>
        <v>0</v>
      </c>
      <c r="L646" s="132">
        <f t="shared" ref="L646:L709" si="29">L645+1</f>
        <v>646</v>
      </c>
      <c r="N646" s="143"/>
    </row>
    <row r="647" spans="2:14">
      <c r="B647" s="130"/>
      <c r="J647" t="str">
        <f>IF(H647="","",$P$6-'Script Table'!$E$15-'Script Table'!$E$19+H647)</f>
        <v/>
      </c>
      <c r="K647" s="132">
        <f t="shared" si="28"/>
        <v>0</v>
      </c>
      <c r="L647" s="132">
        <f t="shared" si="29"/>
        <v>647</v>
      </c>
      <c r="N647" s="143"/>
    </row>
    <row r="648" spans="2:14">
      <c r="B648" s="130"/>
      <c r="J648" t="str">
        <f>IF(H648="","",$P$6-'Script Table'!$E$15-'Script Table'!$E$19+H648)</f>
        <v/>
      </c>
      <c r="K648" s="132">
        <f t="shared" si="28"/>
        <v>0</v>
      </c>
      <c r="L648" s="132">
        <f t="shared" si="29"/>
        <v>648</v>
      </c>
      <c r="N648" s="143"/>
    </row>
    <row r="649" spans="2:14">
      <c r="B649" s="130"/>
      <c r="J649" t="str">
        <f>IF(H649="","",$P$6-'Script Table'!$E$15-'Script Table'!$E$19+H649)</f>
        <v/>
      </c>
      <c r="K649" s="132">
        <f t="shared" si="28"/>
        <v>0</v>
      </c>
      <c r="L649" s="132">
        <f t="shared" si="29"/>
        <v>649</v>
      </c>
      <c r="N649" s="143"/>
    </row>
    <row r="650" spans="2:14">
      <c r="B650" s="130"/>
      <c r="J650" t="str">
        <f>IF(H650="","",$P$6-'Script Table'!$E$15-'Script Table'!$E$19+H650)</f>
        <v/>
      </c>
      <c r="K650" s="132">
        <f t="shared" si="28"/>
        <v>0</v>
      </c>
      <c r="L650" s="132">
        <f t="shared" si="29"/>
        <v>650</v>
      </c>
      <c r="N650" s="143"/>
    </row>
    <row r="651" spans="2:14">
      <c r="B651" s="130"/>
      <c r="J651" t="str">
        <f>IF(H651="","",$P$6-'Script Table'!$E$15-'Script Table'!$E$19+H651)</f>
        <v/>
      </c>
      <c r="K651" s="132">
        <f t="shared" si="28"/>
        <v>0</v>
      </c>
      <c r="L651" s="132">
        <f t="shared" si="29"/>
        <v>651</v>
      </c>
      <c r="N651" s="143"/>
    </row>
    <row r="652" spans="2:14">
      <c r="B652" s="130"/>
      <c r="J652" t="str">
        <f>IF(H652="","",$P$6-'Script Table'!$E$15-'Script Table'!$E$19+H652)</f>
        <v/>
      </c>
      <c r="K652" s="132">
        <f t="shared" si="28"/>
        <v>0</v>
      </c>
      <c r="L652" s="132">
        <f t="shared" si="29"/>
        <v>652</v>
      </c>
      <c r="N652" s="143"/>
    </row>
    <row r="653" spans="2:14">
      <c r="B653" s="130"/>
      <c r="J653" t="str">
        <f>IF(H653="","",$P$6-'Script Table'!$E$15-'Script Table'!$E$19+H653)</f>
        <v/>
      </c>
      <c r="K653" s="132">
        <f t="shared" si="28"/>
        <v>0</v>
      </c>
      <c r="L653" s="132">
        <f t="shared" si="29"/>
        <v>653</v>
      </c>
      <c r="N653" s="143"/>
    </row>
    <row r="654" spans="2:14">
      <c r="B654" s="130"/>
      <c r="J654" t="str">
        <f>IF(H654="","",$P$6-'Script Table'!$E$15-'Script Table'!$E$19+H654)</f>
        <v/>
      </c>
      <c r="K654" s="132">
        <f t="shared" si="28"/>
        <v>0</v>
      </c>
      <c r="L654" s="132">
        <f t="shared" si="29"/>
        <v>654</v>
      </c>
      <c r="N654" s="143"/>
    </row>
    <row r="655" spans="2:14">
      <c r="B655" s="130"/>
      <c r="J655" t="str">
        <f>IF(H655="","",$P$6-'Script Table'!$E$15-'Script Table'!$E$19+H655)</f>
        <v/>
      </c>
      <c r="K655" s="132">
        <f t="shared" si="28"/>
        <v>0</v>
      </c>
      <c r="L655" s="132">
        <f t="shared" si="29"/>
        <v>655</v>
      </c>
      <c r="N655" s="143"/>
    </row>
    <row r="656" spans="2:14">
      <c r="B656" s="130"/>
      <c r="J656" t="str">
        <f>IF(H656="","",$P$6-'Script Table'!$E$15-'Script Table'!$E$19+H656)</f>
        <v/>
      </c>
      <c r="K656" s="132">
        <f t="shared" si="28"/>
        <v>0</v>
      </c>
      <c r="L656" s="132">
        <f t="shared" si="29"/>
        <v>656</v>
      </c>
      <c r="N656" s="143"/>
    </row>
    <row r="657" spans="2:14">
      <c r="B657" s="130"/>
      <c r="J657" t="str">
        <f>IF(H657="","",$P$6-'Script Table'!$E$15-'Script Table'!$E$19+H657)</f>
        <v/>
      </c>
      <c r="K657" s="132">
        <f t="shared" si="28"/>
        <v>0</v>
      </c>
      <c r="L657" s="132">
        <f t="shared" si="29"/>
        <v>657</v>
      </c>
      <c r="N657" s="143"/>
    </row>
    <row r="658" spans="2:14">
      <c r="B658" s="130"/>
      <c r="J658" t="str">
        <f>IF(H658="","",$P$6-'Script Table'!$E$15-'Script Table'!$E$19+H658)</f>
        <v/>
      </c>
      <c r="K658" s="132">
        <f t="shared" si="28"/>
        <v>0</v>
      </c>
      <c r="L658" s="132">
        <f t="shared" si="29"/>
        <v>658</v>
      </c>
      <c r="N658" s="143"/>
    </row>
    <row r="659" spans="2:14">
      <c r="B659" s="130"/>
      <c r="J659" t="str">
        <f>IF(H659="","",$P$6-'Script Table'!$E$15-'Script Table'!$E$19+H659)</f>
        <v/>
      </c>
      <c r="K659" s="132">
        <f t="shared" si="28"/>
        <v>0</v>
      </c>
      <c r="L659" s="132">
        <f t="shared" si="29"/>
        <v>659</v>
      </c>
      <c r="N659" s="143"/>
    </row>
    <row r="660" spans="2:14">
      <c r="B660" s="130"/>
      <c r="J660" t="str">
        <f>IF(H660="","",$P$6-'Script Table'!$E$15-'Script Table'!$E$19+H660)</f>
        <v/>
      </c>
      <c r="K660" s="132">
        <f t="shared" si="28"/>
        <v>0</v>
      </c>
      <c r="L660" s="132">
        <f t="shared" si="29"/>
        <v>660</v>
      </c>
      <c r="N660" s="143"/>
    </row>
    <row r="661" spans="2:14">
      <c r="B661" s="130"/>
      <c r="J661" t="str">
        <f>IF(H661="","",$P$6-'Script Table'!$E$15-'Script Table'!$E$19+H661)</f>
        <v/>
      </c>
      <c r="K661" s="132">
        <f t="shared" si="28"/>
        <v>0</v>
      </c>
      <c r="L661" s="132">
        <f t="shared" si="29"/>
        <v>661</v>
      </c>
      <c r="N661" s="143"/>
    </row>
    <row r="662" spans="2:14">
      <c r="B662" s="130"/>
      <c r="J662" t="str">
        <f>IF(H662="","",$P$6-'Script Table'!$E$15-'Script Table'!$E$19+H662)</f>
        <v/>
      </c>
      <c r="K662" s="132">
        <f t="shared" si="28"/>
        <v>0</v>
      </c>
      <c r="L662" s="132">
        <f t="shared" si="29"/>
        <v>662</v>
      </c>
      <c r="N662" s="143"/>
    </row>
    <row r="663" spans="2:14">
      <c r="B663" s="130"/>
      <c r="J663" t="str">
        <f>IF(H663="","",$P$6-'Script Table'!$E$15-'Script Table'!$E$19+H663)</f>
        <v/>
      </c>
      <c r="K663" s="132">
        <f t="shared" si="28"/>
        <v>0</v>
      </c>
      <c r="L663" s="132">
        <f t="shared" si="29"/>
        <v>663</v>
      </c>
      <c r="N663" s="143"/>
    </row>
    <row r="664" spans="2:14">
      <c r="B664" s="130"/>
      <c r="J664" t="str">
        <f>IF(H664="","",$P$6-'Script Table'!$E$15-'Script Table'!$E$19+H664)</f>
        <v/>
      </c>
      <c r="K664" s="132">
        <f t="shared" si="28"/>
        <v>0</v>
      </c>
      <c r="L664" s="132">
        <f t="shared" si="29"/>
        <v>664</v>
      </c>
      <c r="N664" s="143"/>
    </row>
    <row r="665" spans="2:14">
      <c r="B665" s="130"/>
      <c r="J665" t="str">
        <f>IF(H665="","",$P$6-'Script Table'!$E$15-'Script Table'!$E$19+H665)</f>
        <v/>
      </c>
      <c r="K665" s="132">
        <f t="shared" si="28"/>
        <v>0</v>
      </c>
      <c r="L665" s="132">
        <f t="shared" si="29"/>
        <v>665</v>
      </c>
      <c r="N665" s="143"/>
    </row>
    <row r="666" spans="2:14">
      <c r="B666" s="130"/>
      <c r="J666" t="str">
        <f>IF(H666="","",$P$6-'Script Table'!$E$15-'Script Table'!$E$19+H666)</f>
        <v/>
      </c>
      <c r="K666" s="132">
        <f t="shared" si="28"/>
        <v>0</v>
      </c>
      <c r="L666" s="132">
        <f t="shared" si="29"/>
        <v>666</v>
      </c>
      <c r="N666" s="143"/>
    </row>
    <row r="667" spans="2:14">
      <c r="B667" s="130"/>
      <c r="J667" t="str">
        <f>IF(H667="","",$P$6-'Script Table'!$E$15-'Script Table'!$E$19+H667)</f>
        <v/>
      </c>
      <c r="K667" s="132">
        <f t="shared" si="28"/>
        <v>0</v>
      </c>
      <c r="L667" s="132">
        <f t="shared" si="29"/>
        <v>667</v>
      </c>
      <c r="N667" s="143"/>
    </row>
    <row r="668" spans="2:14">
      <c r="B668" s="130"/>
      <c r="J668" t="str">
        <f>IF(H668="","",$P$6-'Script Table'!$E$15-'Script Table'!$E$19+H668)</f>
        <v/>
      </c>
      <c r="K668" s="132">
        <f t="shared" si="28"/>
        <v>0</v>
      </c>
      <c r="L668" s="132">
        <f t="shared" si="29"/>
        <v>668</v>
      </c>
      <c r="N668" s="143"/>
    </row>
    <row r="669" spans="2:14">
      <c r="B669" s="130"/>
      <c r="J669" t="str">
        <f>IF(H669="","",$P$6-'Script Table'!$E$15-'Script Table'!$E$19+H669)</f>
        <v/>
      </c>
      <c r="K669" s="132">
        <f t="shared" si="28"/>
        <v>0</v>
      </c>
      <c r="L669" s="132">
        <f t="shared" si="29"/>
        <v>669</v>
      </c>
      <c r="N669" s="143"/>
    </row>
    <row r="670" spans="2:14">
      <c r="B670" s="130"/>
      <c r="J670" t="str">
        <f>IF(H670="","",$P$6-'Script Table'!$E$15-'Script Table'!$E$19+H670)</f>
        <v/>
      </c>
      <c r="K670" s="132">
        <f t="shared" si="28"/>
        <v>0</v>
      </c>
      <c r="L670" s="132">
        <f t="shared" si="29"/>
        <v>670</v>
      </c>
      <c r="N670" s="143"/>
    </row>
    <row r="671" spans="2:14">
      <c r="B671" s="130"/>
      <c r="J671" t="str">
        <f>IF(H671="","",$P$6-'Script Table'!$E$15-'Script Table'!$E$19+H671)</f>
        <v/>
      </c>
      <c r="K671" s="132">
        <f t="shared" si="28"/>
        <v>0</v>
      </c>
      <c r="L671" s="132">
        <f t="shared" si="29"/>
        <v>671</v>
      </c>
      <c r="N671" s="143"/>
    </row>
    <row r="672" spans="2:14">
      <c r="B672" s="130"/>
      <c r="J672" t="str">
        <f>IF(H672="","",$P$6-'Script Table'!$E$15-'Script Table'!$E$19+H672)</f>
        <v/>
      </c>
      <c r="K672" s="132">
        <f t="shared" si="28"/>
        <v>0</v>
      </c>
      <c r="L672" s="132">
        <f t="shared" si="29"/>
        <v>672</v>
      </c>
      <c r="N672" s="143"/>
    </row>
    <row r="673" spans="2:14">
      <c r="B673" s="130"/>
      <c r="J673" t="str">
        <f>IF(H673="","",$P$6-'Script Table'!$E$15-'Script Table'!$E$19+H673)</f>
        <v/>
      </c>
      <c r="K673" s="132">
        <f t="shared" si="28"/>
        <v>0</v>
      </c>
      <c r="L673" s="132">
        <f t="shared" si="29"/>
        <v>673</v>
      </c>
      <c r="N673" s="143"/>
    </row>
    <row r="674" spans="2:14">
      <c r="B674" s="130"/>
      <c r="J674" t="str">
        <f>IF(H674="","",$P$6-'Script Table'!$E$15-'Script Table'!$E$19+H674)</f>
        <v/>
      </c>
      <c r="K674" s="132">
        <f t="shared" si="28"/>
        <v>0</v>
      </c>
      <c r="L674" s="132">
        <f t="shared" si="29"/>
        <v>674</v>
      </c>
      <c r="N674" s="143"/>
    </row>
    <row r="675" spans="2:14">
      <c r="B675" s="130"/>
      <c r="J675" t="str">
        <f>IF(H675="","",$P$6-'Script Table'!$E$15-'Script Table'!$E$19+H675)</f>
        <v/>
      </c>
      <c r="K675" s="132">
        <f t="shared" si="28"/>
        <v>0</v>
      </c>
      <c r="L675" s="132">
        <f t="shared" si="29"/>
        <v>675</v>
      </c>
      <c r="N675" s="143"/>
    </row>
    <row r="676" spans="2:14">
      <c r="B676" s="130"/>
      <c r="J676" t="str">
        <f>IF(H676="","",$P$6-'Script Table'!$E$15-'Script Table'!$E$19+H676)</f>
        <v/>
      </c>
      <c r="K676" s="132">
        <f t="shared" si="28"/>
        <v>0</v>
      </c>
      <c r="L676" s="132">
        <f t="shared" si="29"/>
        <v>676</v>
      </c>
      <c r="N676" s="143"/>
    </row>
    <row r="677" spans="2:14">
      <c r="B677" s="130"/>
      <c r="J677" t="str">
        <f>IF(H677="","",$P$6-'Script Table'!$E$15-'Script Table'!$E$19+H677)</f>
        <v/>
      </c>
      <c r="K677" s="132">
        <f t="shared" si="28"/>
        <v>0</v>
      </c>
      <c r="L677" s="132">
        <f t="shared" si="29"/>
        <v>677</v>
      </c>
      <c r="N677" s="143"/>
    </row>
    <row r="678" spans="2:14">
      <c r="B678" s="130"/>
      <c r="J678" t="str">
        <f>IF(H678="","",$P$6-'Script Table'!$E$15-'Script Table'!$E$19+H678)</f>
        <v/>
      </c>
      <c r="K678" s="132">
        <f t="shared" si="28"/>
        <v>0</v>
      </c>
      <c r="L678" s="132">
        <f t="shared" si="29"/>
        <v>678</v>
      </c>
      <c r="N678" s="143"/>
    </row>
    <row r="679" spans="2:14">
      <c r="B679" s="130"/>
      <c r="J679" t="str">
        <f>IF(H679="","",$P$6-'Script Table'!$E$15-'Script Table'!$E$19+H679)</f>
        <v/>
      </c>
      <c r="K679" s="132">
        <f t="shared" si="28"/>
        <v>0</v>
      </c>
      <c r="L679" s="132">
        <f t="shared" si="29"/>
        <v>679</v>
      </c>
      <c r="N679" s="143"/>
    </row>
    <row r="680" spans="2:14">
      <c r="B680" s="130"/>
      <c r="J680" t="str">
        <f>IF(H680="","",$P$6-'Script Table'!$E$15-'Script Table'!$E$19+H680)</f>
        <v/>
      </c>
      <c r="K680" s="132">
        <f t="shared" si="28"/>
        <v>0</v>
      </c>
      <c r="L680" s="132">
        <f t="shared" si="29"/>
        <v>680</v>
      </c>
      <c r="N680" s="143"/>
    </row>
    <row r="681" spans="2:14">
      <c r="B681" s="130"/>
      <c r="J681" t="str">
        <f>IF(H681="","",$P$6-'Script Table'!$E$15-'Script Table'!$E$19+H681)</f>
        <v/>
      </c>
      <c r="K681" s="132">
        <f t="shared" si="28"/>
        <v>0</v>
      </c>
      <c r="L681" s="132">
        <f t="shared" si="29"/>
        <v>681</v>
      </c>
      <c r="N681" s="143"/>
    </row>
    <row r="682" spans="2:14">
      <c r="B682" s="130"/>
      <c r="J682" t="str">
        <f>IF(H682="","",$P$6-'Script Table'!$E$15-'Script Table'!$E$19+H682)</f>
        <v/>
      </c>
      <c r="K682" s="132">
        <f t="shared" si="28"/>
        <v>0</v>
      </c>
      <c r="L682" s="132">
        <f t="shared" si="29"/>
        <v>682</v>
      </c>
      <c r="N682" s="143"/>
    </row>
    <row r="683" spans="2:14">
      <c r="B683" s="130"/>
      <c r="J683" t="str">
        <f>IF(H683="","",$P$6-'Script Table'!$E$15-'Script Table'!$E$19+H683)</f>
        <v/>
      </c>
      <c r="K683" s="132">
        <f t="shared" si="28"/>
        <v>0</v>
      </c>
      <c r="L683" s="132">
        <f t="shared" si="29"/>
        <v>683</v>
      </c>
      <c r="N683" s="143"/>
    </row>
    <row r="684" spans="2:14">
      <c r="B684" s="130"/>
      <c r="J684" t="str">
        <f>IF(H684="","",$P$6-'Script Table'!$E$15-'Script Table'!$E$19+H684)</f>
        <v/>
      </c>
      <c r="K684" s="132">
        <f t="shared" si="28"/>
        <v>0</v>
      </c>
      <c r="L684" s="132">
        <f t="shared" si="29"/>
        <v>684</v>
      </c>
      <c r="N684" s="143"/>
    </row>
    <row r="685" spans="2:14">
      <c r="B685" s="130"/>
      <c r="J685" t="str">
        <f>IF(H685="","",$P$6-'Script Table'!$E$15-'Script Table'!$E$19+H685)</f>
        <v/>
      </c>
      <c r="K685" s="132">
        <f t="shared" si="28"/>
        <v>0</v>
      </c>
      <c r="L685" s="132">
        <f t="shared" si="29"/>
        <v>685</v>
      </c>
      <c r="N685" s="143"/>
    </row>
    <row r="686" spans="2:14">
      <c r="B686" s="130"/>
      <c r="J686" t="str">
        <f>IF(H686="","",$P$6-'Script Table'!$E$15-'Script Table'!$E$19+H686)</f>
        <v/>
      </c>
      <c r="K686" s="132">
        <f t="shared" si="28"/>
        <v>0</v>
      </c>
      <c r="L686" s="132">
        <f t="shared" si="29"/>
        <v>686</v>
      </c>
      <c r="N686" s="143"/>
    </row>
    <row r="687" spans="2:14">
      <c r="B687" s="130"/>
      <c r="J687" t="str">
        <f>IF(H687="","",$P$6-'Script Table'!$E$15-'Script Table'!$E$19+H687)</f>
        <v/>
      </c>
      <c r="K687" s="132">
        <f t="shared" si="28"/>
        <v>0</v>
      </c>
      <c r="L687" s="132">
        <f t="shared" si="29"/>
        <v>687</v>
      </c>
      <c r="N687" s="143"/>
    </row>
    <row r="688" spans="2:14">
      <c r="B688" s="130"/>
      <c r="J688" t="str">
        <f>IF(H688="","",$P$6-'Script Table'!$E$15-'Script Table'!$E$19+H688)</f>
        <v/>
      </c>
      <c r="K688" s="132">
        <f t="shared" si="28"/>
        <v>0</v>
      </c>
      <c r="L688" s="132">
        <f t="shared" si="29"/>
        <v>688</v>
      </c>
      <c r="N688" s="143"/>
    </row>
    <row r="689" spans="2:14">
      <c r="B689" s="130"/>
      <c r="J689" t="str">
        <f>IF(H689="","",$P$6-'Script Table'!$E$15-'Script Table'!$E$19+H689)</f>
        <v/>
      </c>
      <c r="K689" s="132">
        <f t="shared" si="28"/>
        <v>0</v>
      </c>
      <c r="L689" s="132">
        <f t="shared" si="29"/>
        <v>689</v>
      </c>
      <c r="N689" s="143"/>
    </row>
    <row r="690" spans="2:14">
      <c r="B690" s="130"/>
      <c r="J690" t="str">
        <f>IF(H690="","",$P$6-'Script Table'!$E$15-'Script Table'!$E$19+H690)</f>
        <v/>
      </c>
      <c r="K690" s="132">
        <f t="shared" si="28"/>
        <v>0</v>
      </c>
      <c r="L690" s="132">
        <f t="shared" si="29"/>
        <v>690</v>
      </c>
      <c r="N690" s="143"/>
    </row>
    <row r="691" spans="2:14">
      <c r="B691" s="130"/>
      <c r="J691" t="str">
        <f>IF(H691="","",$P$6-'Script Table'!$E$15-'Script Table'!$E$19+H691)</f>
        <v/>
      </c>
      <c r="K691" s="132">
        <f t="shared" si="28"/>
        <v>0</v>
      </c>
      <c r="L691" s="132">
        <f t="shared" si="29"/>
        <v>691</v>
      </c>
      <c r="N691" s="143"/>
    </row>
    <row r="692" spans="2:14">
      <c r="B692" s="130"/>
      <c r="J692" t="str">
        <f>IF(H692="","",$P$6-'Script Table'!$E$15-'Script Table'!$E$19+H692)</f>
        <v/>
      </c>
      <c r="K692" s="132">
        <f t="shared" si="28"/>
        <v>0</v>
      </c>
      <c r="L692" s="132">
        <f t="shared" si="29"/>
        <v>692</v>
      </c>
      <c r="N692" s="143"/>
    </row>
    <row r="693" spans="2:14">
      <c r="B693" s="130"/>
      <c r="J693" t="str">
        <f>IF(H693="","",$P$6-'Script Table'!$E$15-'Script Table'!$E$19+H693)</f>
        <v/>
      </c>
      <c r="K693" s="132">
        <f t="shared" si="28"/>
        <v>0</v>
      </c>
      <c r="L693" s="132">
        <f t="shared" si="29"/>
        <v>693</v>
      </c>
      <c r="N693" s="143"/>
    </row>
    <row r="694" spans="2:14">
      <c r="B694" s="130"/>
      <c r="J694" t="str">
        <f>IF(H694="","",$P$6-'Script Table'!$E$15-'Script Table'!$E$19+H694)</f>
        <v/>
      </c>
      <c r="K694" s="132">
        <f t="shared" si="28"/>
        <v>0</v>
      </c>
      <c r="L694" s="132">
        <f t="shared" si="29"/>
        <v>694</v>
      </c>
      <c r="N694" s="143"/>
    </row>
    <row r="695" spans="2:14">
      <c r="B695" s="130"/>
      <c r="J695" t="str">
        <f>IF(H695="","",$P$6-'Script Table'!$E$15-'Script Table'!$E$19+H695)</f>
        <v/>
      </c>
      <c r="K695" s="132">
        <f t="shared" si="28"/>
        <v>0</v>
      </c>
      <c r="L695" s="132">
        <f t="shared" si="29"/>
        <v>695</v>
      </c>
      <c r="N695" s="143"/>
    </row>
    <row r="696" spans="2:14">
      <c r="B696" s="130"/>
      <c r="J696" t="str">
        <f>IF(H696="","",$P$6-'Script Table'!$E$15-'Script Table'!$E$19+H696)</f>
        <v/>
      </c>
      <c r="K696" s="132">
        <f t="shared" si="28"/>
        <v>0</v>
      </c>
      <c r="L696" s="132">
        <f t="shared" si="29"/>
        <v>696</v>
      </c>
      <c r="N696" s="143"/>
    </row>
    <row r="697" spans="2:14">
      <c r="B697" s="130"/>
      <c r="J697" t="str">
        <f>IF(H697="","",$P$6-'Script Table'!$E$15-'Script Table'!$E$19+H697)</f>
        <v/>
      </c>
      <c r="K697" s="132">
        <f t="shared" si="28"/>
        <v>0</v>
      </c>
      <c r="L697" s="132">
        <f t="shared" si="29"/>
        <v>697</v>
      </c>
      <c r="N697" s="143"/>
    </row>
    <row r="698" spans="2:14">
      <c r="B698" s="130"/>
      <c r="J698" t="str">
        <f>IF(H698="","",$P$6-'Script Table'!$E$15-'Script Table'!$E$19+H698)</f>
        <v/>
      </c>
      <c r="K698" s="132">
        <f t="shared" si="28"/>
        <v>0</v>
      </c>
      <c r="L698" s="132">
        <f t="shared" si="29"/>
        <v>698</v>
      </c>
      <c r="N698" s="143"/>
    </row>
    <row r="699" spans="2:14">
      <c r="B699" s="130"/>
      <c r="J699" t="str">
        <f>IF(H699="","",$P$6-'Script Table'!$E$15-'Script Table'!$E$19+H699)</f>
        <v/>
      </c>
      <c r="K699" s="132">
        <f t="shared" si="28"/>
        <v>0</v>
      </c>
      <c r="L699" s="132">
        <f t="shared" si="29"/>
        <v>699</v>
      </c>
      <c r="N699" s="143"/>
    </row>
    <row r="700" spans="2:14">
      <c r="B700" s="130"/>
      <c r="J700" t="str">
        <f>IF(H700="","",$P$6-'Script Table'!$E$15-'Script Table'!$E$19+H700)</f>
        <v/>
      </c>
      <c r="K700" s="132">
        <f t="shared" si="28"/>
        <v>0</v>
      </c>
      <c r="L700" s="132">
        <f t="shared" si="29"/>
        <v>700</v>
      </c>
      <c r="N700" s="143"/>
    </row>
    <row r="701" spans="2:14">
      <c r="B701" s="130"/>
      <c r="J701" t="str">
        <f>IF(H701="","",$P$6-'Script Table'!$E$15-'Script Table'!$E$19+H701)</f>
        <v/>
      </c>
      <c r="K701" s="132">
        <f t="shared" si="28"/>
        <v>0</v>
      </c>
      <c r="L701" s="132">
        <f t="shared" si="29"/>
        <v>701</v>
      </c>
      <c r="N701" s="143"/>
    </row>
    <row r="702" spans="2:14">
      <c r="B702" s="130"/>
      <c r="J702" t="str">
        <f>IF(H702="","",$P$6-'Script Table'!$E$15-'Script Table'!$E$19+H702)</f>
        <v/>
      </c>
      <c r="K702" s="132">
        <f t="shared" si="28"/>
        <v>0</v>
      </c>
      <c r="L702" s="132">
        <f t="shared" si="29"/>
        <v>702</v>
      </c>
      <c r="N702" s="143"/>
    </row>
    <row r="703" spans="2:14">
      <c r="B703" s="130"/>
      <c r="J703" t="str">
        <f>IF(H703="","",$P$6-'Script Table'!$E$15-'Script Table'!$E$19+H703)</f>
        <v/>
      </c>
      <c r="K703" s="132">
        <f t="shared" si="28"/>
        <v>0</v>
      </c>
      <c r="L703" s="132">
        <f t="shared" si="29"/>
        <v>703</v>
      </c>
      <c r="N703" s="143"/>
    </row>
    <row r="704" spans="2:14">
      <c r="B704" s="130"/>
      <c r="J704" t="str">
        <f>IF(H704="","",$P$6-'Script Table'!$E$15-'Script Table'!$E$19+H704)</f>
        <v/>
      </c>
      <c r="K704" s="132">
        <f t="shared" si="28"/>
        <v>0</v>
      </c>
      <c r="L704" s="132">
        <f t="shared" si="29"/>
        <v>704</v>
      </c>
      <c r="N704" s="143"/>
    </row>
    <row r="705" spans="2:14">
      <c r="B705" s="130"/>
      <c r="J705" t="str">
        <f>IF(H705="","",$P$6-'Script Table'!$E$15-'Script Table'!$E$19+H705)</f>
        <v/>
      </c>
      <c r="K705" s="132">
        <f t="shared" si="28"/>
        <v>0</v>
      </c>
      <c r="L705" s="132">
        <f t="shared" si="29"/>
        <v>705</v>
      </c>
      <c r="N705" s="143"/>
    </row>
    <row r="706" spans="2:14">
      <c r="B706" s="130"/>
      <c r="J706" t="str">
        <f>IF(H706="","",$P$6-'Script Table'!$E$15-'Script Table'!$E$19+H706)</f>
        <v/>
      </c>
      <c r="K706" s="132">
        <f t="shared" si="28"/>
        <v>0</v>
      </c>
      <c r="L706" s="132">
        <f t="shared" si="29"/>
        <v>706</v>
      </c>
      <c r="N706" s="143"/>
    </row>
    <row r="707" spans="2:14">
      <c r="B707" s="130"/>
      <c r="J707" t="str">
        <f>IF(H707="","",$P$6-'Script Table'!$E$15-'Script Table'!$E$19+H707)</f>
        <v/>
      </c>
      <c r="K707" s="132">
        <f t="shared" si="28"/>
        <v>0</v>
      </c>
      <c r="L707" s="132">
        <f t="shared" si="29"/>
        <v>707</v>
      </c>
      <c r="N707" s="143"/>
    </row>
    <row r="708" spans="2:14">
      <c r="B708" s="130"/>
      <c r="J708" t="str">
        <f>IF(H708="","",$P$6-'Script Table'!$E$15-'Script Table'!$E$19+H708)</f>
        <v/>
      </c>
      <c r="K708" s="132">
        <f t="shared" ref="K708:K771" si="30">F708</f>
        <v>0</v>
      </c>
      <c r="L708" s="132">
        <f t="shared" si="29"/>
        <v>708</v>
      </c>
      <c r="N708" s="143"/>
    </row>
    <row r="709" spans="2:14">
      <c r="B709" s="130"/>
      <c r="J709" t="str">
        <f>IF(H709="","",$P$6-'Script Table'!$E$15-'Script Table'!$E$19+H709)</f>
        <v/>
      </c>
      <c r="K709" s="132">
        <f t="shared" si="30"/>
        <v>0</v>
      </c>
      <c r="L709" s="132">
        <f t="shared" si="29"/>
        <v>709</v>
      </c>
      <c r="N709" s="143"/>
    </row>
    <row r="710" spans="2:14">
      <c r="B710" s="130"/>
      <c r="J710" t="str">
        <f>IF(H710="","",$P$6-'Script Table'!$E$15-'Script Table'!$E$19+H710)</f>
        <v/>
      </c>
      <c r="K710" s="132">
        <f t="shared" si="30"/>
        <v>0</v>
      </c>
      <c r="L710" s="132">
        <f t="shared" ref="L710:L773" si="31">L709+1</f>
        <v>710</v>
      </c>
      <c r="N710" s="143"/>
    </row>
    <row r="711" spans="2:14">
      <c r="B711" s="130"/>
      <c r="J711" t="str">
        <f>IF(H711="","",$P$6-'Script Table'!$E$15-'Script Table'!$E$19+H711)</f>
        <v/>
      </c>
      <c r="K711" s="132">
        <f t="shared" si="30"/>
        <v>0</v>
      </c>
      <c r="L711" s="132">
        <f t="shared" si="31"/>
        <v>711</v>
      </c>
      <c r="N711" s="143"/>
    </row>
    <row r="712" spans="2:14">
      <c r="B712" s="130"/>
      <c r="J712" t="str">
        <f>IF(H712="","",$P$6-'Script Table'!$E$15-'Script Table'!$E$19+H712)</f>
        <v/>
      </c>
      <c r="K712" s="132">
        <f t="shared" si="30"/>
        <v>0</v>
      </c>
      <c r="L712" s="132">
        <f t="shared" si="31"/>
        <v>712</v>
      </c>
      <c r="N712" s="143"/>
    </row>
    <row r="713" spans="2:14">
      <c r="B713" s="130"/>
      <c r="J713" t="str">
        <f>IF(H713="","",$P$6-'Script Table'!$E$15-'Script Table'!$E$19+H713)</f>
        <v/>
      </c>
      <c r="K713" s="132">
        <f t="shared" si="30"/>
        <v>0</v>
      </c>
      <c r="L713" s="132">
        <f t="shared" si="31"/>
        <v>713</v>
      </c>
      <c r="N713" s="143"/>
    </row>
    <row r="714" spans="2:14">
      <c r="B714" s="130"/>
      <c r="J714" t="str">
        <f>IF(H714="","",$P$6-'Script Table'!$E$15-'Script Table'!$E$19+H714)</f>
        <v/>
      </c>
      <c r="K714" s="132">
        <f t="shared" si="30"/>
        <v>0</v>
      </c>
      <c r="L714" s="132">
        <f t="shared" si="31"/>
        <v>714</v>
      </c>
      <c r="N714" s="143"/>
    </row>
    <row r="715" spans="2:14">
      <c r="B715" s="130"/>
      <c r="J715" t="str">
        <f>IF(H715="","",$P$6-'Script Table'!$E$15-'Script Table'!$E$19+H715)</f>
        <v/>
      </c>
      <c r="K715" s="132">
        <f t="shared" si="30"/>
        <v>0</v>
      </c>
      <c r="L715" s="132">
        <f t="shared" si="31"/>
        <v>715</v>
      </c>
      <c r="N715" s="143"/>
    </row>
    <row r="716" spans="2:14">
      <c r="B716" s="130"/>
      <c r="J716" t="str">
        <f>IF(H716="","",$P$6-'Script Table'!$E$15-'Script Table'!$E$19+H716)</f>
        <v/>
      </c>
      <c r="K716" s="132">
        <f t="shared" si="30"/>
        <v>0</v>
      </c>
      <c r="L716" s="132">
        <f t="shared" si="31"/>
        <v>716</v>
      </c>
      <c r="N716" s="143"/>
    </row>
    <row r="717" spans="2:14">
      <c r="B717" s="130"/>
      <c r="J717" t="str">
        <f>IF(H717="","",$P$6-'Script Table'!$E$15-'Script Table'!$E$19+H717)</f>
        <v/>
      </c>
      <c r="K717" s="132">
        <f t="shared" si="30"/>
        <v>0</v>
      </c>
      <c r="L717" s="132">
        <f t="shared" si="31"/>
        <v>717</v>
      </c>
      <c r="N717" s="143"/>
    </row>
    <row r="718" spans="2:14">
      <c r="B718" s="130"/>
      <c r="J718" t="str">
        <f>IF(H718="","",$P$6-'Script Table'!$E$15-'Script Table'!$E$19+H718)</f>
        <v/>
      </c>
      <c r="K718" s="132">
        <f t="shared" si="30"/>
        <v>0</v>
      </c>
      <c r="L718" s="132">
        <f t="shared" si="31"/>
        <v>718</v>
      </c>
      <c r="N718" s="143"/>
    </row>
    <row r="719" spans="2:14">
      <c r="B719" s="130"/>
      <c r="J719" t="str">
        <f>IF(H719="","",$P$6-'Script Table'!$E$15-'Script Table'!$E$19+H719)</f>
        <v/>
      </c>
      <c r="K719" s="132">
        <f t="shared" si="30"/>
        <v>0</v>
      </c>
      <c r="L719" s="132">
        <f t="shared" si="31"/>
        <v>719</v>
      </c>
      <c r="N719" s="143"/>
    </row>
    <row r="720" spans="2:14">
      <c r="B720" s="130"/>
      <c r="J720" t="str">
        <f>IF(H720="","",$P$6-'Script Table'!$E$15-'Script Table'!$E$19+H720)</f>
        <v/>
      </c>
      <c r="K720" s="132">
        <f t="shared" si="30"/>
        <v>0</v>
      </c>
      <c r="L720" s="132">
        <f t="shared" si="31"/>
        <v>720</v>
      </c>
      <c r="N720" s="143"/>
    </row>
    <row r="721" spans="2:14">
      <c r="B721" s="130"/>
      <c r="J721" t="str">
        <f>IF(H721="","",$P$6-'Script Table'!$E$15-'Script Table'!$E$19+H721)</f>
        <v/>
      </c>
      <c r="K721" s="132">
        <f t="shared" si="30"/>
        <v>0</v>
      </c>
      <c r="L721" s="132">
        <f t="shared" si="31"/>
        <v>721</v>
      </c>
      <c r="N721" s="143"/>
    </row>
    <row r="722" spans="2:14">
      <c r="B722" s="130"/>
      <c r="J722" t="str">
        <f>IF(H722="","",$P$6-'Script Table'!$E$15-'Script Table'!$E$19+H722)</f>
        <v/>
      </c>
      <c r="K722" s="132">
        <f t="shared" si="30"/>
        <v>0</v>
      </c>
      <c r="L722" s="132">
        <f t="shared" si="31"/>
        <v>722</v>
      </c>
      <c r="N722" s="143"/>
    </row>
    <row r="723" spans="2:14">
      <c r="B723" s="130"/>
      <c r="J723" t="str">
        <f>IF(H723="","",$P$6-'Script Table'!$E$15-'Script Table'!$E$19+H723)</f>
        <v/>
      </c>
      <c r="K723" s="132">
        <f t="shared" si="30"/>
        <v>0</v>
      </c>
      <c r="L723" s="132">
        <f t="shared" si="31"/>
        <v>723</v>
      </c>
      <c r="N723" s="143"/>
    </row>
    <row r="724" spans="2:14">
      <c r="B724" s="130"/>
      <c r="J724" t="str">
        <f>IF(H724="","",$P$6-'Script Table'!$E$15-'Script Table'!$E$19+H724)</f>
        <v/>
      </c>
      <c r="K724" s="132">
        <f t="shared" si="30"/>
        <v>0</v>
      </c>
      <c r="L724" s="132">
        <f t="shared" si="31"/>
        <v>724</v>
      </c>
      <c r="N724" s="143"/>
    </row>
    <row r="725" spans="2:14">
      <c r="B725" s="130"/>
      <c r="J725" t="str">
        <f>IF(H725="","",$P$6-'Script Table'!$E$15-'Script Table'!$E$19+H725)</f>
        <v/>
      </c>
      <c r="K725" s="132">
        <f t="shared" si="30"/>
        <v>0</v>
      </c>
      <c r="L725" s="132">
        <f t="shared" si="31"/>
        <v>725</v>
      </c>
      <c r="N725" s="143"/>
    </row>
    <row r="726" spans="2:14">
      <c r="B726" s="130"/>
      <c r="J726" t="str">
        <f>IF(H726="","",$P$6-'Script Table'!$E$15-'Script Table'!$E$19+H726)</f>
        <v/>
      </c>
      <c r="K726" s="132">
        <f t="shared" si="30"/>
        <v>0</v>
      </c>
      <c r="L726" s="132">
        <f t="shared" si="31"/>
        <v>726</v>
      </c>
      <c r="N726" s="143"/>
    </row>
    <row r="727" spans="2:14">
      <c r="B727" s="130"/>
      <c r="J727" t="str">
        <f>IF(H727="","",$P$6-'Script Table'!$E$15-'Script Table'!$E$19+H727)</f>
        <v/>
      </c>
      <c r="K727" s="132">
        <f t="shared" si="30"/>
        <v>0</v>
      </c>
      <c r="L727" s="132">
        <f t="shared" si="31"/>
        <v>727</v>
      </c>
      <c r="N727" s="143"/>
    </row>
    <row r="728" spans="2:14">
      <c r="B728" s="130"/>
      <c r="J728" t="str">
        <f>IF(H728="","",$P$6-'Script Table'!$E$15-'Script Table'!$E$19+H728)</f>
        <v/>
      </c>
      <c r="K728" s="132">
        <f t="shared" si="30"/>
        <v>0</v>
      </c>
      <c r="L728" s="132">
        <f t="shared" si="31"/>
        <v>728</v>
      </c>
      <c r="N728" s="143"/>
    </row>
    <row r="729" spans="2:14">
      <c r="B729" s="130"/>
      <c r="J729" t="str">
        <f>IF(H729="","",$P$6-'Script Table'!$E$15-'Script Table'!$E$19+H729)</f>
        <v/>
      </c>
      <c r="K729" s="132">
        <f t="shared" si="30"/>
        <v>0</v>
      </c>
      <c r="L729" s="132">
        <f t="shared" si="31"/>
        <v>729</v>
      </c>
      <c r="N729" s="143"/>
    </row>
    <row r="730" spans="2:14">
      <c r="B730" s="130"/>
      <c r="J730" t="str">
        <f>IF(H730="","",$P$6-'Script Table'!$E$15-'Script Table'!$E$19+H730)</f>
        <v/>
      </c>
      <c r="K730" s="132">
        <f t="shared" si="30"/>
        <v>0</v>
      </c>
      <c r="L730" s="132">
        <f t="shared" si="31"/>
        <v>730</v>
      </c>
      <c r="N730" s="143"/>
    </row>
    <row r="731" spans="2:14">
      <c r="B731" s="130"/>
      <c r="J731" t="str">
        <f>IF(H731="","",$P$6-'Script Table'!$E$15-'Script Table'!$E$19+H731)</f>
        <v/>
      </c>
      <c r="K731" s="132">
        <f t="shared" si="30"/>
        <v>0</v>
      </c>
      <c r="L731" s="132">
        <f t="shared" si="31"/>
        <v>731</v>
      </c>
      <c r="N731" s="143"/>
    </row>
    <row r="732" spans="2:14">
      <c r="B732" s="130"/>
      <c r="J732" t="str">
        <f>IF(H732="","",$P$6-'Script Table'!$E$15-'Script Table'!$E$19+H732)</f>
        <v/>
      </c>
      <c r="K732" s="132">
        <f t="shared" si="30"/>
        <v>0</v>
      </c>
      <c r="L732" s="132">
        <f t="shared" si="31"/>
        <v>732</v>
      </c>
      <c r="N732" s="143"/>
    </row>
    <row r="733" spans="2:14">
      <c r="B733" s="130"/>
      <c r="J733" t="str">
        <f>IF(H733="","",$P$6-'Script Table'!$E$15-'Script Table'!$E$19+H733)</f>
        <v/>
      </c>
      <c r="K733" s="132">
        <f t="shared" si="30"/>
        <v>0</v>
      </c>
      <c r="L733" s="132">
        <f t="shared" si="31"/>
        <v>733</v>
      </c>
      <c r="N733" s="143"/>
    </row>
    <row r="734" spans="2:14">
      <c r="B734" s="130"/>
      <c r="J734" t="str">
        <f>IF(H734="","",$P$6-'Script Table'!$E$15-'Script Table'!$E$19+H734)</f>
        <v/>
      </c>
      <c r="K734" s="132">
        <f t="shared" si="30"/>
        <v>0</v>
      </c>
      <c r="L734" s="132">
        <f t="shared" si="31"/>
        <v>734</v>
      </c>
      <c r="N734" s="143"/>
    </row>
    <row r="735" spans="2:14">
      <c r="B735" s="130"/>
      <c r="J735" t="str">
        <f>IF(H735="","",$P$6-'Script Table'!$E$15-'Script Table'!$E$19+H735)</f>
        <v/>
      </c>
      <c r="K735" s="132">
        <f t="shared" si="30"/>
        <v>0</v>
      </c>
      <c r="L735" s="132">
        <f t="shared" si="31"/>
        <v>735</v>
      </c>
      <c r="N735" s="143"/>
    </row>
    <row r="736" spans="2:14">
      <c r="B736" s="130"/>
      <c r="J736" t="str">
        <f>IF(H736="","",$P$6-'Script Table'!$E$15-'Script Table'!$E$19+H736)</f>
        <v/>
      </c>
      <c r="K736" s="132">
        <f t="shared" si="30"/>
        <v>0</v>
      </c>
      <c r="L736" s="132">
        <f t="shared" si="31"/>
        <v>736</v>
      </c>
      <c r="N736" s="143"/>
    </row>
    <row r="737" spans="2:14">
      <c r="B737" s="130"/>
      <c r="J737" t="str">
        <f>IF(H737="","",$P$6-'Script Table'!$E$15-'Script Table'!$E$19+H737)</f>
        <v/>
      </c>
      <c r="K737" s="132">
        <f t="shared" si="30"/>
        <v>0</v>
      </c>
      <c r="L737" s="132">
        <f t="shared" si="31"/>
        <v>737</v>
      </c>
      <c r="N737" s="143"/>
    </row>
    <row r="738" spans="2:14">
      <c r="B738" s="130"/>
      <c r="J738" t="str">
        <f>IF(H738="","",$P$6-'Script Table'!$E$15-'Script Table'!$E$19+H738)</f>
        <v/>
      </c>
      <c r="K738" s="132">
        <f t="shared" si="30"/>
        <v>0</v>
      </c>
      <c r="L738" s="132">
        <f t="shared" si="31"/>
        <v>738</v>
      </c>
      <c r="N738" s="143"/>
    </row>
    <row r="739" spans="2:14">
      <c r="B739" s="130"/>
      <c r="J739" t="str">
        <f>IF(H739="","",$P$6-'Script Table'!$E$15-'Script Table'!$E$19+H739)</f>
        <v/>
      </c>
      <c r="K739" s="132">
        <f t="shared" si="30"/>
        <v>0</v>
      </c>
      <c r="L739" s="132">
        <f t="shared" si="31"/>
        <v>739</v>
      </c>
      <c r="N739" s="143"/>
    </row>
    <row r="740" spans="2:14">
      <c r="B740" s="130"/>
      <c r="J740" t="str">
        <f>IF(H740="","",$P$6-'Script Table'!$E$15-'Script Table'!$E$19+H740)</f>
        <v/>
      </c>
      <c r="K740" s="132">
        <f t="shared" si="30"/>
        <v>0</v>
      </c>
      <c r="L740" s="132">
        <f t="shared" si="31"/>
        <v>740</v>
      </c>
      <c r="N740" s="143"/>
    </row>
    <row r="741" spans="2:14">
      <c r="B741" s="130"/>
      <c r="J741" t="str">
        <f>IF(H741="","",$P$6-'Script Table'!$E$15-'Script Table'!$E$19+H741)</f>
        <v/>
      </c>
      <c r="K741" s="132">
        <f t="shared" si="30"/>
        <v>0</v>
      </c>
      <c r="L741" s="132">
        <f t="shared" si="31"/>
        <v>741</v>
      </c>
      <c r="N741" s="143"/>
    </row>
    <row r="742" spans="2:14">
      <c r="B742" s="130"/>
      <c r="J742" t="str">
        <f>IF(H742="","",$P$6-'Script Table'!$E$15-'Script Table'!$E$19+H742)</f>
        <v/>
      </c>
      <c r="K742" s="132">
        <f t="shared" si="30"/>
        <v>0</v>
      </c>
      <c r="L742" s="132">
        <f t="shared" si="31"/>
        <v>742</v>
      </c>
      <c r="N742" s="143"/>
    </row>
    <row r="743" spans="2:14">
      <c r="B743" s="130"/>
      <c r="J743" t="str">
        <f>IF(H743="","",$P$6-'Script Table'!$E$15-'Script Table'!$E$19+H743)</f>
        <v/>
      </c>
      <c r="K743" s="132">
        <f t="shared" si="30"/>
        <v>0</v>
      </c>
      <c r="L743" s="132">
        <f t="shared" si="31"/>
        <v>743</v>
      </c>
      <c r="N743" s="143"/>
    </row>
    <row r="744" spans="2:14">
      <c r="B744" s="130"/>
      <c r="J744" t="str">
        <f>IF(H744="","",$P$6-'Script Table'!$E$15-'Script Table'!$E$19+H744)</f>
        <v/>
      </c>
      <c r="K744" s="132">
        <f t="shared" si="30"/>
        <v>0</v>
      </c>
      <c r="L744" s="132">
        <f t="shared" si="31"/>
        <v>744</v>
      </c>
      <c r="N744" s="143"/>
    </row>
    <row r="745" spans="2:14">
      <c r="B745" s="130"/>
      <c r="J745" t="str">
        <f>IF(H745="","",$P$6-'Script Table'!$E$15-'Script Table'!$E$19+H745)</f>
        <v/>
      </c>
      <c r="K745" s="132">
        <f t="shared" si="30"/>
        <v>0</v>
      </c>
      <c r="L745" s="132">
        <f t="shared" si="31"/>
        <v>745</v>
      </c>
      <c r="N745" s="143"/>
    </row>
    <row r="746" spans="2:14">
      <c r="B746" s="130"/>
      <c r="J746" t="str">
        <f>IF(H746="","",$P$6-'Script Table'!$E$15-'Script Table'!$E$19+H746)</f>
        <v/>
      </c>
      <c r="K746" s="132">
        <f t="shared" si="30"/>
        <v>0</v>
      </c>
      <c r="L746" s="132">
        <f t="shared" si="31"/>
        <v>746</v>
      </c>
      <c r="N746" s="143"/>
    </row>
    <row r="747" spans="2:14">
      <c r="B747" s="130"/>
      <c r="J747" t="str">
        <f>IF(H747="","",$P$6-'Script Table'!$E$15-'Script Table'!$E$19+H747)</f>
        <v/>
      </c>
      <c r="K747" s="132">
        <f t="shared" si="30"/>
        <v>0</v>
      </c>
      <c r="L747" s="132">
        <f t="shared" si="31"/>
        <v>747</v>
      </c>
      <c r="N747" s="143"/>
    </row>
    <row r="748" spans="2:14">
      <c r="B748" s="130"/>
      <c r="J748" t="str">
        <f>IF(H748="","",$P$6-'Script Table'!$E$15-'Script Table'!$E$19+H748)</f>
        <v/>
      </c>
      <c r="K748" s="132">
        <f t="shared" si="30"/>
        <v>0</v>
      </c>
      <c r="L748" s="132">
        <f t="shared" si="31"/>
        <v>748</v>
      </c>
      <c r="N748" s="143"/>
    </row>
    <row r="749" spans="2:14">
      <c r="B749" s="130"/>
      <c r="J749" t="str">
        <f>IF(H749="","",$P$6-'Script Table'!$E$15-'Script Table'!$E$19+H749)</f>
        <v/>
      </c>
      <c r="K749" s="132">
        <f t="shared" si="30"/>
        <v>0</v>
      </c>
      <c r="L749" s="132">
        <f t="shared" si="31"/>
        <v>749</v>
      </c>
      <c r="N749" s="143"/>
    </row>
    <row r="750" spans="2:14">
      <c r="B750" s="130"/>
      <c r="J750" t="str">
        <f>IF(H750="","",$P$6-'Script Table'!$E$15-'Script Table'!$E$19+H750)</f>
        <v/>
      </c>
      <c r="K750" s="132">
        <f t="shared" si="30"/>
        <v>0</v>
      </c>
      <c r="L750" s="132">
        <f t="shared" si="31"/>
        <v>750</v>
      </c>
      <c r="N750" s="143"/>
    </row>
    <row r="751" spans="2:14">
      <c r="B751" s="130"/>
      <c r="J751" t="str">
        <f>IF(H751="","",$P$6-'Script Table'!$E$15-'Script Table'!$E$19+H751)</f>
        <v/>
      </c>
      <c r="K751" s="132">
        <f t="shared" si="30"/>
        <v>0</v>
      </c>
      <c r="L751" s="132">
        <f t="shared" si="31"/>
        <v>751</v>
      </c>
      <c r="N751" s="143"/>
    </row>
    <row r="752" spans="2:14">
      <c r="B752" s="130"/>
      <c r="J752" t="str">
        <f>IF(H752="","",$P$6-'Script Table'!$E$15-'Script Table'!$E$19+H752)</f>
        <v/>
      </c>
      <c r="K752" s="132">
        <f t="shared" si="30"/>
        <v>0</v>
      </c>
      <c r="L752" s="132">
        <f t="shared" si="31"/>
        <v>752</v>
      </c>
      <c r="N752" s="143"/>
    </row>
    <row r="753" spans="2:14">
      <c r="B753" s="130"/>
      <c r="J753" t="str">
        <f>IF(H753="","",$P$6-'Script Table'!$E$15-'Script Table'!$E$19+H753)</f>
        <v/>
      </c>
      <c r="K753" s="132">
        <f t="shared" si="30"/>
        <v>0</v>
      </c>
      <c r="L753" s="132">
        <f t="shared" si="31"/>
        <v>753</v>
      </c>
      <c r="N753" s="143"/>
    </row>
    <row r="754" spans="2:14">
      <c r="B754" s="130"/>
      <c r="J754" t="str">
        <f>IF(H754="","",$P$6-'Script Table'!$E$15-'Script Table'!$E$19+H754)</f>
        <v/>
      </c>
      <c r="K754" s="132">
        <f t="shared" si="30"/>
        <v>0</v>
      </c>
      <c r="L754" s="132">
        <f t="shared" si="31"/>
        <v>754</v>
      </c>
      <c r="N754" s="143"/>
    </row>
    <row r="755" spans="2:14">
      <c r="B755" s="130"/>
      <c r="J755" t="str">
        <f>IF(H755="","",$P$6-'Script Table'!$E$15-'Script Table'!$E$19+H755)</f>
        <v/>
      </c>
      <c r="K755" s="132">
        <f t="shared" si="30"/>
        <v>0</v>
      </c>
      <c r="L755" s="132">
        <f t="shared" si="31"/>
        <v>755</v>
      </c>
      <c r="N755" s="143"/>
    </row>
    <row r="756" spans="2:14">
      <c r="B756" s="130"/>
      <c r="J756" t="str">
        <f>IF(H756="","",$P$6-'Script Table'!$E$15-'Script Table'!$E$19+H756)</f>
        <v/>
      </c>
      <c r="K756" s="132">
        <f t="shared" si="30"/>
        <v>0</v>
      </c>
      <c r="L756" s="132">
        <f t="shared" si="31"/>
        <v>756</v>
      </c>
      <c r="N756" s="143"/>
    </row>
    <row r="757" spans="2:14">
      <c r="B757" s="130"/>
      <c r="J757" t="str">
        <f>IF(H757="","",$P$6-'Script Table'!$E$15-'Script Table'!$E$19+H757)</f>
        <v/>
      </c>
      <c r="K757" s="132">
        <f t="shared" si="30"/>
        <v>0</v>
      </c>
      <c r="L757" s="132">
        <f t="shared" si="31"/>
        <v>757</v>
      </c>
      <c r="N757" s="143"/>
    </row>
    <row r="758" spans="2:14">
      <c r="B758" s="130"/>
      <c r="J758" t="str">
        <f>IF(H758="","",$P$6-'Script Table'!$E$15-'Script Table'!$E$19+H758)</f>
        <v/>
      </c>
      <c r="K758" s="132">
        <f t="shared" si="30"/>
        <v>0</v>
      </c>
      <c r="L758" s="132">
        <f t="shared" si="31"/>
        <v>758</v>
      </c>
      <c r="N758" s="143"/>
    </row>
    <row r="759" spans="2:14">
      <c r="B759" s="130"/>
      <c r="J759" t="str">
        <f>IF(H759="","",$P$6-'Script Table'!$E$15-'Script Table'!$E$19+H759)</f>
        <v/>
      </c>
      <c r="K759" s="132">
        <f t="shared" si="30"/>
        <v>0</v>
      </c>
      <c r="L759" s="132">
        <f t="shared" si="31"/>
        <v>759</v>
      </c>
      <c r="N759" s="143"/>
    </row>
    <row r="760" spans="2:14">
      <c r="B760" s="130"/>
      <c r="J760" t="str">
        <f>IF(H760="","",$P$6-'Script Table'!$E$15-'Script Table'!$E$19+H760)</f>
        <v/>
      </c>
      <c r="K760" s="132">
        <f t="shared" si="30"/>
        <v>0</v>
      </c>
      <c r="L760" s="132">
        <f t="shared" si="31"/>
        <v>760</v>
      </c>
      <c r="N760" s="143"/>
    </row>
    <row r="761" spans="2:14">
      <c r="B761" s="130"/>
      <c r="J761" t="str">
        <f>IF(H761="","",$P$6-'Script Table'!$E$15-'Script Table'!$E$19+H761)</f>
        <v/>
      </c>
      <c r="K761" s="132">
        <f t="shared" si="30"/>
        <v>0</v>
      </c>
      <c r="L761" s="132">
        <f t="shared" si="31"/>
        <v>761</v>
      </c>
      <c r="N761" s="143"/>
    </row>
    <row r="762" spans="2:14">
      <c r="B762" s="130"/>
      <c r="J762" t="str">
        <f>IF(H762="","",$P$6-'Script Table'!$E$15-'Script Table'!$E$19+H762)</f>
        <v/>
      </c>
      <c r="K762" s="132">
        <f t="shared" si="30"/>
        <v>0</v>
      </c>
      <c r="L762" s="132">
        <f t="shared" si="31"/>
        <v>762</v>
      </c>
      <c r="N762" s="143"/>
    </row>
    <row r="763" spans="2:14">
      <c r="B763" s="130"/>
      <c r="J763" t="str">
        <f>IF(H763="","",$P$6-'Script Table'!$E$15-'Script Table'!$E$19+H763)</f>
        <v/>
      </c>
      <c r="K763" s="132">
        <f t="shared" si="30"/>
        <v>0</v>
      </c>
      <c r="L763" s="132">
        <f t="shared" si="31"/>
        <v>763</v>
      </c>
      <c r="N763" s="143"/>
    </row>
    <row r="764" spans="2:14">
      <c r="B764" s="130"/>
      <c r="J764" t="str">
        <f>IF(H764="","",$P$6-'Script Table'!$E$15-'Script Table'!$E$19+H764)</f>
        <v/>
      </c>
      <c r="K764" s="132">
        <f t="shared" si="30"/>
        <v>0</v>
      </c>
      <c r="L764" s="132">
        <f t="shared" si="31"/>
        <v>764</v>
      </c>
      <c r="N764" s="143"/>
    </row>
    <row r="765" spans="2:14">
      <c r="B765" s="130"/>
      <c r="J765" t="str">
        <f>IF(H765="","",$P$6-'Script Table'!$E$15-'Script Table'!$E$19+H765)</f>
        <v/>
      </c>
      <c r="K765" s="132">
        <f t="shared" si="30"/>
        <v>0</v>
      </c>
      <c r="L765" s="132">
        <f t="shared" si="31"/>
        <v>765</v>
      </c>
      <c r="N765" s="143"/>
    </row>
    <row r="766" spans="2:14">
      <c r="B766" s="130"/>
      <c r="J766" t="str">
        <f>IF(H766="","",$P$6-'Script Table'!$E$15-'Script Table'!$E$19+H766)</f>
        <v/>
      </c>
      <c r="K766" s="132">
        <f t="shared" si="30"/>
        <v>0</v>
      </c>
      <c r="L766" s="132">
        <f t="shared" si="31"/>
        <v>766</v>
      </c>
      <c r="N766" s="143"/>
    </row>
    <row r="767" spans="2:14">
      <c r="B767" s="130"/>
      <c r="J767" t="str">
        <f>IF(H767="","",$P$6-'Script Table'!$E$15-'Script Table'!$E$19+H767)</f>
        <v/>
      </c>
      <c r="K767" s="132">
        <f t="shared" si="30"/>
        <v>0</v>
      </c>
      <c r="L767" s="132">
        <f t="shared" si="31"/>
        <v>767</v>
      </c>
      <c r="N767" s="143"/>
    </row>
    <row r="768" spans="2:14">
      <c r="B768" s="130"/>
      <c r="J768" t="str">
        <f>IF(H768="","",$P$6-'Script Table'!$E$15-'Script Table'!$E$19+H768)</f>
        <v/>
      </c>
      <c r="K768" s="132">
        <f t="shared" si="30"/>
        <v>0</v>
      </c>
      <c r="L768" s="132">
        <f t="shared" si="31"/>
        <v>768</v>
      </c>
      <c r="N768" s="143"/>
    </row>
    <row r="769" spans="2:14">
      <c r="B769" s="130"/>
      <c r="J769" t="str">
        <f>IF(H769="","",$P$6-'Script Table'!$E$15-'Script Table'!$E$19+H769)</f>
        <v/>
      </c>
      <c r="K769" s="132">
        <f t="shared" si="30"/>
        <v>0</v>
      </c>
      <c r="L769" s="132">
        <f t="shared" si="31"/>
        <v>769</v>
      </c>
      <c r="N769" s="143"/>
    </row>
    <row r="770" spans="2:14">
      <c r="B770" s="130"/>
      <c r="J770" t="str">
        <f>IF(H770="","",$P$6-'Script Table'!$E$15-'Script Table'!$E$19+H770)</f>
        <v/>
      </c>
      <c r="K770" s="132">
        <f t="shared" si="30"/>
        <v>0</v>
      </c>
      <c r="L770" s="132">
        <f t="shared" si="31"/>
        <v>770</v>
      </c>
      <c r="N770" s="143"/>
    </row>
    <row r="771" spans="2:14">
      <c r="B771" s="130"/>
      <c r="J771" t="str">
        <f>IF(H771="","",$P$6-'Script Table'!$E$15-'Script Table'!$E$19+H771)</f>
        <v/>
      </c>
      <c r="K771" s="132">
        <f t="shared" si="30"/>
        <v>0</v>
      </c>
      <c r="L771" s="132">
        <f t="shared" si="31"/>
        <v>771</v>
      </c>
      <c r="N771" s="143"/>
    </row>
    <row r="772" spans="2:14">
      <c r="B772" s="130"/>
      <c r="J772" t="str">
        <f>IF(H772="","",$P$6-'Script Table'!$E$15-'Script Table'!$E$19+H772)</f>
        <v/>
      </c>
      <c r="K772" s="132">
        <f t="shared" ref="K772:K835" si="32">F772</f>
        <v>0</v>
      </c>
      <c r="L772" s="132">
        <f t="shared" si="31"/>
        <v>772</v>
      </c>
      <c r="N772" s="143"/>
    </row>
    <row r="773" spans="2:14">
      <c r="B773" s="130"/>
      <c r="J773" t="str">
        <f>IF(H773="","",$P$6-'Script Table'!$E$15-'Script Table'!$E$19+H773)</f>
        <v/>
      </c>
      <c r="K773" s="132">
        <f t="shared" si="32"/>
        <v>0</v>
      </c>
      <c r="L773" s="132">
        <f t="shared" si="31"/>
        <v>773</v>
      </c>
      <c r="N773" s="143"/>
    </row>
    <row r="774" spans="2:14">
      <c r="B774" s="130"/>
      <c r="J774" t="str">
        <f>IF(H774="","",$P$6-'Script Table'!$E$15-'Script Table'!$E$19+H774)</f>
        <v/>
      </c>
      <c r="K774" s="132">
        <f t="shared" si="32"/>
        <v>0</v>
      </c>
      <c r="L774" s="132">
        <f t="shared" ref="L774:L837" si="33">L773+1</f>
        <v>774</v>
      </c>
      <c r="N774" s="143"/>
    </row>
    <row r="775" spans="2:14">
      <c r="B775" s="130"/>
      <c r="J775" t="str">
        <f>IF(H775="","",$P$6-'Script Table'!$E$15-'Script Table'!$E$19+H775)</f>
        <v/>
      </c>
      <c r="K775" s="132">
        <f t="shared" si="32"/>
        <v>0</v>
      </c>
      <c r="L775" s="132">
        <f t="shared" si="33"/>
        <v>775</v>
      </c>
      <c r="N775" s="143"/>
    </row>
    <row r="776" spans="2:14">
      <c r="B776" s="130"/>
      <c r="J776" t="str">
        <f>IF(H776="","",$P$6-'Script Table'!$E$15-'Script Table'!$E$19+H776)</f>
        <v/>
      </c>
      <c r="K776" s="132">
        <f t="shared" si="32"/>
        <v>0</v>
      </c>
      <c r="L776" s="132">
        <f t="shared" si="33"/>
        <v>776</v>
      </c>
      <c r="N776" s="143"/>
    </row>
    <row r="777" spans="2:14">
      <c r="B777" s="130"/>
      <c r="J777" t="str">
        <f>IF(H777="","",$P$6-'Script Table'!$E$15-'Script Table'!$E$19+H777)</f>
        <v/>
      </c>
      <c r="K777" s="132">
        <f t="shared" si="32"/>
        <v>0</v>
      </c>
      <c r="L777" s="132">
        <f t="shared" si="33"/>
        <v>777</v>
      </c>
      <c r="N777" s="143"/>
    </row>
    <row r="778" spans="2:14">
      <c r="B778" s="130"/>
      <c r="J778" t="str">
        <f>IF(H778="","",$P$6-'Script Table'!$E$15-'Script Table'!$E$19+H778)</f>
        <v/>
      </c>
      <c r="K778" s="132">
        <f t="shared" si="32"/>
        <v>0</v>
      </c>
      <c r="L778" s="132">
        <f t="shared" si="33"/>
        <v>778</v>
      </c>
      <c r="N778" s="143"/>
    </row>
    <row r="779" spans="2:14">
      <c r="B779" s="130"/>
      <c r="J779" t="str">
        <f>IF(H779="","",$P$6-'Script Table'!$E$15-'Script Table'!$E$19+H779)</f>
        <v/>
      </c>
      <c r="K779" s="132">
        <f t="shared" si="32"/>
        <v>0</v>
      </c>
      <c r="L779" s="132">
        <f t="shared" si="33"/>
        <v>779</v>
      </c>
      <c r="N779" s="143"/>
    </row>
    <row r="780" spans="2:14">
      <c r="B780" s="130"/>
      <c r="J780" t="str">
        <f>IF(H780="","",$P$6-'Script Table'!$E$15-'Script Table'!$E$19+H780)</f>
        <v/>
      </c>
      <c r="K780" s="132">
        <f t="shared" si="32"/>
        <v>0</v>
      </c>
      <c r="L780" s="132">
        <f t="shared" si="33"/>
        <v>780</v>
      </c>
      <c r="N780" s="143"/>
    </row>
    <row r="781" spans="2:14">
      <c r="B781" s="130"/>
      <c r="J781" t="str">
        <f>IF(H781="","",$P$6-'Script Table'!$E$15-'Script Table'!$E$19+H781)</f>
        <v/>
      </c>
      <c r="K781" s="132">
        <f t="shared" si="32"/>
        <v>0</v>
      </c>
      <c r="L781" s="132">
        <f t="shared" si="33"/>
        <v>781</v>
      </c>
      <c r="N781" s="143"/>
    </row>
    <row r="782" spans="2:14">
      <c r="B782" s="130"/>
      <c r="J782" t="str">
        <f>IF(H782="","",$P$6-'Script Table'!$E$15-'Script Table'!$E$19+H782)</f>
        <v/>
      </c>
      <c r="K782" s="132">
        <f t="shared" si="32"/>
        <v>0</v>
      </c>
      <c r="L782" s="132">
        <f t="shared" si="33"/>
        <v>782</v>
      </c>
      <c r="N782" s="143"/>
    </row>
    <row r="783" spans="2:14">
      <c r="B783" s="130"/>
      <c r="J783" t="str">
        <f>IF(H783="","",$P$6-'Script Table'!$E$15-'Script Table'!$E$19+H783)</f>
        <v/>
      </c>
      <c r="K783" s="132">
        <f t="shared" si="32"/>
        <v>0</v>
      </c>
      <c r="L783" s="132">
        <f t="shared" si="33"/>
        <v>783</v>
      </c>
      <c r="N783" s="143"/>
    </row>
    <row r="784" spans="2:14">
      <c r="B784" s="130"/>
      <c r="J784" t="str">
        <f>IF(H784="","",$P$6-'Script Table'!$E$15-'Script Table'!$E$19+H784)</f>
        <v/>
      </c>
      <c r="K784" s="132">
        <f t="shared" si="32"/>
        <v>0</v>
      </c>
      <c r="L784" s="132">
        <f t="shared" si="33"/>
        <v>784</v>
      </c>
      <c r="N784" s="143"/>
    </row>
    <row r="785" spans="2:14">
      <c r="B785" s="130"/>
      <c r="J785" t="str">
        <f>IF(H785="","",$P$6-'Script Table'!$E$15-'Script Table'!$E$19+H785)</f>
        <v/>
      </c>
      <c r="K785" s="132">
        <f t="shared" si="32"/>
        <v>0</v>
      </c>
      <c r="L785" s="132">
        <f t="shared" si="33"/>
        <v>785</v>
      </c>
      <c r="N785" s="143"/>
    </row>
    <row r="786" spans="2:14">
      <c r="B786" s="130"/>
      <c r="J786" t="str">
        <f>IF(H786="","",$P$6-'Script Table'!$E$15-'Script Table'!$E$19+H786)</f>
        <v/>
      </c>
      <c r="K786" s="132">
        <f t="shared" si="32"/>
        <v>0</v>
      </c>
      <c r="L786" s="132">
        <f t="shared" si="33"/>
        <v>786</v>
      </c>
      <c r="N786" s="143"/>
    </row>
    <row r="787" spans="2:14">
      <c r="B787" s="130"/>
      <c r="J787" t="str">
        <f>IF(H787="","",$P$6-'Script Table'!$E$15-'Script Table'!$E$19+H787)</f>
        <v/>
      </c>
      <c r="K787" s="132">
        <f t="shared" si="32"/>
        <v>0</v>
      </c>
      <c r="L787" s="132">
        <f t="shared" si="33"/>
        <v>787</v>
      </c>
      <c r="N787" s="143"/>
    </row>
    <row r="788" spans="2:14">
      <c r="B788" s="130"/>
      <c r="J788" t="str">
        <f>IF(H788="","",$P$6-'Script Table'!$E$15-'Script Table'!$E$19+H788)</f>
        <v/>
      </c>
      <c r="K788" s="132">
        <f t="shared" si="32"/>
        <v>0</v>
      </c>
      <c r="L788" s="132">
        <f t="shared" si="33"/>
        <v>788</v>
      </c>
      <c r="N788" s="143"/>
    </row>
    <row r="789" spans="2:14">
      <c r="B789" s="130"/>
      <c r="J789" t="str">
        <f>IF(H789="","",$P$6-'Script Table'!$E$15-'Script Table'!$E$19+H789)</f>
        <v/>
      </c>
      <c r="K789" s="132">
        <f t="shared" si="32"/>
        <v>0</v>
      </c>
      <c r="L789" s="132">
        <f t="shared" si="33"/>
        <v>789</v>
      </c>
      <c r="N789" s="143"/>
    </row>
    <row r="790" spans="2:14">
      <c r="B790" s="130"/>
      <c r="J790" t="str">
        <f>IF(H790="","",$P$6-'Script Table'!$E$15-'Script Table'!$E$19+H790)</f>
        <v/>
      </c>
      <c r="K790" s="132">
        <f t="shared" si="32"/>
        <v>0</v>
      </c>
      <c r="L790" s="132">
        <f t="shared" si="33"/>
        <v>790</v>
      </c>
      <c r="N790" s="143"/>
    </row>
    <row r="791" spans="2:14">
      <c r="B791" s="130"/>
      <c r="J791" t="str">
        <f>IF(H791="","",$P$6-'Script Table'!$E$15-'Script Table'!$E$19+H791)</f>
        <v/>
      </c>
      <c r="K791" s="132">
        <f t="shared" si="32"/>
        <v>0</v>
      </c>
      <c r="L791" s="132">
        <f t="shared" si="33"/>
        <v>791</v>
      </c>
      <c r="N791" s="143"/>
    </row>
    <row r="792" spans="2:14">
      <c r="B792" s="130"/>
      <c r="J792" t="str">
        <f>IF(H792="","",$P$6-'Script Table'!$E$15-'Script Table'!$E$19+H792)</f>
        <v/>
      </c>
      <c r="K792" s="132">
        <f t="shared" si="32"/>
        <v>0</v>
      </c>
      <c r="L792" s="132">
        <f t="shared" si="33"/>
        <v>792</v>
      </c>
      <c r="N792" s="143"/>
    </row>
    <row r="793" spans="2:14">
      <c r="B793" s="130"/>
      <c r="J793" t="str">
        <f>IF(H793="","",$P$6-'Script Table'!$E$15-'Script Table'!$E$19+H793)</f>
        <v/>
      </c>
      <c r="K793" s="132">
        <f t="shared" si="32"/>
        <v>0</v>
      </c>
      <c r="L793" s="132">
        <f t="shared" si="33"/>
        <v>793</v>
      </c>
      <c r="N793" s="143"/>
    </row>
    <row r="794" spans="2:14">
      <c r="B794" s="130"/>
      <c r="J794" t="str">
        <f>IF(H794="","",$P$6-'Script Table'!$E$15-'Script Table'!$E$19+H794)</f>
        <v/>
      </c>
      <c r="K794" s="132">
        <f t="shared" si="32"/>
        <v>0</v>
      </c>
      <c r="L794" s="132">
        <f t="shared" si="33"/>
        <v>794</v>
      </c>
      <c r="N794" s="143"/>
    </row>
    <row r="795" spans="2:14">
      <c r="B795" s="130"/>
      <c r="J795" t="str">
        <f>IF(H795="","",$P$6-'Script Table'!$E$15-'Script Table'!$E$19+H795)</f>
        <v/>
      </c>
      <c r="K795" s="132">
        <f t="shared" si="32"/>
        <v>0</v>
      </c>
      <c r="L795" s="132">
        <f t="shared" si="33"/>
        <v>795</v>
      </c>
      <c r="N795" s="143"/>
    </row>
    <row r="796" spans="2:14">
      <c r="B796" s="130"/>
      <c r="J796" t="str">
        <f>IF(H796="","",$P$6-'Script Table'!$E$15-'Script Table'!$E$19+H796)</f>
        <v/>
      </c>
      <c r="K796" s="132">
        <f t="shared" si="32"/>
        <v>0</v>
      </c>
      <c r="L796" s="132">
        <f t="shared" si="33"/>
        <v>796</v>
      </c>
      <c r="N796" s="143"/>
    </row>
    <row r="797" spans="2:14">
      <c r="B797" s="130"/>
      <c r="J797" t="str">
        <f>IF(H797="","",$P$6-'Script Table'!$E$15-'Script Table'!$E$19+H797)</f>
        <v/>
      </c>
      <c r="K797" s="132">
        <f t="shared" si="32"/>
        <v>0</v>
      </c>
      <c r="L797" s="132">
        <f t="shared" si="33"/>
        <v>797</v>
      </c>
      <c r="N797" s="143"/>
    </row>
    <row r="798" spans="2:14">
      <c r="B798" s="130"/>
      <c r="J798" t="str">
        <f>IF(H798="","",$P$6-'Script Table'!$E$15-'Script Table'!$E$19+H798)</f>
        <v/>
      </c>
      <c r="K798" s="132">
        <f t="shared" si="32"/>
        <v>0</v>
      </c>
      <c r="L798" s="132">
        <f t="shared" si="33"/>
        <v>798</v>
      </c>
      <c r="N798" s="143"/>
    </row>
    <row r="799" spans="2:14">
      <c r="B799" s="130"/>
      <c r="J799" t="str">
        <f>IF(H799="","",$P$6-'Script Table'!$E$15-'Script Table'!$E$19+H799)</f>
        <v/>
      </c>
      <c r="K799" s="132">
        <f t="shared" si="32"/>
        <v>0</v>
      </c>
      <c r="L799" s="132">
        <f t="shared" si="33"/>
        <v>799</v>
      </c>
      <c r="N799" s="143"/>
    </row>
    <row r="800" spans="2:14">
      <c r="B800" s="130"/>
      <c r="J800" t="str">
        <f>IF(H800="","",$P$6-'Script Table'!$E$15-'Script Table'!$E$19+H800)</f>
        <v/>
      </c>
      <c r="K800" s="132">
        <f t="shared" si="32"/>
        <v>0</v>
      </c>
      <c r="L800" s="132">
        <f t="shared" si="33"/>
        <v>800</v>
      </c>
      <c r="N800" s="143"/>
    </row>
    <row r="801" spans="2:14">
      <c r="B801" s="130"/>
      <c r="J801" t="str">
        <f>IF(H801="","",$P$6-'Script Table'!$E$15-'Script Table'!$E$19+H801)</f>
        <v/>
      </c>
      <c r="K801" s="132">
        <f t="shared" si="32"/>
        <v>0</v>
      </c>
      <c r="L801" s="132">
        <f t="shared" si="33"/>
        <v>801</v>
      </c>
      <c r="N801" s="143"/>
    </row>
    <row r="802" spans="2:14">
      <c r="B802" s="130"/>
      <c r="J802" t="str">
        <f>IF(H802="","",$P$6-'Script Table'!$E$15-'Script Table'!$E$19+H802)</f>
        <v/>
      </c>
      <c r="K802" s="132">
        <f t="shared" si="32"/>
        <v>0</v>
      </c>
      <c r="L802" s="132">
        <f t="shared" si="33"/>
        <v>802</v>
      </c>
      <c r="N802" s="143"/>
    </row>
    <row r="803" spans="2:14">
      <c r="B803" s="130"/>
      <c r="J803" t="str">
        <f>IF(H803="","",$P$6-'Script Table'!$E$15-'Script Table'!$E$19+H803)</f>
        <v/>
      </c>
      <c r="K803" s="132">
        <f t="shared" si="32"/>
        <v>0</v>
      </c>
      <c r="L803" s="132">
        <f t="shared" si="33"/>
        <v>803</v>
      </c>
      <c r="N803" s="143"/>
    </row>
    <row r="804" spans="2:14">
      <c r="B804" s="130"/>
      <c r="J804" t="str">
        <f>IF(H804="","",$P$6-'Script Table'!$E$15-'Script Table'!$E$19+H804)</f>
        <v/>
      </c>
      <c r="K804" s="132">
        <f t="shared" si="32"/>
        <v>0</v>
      </c>
      <c r="L804" s="132">
        <f t="shared" si="33"/>
        <v>804</v>
      </c>
      <c r="N804" s="143"/>
    </row>
    <row r="805" spans="2:14">
      <c r="B805" s="130"/>
      <c r="J805" t="str">
        <f>IF(H805="","",$P$6-'Script Table'!$E$15-'Script Table'!$E$19+H805)</f>
        <v/>
      </c>
      <c r="K805" s="132">
        <f t="shared" si="32"/>
        <v>0</v>
      </c>
      <c r="L805" s="132">
        <f t="shared" si="33"/>
        <v>805</v>
      </c>
      <c r="N805" s="143"/>
    </row>
    <row r="806" spans="2:14">
      <c r="B806" s="130"/>
      <c r="J806" t="str">
        <f>IF(H806="","",$P$6-'Script Table'!$E$15-'Script Table'!$E$19+H806)</f>
        <v/>
      </c>
      <c r="K806" s="132">
        <f t="shared" si="32"/>
        <v>0</v>
      </c>
      <c r="L806" s="132">
        <f t="shared" si="33"/>
        <v>806</v>
      </c>
      <c r="N806" s="143"/>
    </row>
    <row r="807" spans="2:14">
      <c r="B807" s="130"/>
      <c r="J807" t="str">
        <f>IF(H807="","",$P$6-'Script Table'!$E$15-'Script Table'!$E$19+H807)</f>
        <v/>
      </c>
      <c r="K807" s="132">
        <f t="shared" si="32"/>
        <v>0</v>
      </c>
      <c r="L807" s="132">
        <f t="shared" si="33"/>
        <v>807</v>
      </c>
      <c r="N807" s="143"/>
    </row>
    <row r="808" spans="2:14">
      <c r="B808" s="130"/>
      <c r="J808" t="str">
        <f>IF(H808="","",$P$6-'Script Table'!$E$15-'Script Table'!$E$19+H808)</f>
        <v/>
      </c>
      <c r="K808" s="132">
        <f t="shared" si="32"/>
        <v>0</v>
      </c>
      <c r="L808" s="132">
        <f t="shared" si="33"/>
        <v>808</v>
      </c>
      <c r="N808" s="143"/>
    </row>
    <row r="809" spans="2:14">
      <c r="B809" s="130"/>
      <c r="J809" t="str">
        <f>IF(H809="","",$P$6-'Script Table'!$E$15-'Script Table'!$E$19+H809)</f>
        <v/>
      </c>
      <c r="K809" s="132">
        <f t="shared" si="32"/>
        <v>0</v>
      </c>
      <c r="L809" s="132">
        <f t="shared" si="33"/>
        <v>809</v>
      </c>
      <c r="N809" s="143"/>
    </row>
    <row r="810" spans="2:14">
      <c r="B810" s="130"/>
      <c r="J810" t="str">
        <f>IF(H810="","",$P$6-'Script Table'!$E$15-'Script Table'!$E$19+H810)</f>
        <v/>
      </c>
      <c r="K810" s="132">
        <f t="shared" si="32"/>
        <v>0</v>
      </c>
      <c r="L810" s="132">
        <f t="shared" si="33"/>
        <v>810</v>
      </c>
      <c r="N810" s="143"/>
    </row>
    <row r="811" spans="2:14">
      <c r="B811" s="130"/>
      <c r="J811" t="str">
        <f>IF(H811="","",$P$6-'Script Table'!$E$15-'Script Table'!$E$19+H811)</f>
        <v/>
      </c>
      <c r="K811" s="132">
        <f t="shared" si="32"/>
        <v>0</v>
      </c>
      <c r="L811" s="132">
        <f t="shared" si="33"/>
        <v>811</v>
      </c>
      <c r="N811" s="143"/>
    </row>
    <row r="812" spans="2:14">
      <c r="B812" s="130"/>
      <c r="J812" t="str">
        <f>IF(H812="","",$P$6-'Script Table'!$E$15-'Script Table'!$E$19+H812)</f>
        <v/>
      </c>
      <c r="K812" s="132">
        <f t="shared" si="32"/>
        <v>0</v>
      </c>
      <c r="L812" s="132">
        <f t="shared" si="33"/>
        <v>812</v>
      </c>
      <c r="N812" s="143"/>
    </row>
    <row r="813" spans="2:14">
      <c r="B813" s="130"/>
      <c r="J813" t="str">
        <f>IF(H813="","",$P$6-'Script Table'!$E$15-'Script Table'!$E$19+H813)</f>
        <v/>
      </c>
      <c r="K813" s="132">
        <f t="shared" si="32"/>
        <v>0</v>
      </c>
      <c r="L813" s="132">
        <f t="shared" si="33"/>
        <v>813</v>
      </c>
      <c r="N813" s="143"/>
    </row>
    <row r="814" spans="2:14">
      <c r="B814" s="130"/>
      <c r="J814" t="str">
        <f>IF(H814="","",$P$6-'Script Table'!$E$15-'Script Table'!$E$19+H814)</f>
        <v/>
      </c>
      <c r="K814" s="132">
        <f t="shared" si="32"/>
        <v>0</v>
      </c>
      <c r="L814" s="132">
        <f t="shared" si="33"/>
        <v>814</v>
      </c>
      <c r="N814" s="143"/>
    </row>
    <row r="815" spans="2:14">
      <c r="B815" s="130"/>
      <c r="J815" t="str">
        <f>IF(H815="","",$P$6-'Script Table'!$E$15-'Script Table'!$E$19+H815)</f>
        <v/>
      </c>
      <c r="K815" s="132">
        <f t="shared" si="32"/>
        <v>0</v>
      </c>
      <c r="L815" s="132">
        <f t="shared" si="33"/>
        <v>815</v>
      </c>
      <c r="N815" s="143"/>
    </row>
    <row r="816" spans="2:14">
      <c r="B816" s="130"/>
      <c r="J816" t="str">
        <f>IF(H816="","",$P$6-'Script Table'!$E$15-'Script Table'!$E$19+H816)</f>
        <v/>
      </c>
      <c r="K816" s="132">
        <f t="shared" si="32"/>
        <v>0</v>
      </c>
      <c r="L816" s="132">
        <f t="shared" si="33"/>
        <v>816</v>
      </c>
      <c r="N816" s="143"/>
    </row>
    <row r="817" spans="2:14">
      <c r="B817" s="130"/>
      <c r="J817" t="str">
        <f>IF(H817="","",$P$6-'Script Table'!$E$15-'Script Table'!$E$19+H817)</f>
        <v/>
      </c>
      <c r="K817" s="132">
        <f t="shared" si="32"/>
        <v>0</v>
      </c>
      <c r="L817" s="132">
        <f t="shared" si="33"/>
        <v>817</v>
      </c>
      <c r="N817" s="143"/>
    </row>
    <row r="818" spans="2:14">
      <c r="B818" s="130"/>
      <c r="J818" t="str">
        <f>IF(H818="","",$P$6-'Script Table'!$E$15-'Script Table'!$E$19+H818)</f>
        <v/>
      </c>
      <c r="K818" s="132">
        <f t="shared" si="32"/>
        <v>0</v>
      </c>
      <c r="L818" s="132">
        <f t="shared" si="33"/>
        <v>818</v>
      </c>
      <c r="N818" s="143"/>
    </row>
    <row r="819" spans="2:14">
      <c r="B819" s="130"/>
      <c r="J819" t="str">
        <f>IF(H819="","",$P$6-'Script Table'!$E$15-'Script Table'!$E$19+H819)</f>
        <v/>
      </c>
      <c r="K819" s="132">
        <f t="shared" si="32"/>
        <v>0</v>
      </c>
      <c r="L819" s="132">
        <f t="shared" si="33"/>
        <v>819</v>
      </c>
      <c r="N819" s="143"/>
    </row>
    <row r="820" spans="2:14">
      <c r="B820" s="130"/>
      <c r="J820" t="str">
        <f>IF(H820="","",$P$6-'Script Table'!$E$15-'Script Table'!$E$19+H820)</f>
        <v/>
      </c>
      <c r="K820" s="132">
        <f t="shared" si="32"/>
        <v>0</v>
      </c>
      <c r="L820" s="132">
        <f t="shared" si="33"/>
        <v>820</v>
      </c>
      <c r="N820" s="143"/>
    </row>
    <row r="821" spans="2:14">
      <c r="B821" s="130"/>
      <c r="J821" t="str">
        <f>IF(H821="","",$P$6-'Script Table'!$E$15-'Script Table'!$E$19+H821)</f>
        <v/>
      </c>
      <c r="K821" s="132">
        <f t="shared" si="32"/>
        <v>0</v>
      </c>
      <c r="L821" s="132">
        <f t="shared" si="33"/>
        <v>821</v>
      </c>
      <c r="N821" s="143"/>
    </row>
    <row r="822" spans="2:14">
      <c r="B822" s="130"/>
      <c r="J822" t="str">
        <f>IF(H822="","",$P$6-'Script Table'!$E$15-'Script Table'!$E$19+H822)</f>
        <v/>
      </c>
      <c r="K822" s="132">
        <f t="shared" si="32"/>
        <v>0</v>
      </c>
      <c r="L822" s="132">
        <f t="shared" si="33"/>
        <v>822</v>
      </c>
      <c r="N822" s="143"/>
    </row>
    <row r="823" spans="2:14">
      <c r="B823" s="130"/>
      <c r="J823" t="str">
        <f>IF(H823="","",$P$6-'Script Table'!$E$15-'Script Table'!$E$19+H823)</f>
        <v/>
      </c>
      <c r="K823" s="132">
        <f t="shared" si="32"/>
        <v>0</v>
      </c>
      <c r="L823" s="132">
        <f t="shared" si="33"/>
        <v>823</v>
      </c>
      <c r="N823" s="143"/>
    </row>
    <row r="824" spans="2:14">
      <c r="B824" s="130"/>
      <c r="J824" t="str">
        <f>IF(H824="","",$P$6-'Script Table'!$E$15-'Script Table'!$E$19+H824)</f>
        <v/>
      </c>
      <c r="K824" s="132">
        <f t="shared" si="32"/>
        <v>0</v>
      </c>
      <c r="L824" s="132">
        <f t="shared" si="33"/>
        <v>824</v>
      </c>
      <c r="N824" s="143"/>
    </row>
    <row r="825" spans="2:14">
      <c r="B825" s="130"/>
      <c r="J825" t="str">
        <f>IF(H825="","",$P$6-'Script Table'!$E$15-'Script Table'!$E$19+H825)</f>
        <v/>
      </c>
      <c r="K825" s="132">
        <f t="shared" si="32"/>
        <v>0</v>
      </c>
      <c r="L825" s="132">
        <f t="shared" si="33"/>
        <v>825</v>
      </c>
      <c r="N825" s="143"/>
    </row>
    <row r="826" spans="2:14">
      <c r="B826" s="130"/>
      <c r="J826" t="str">
        <f>IF(H826="","",$P$6-'Script Table'!$E$15-'Script Table'!$E$19+H826)</f>
        <v/>
      </c>
      <c r="K826" s="132">
        <f t="shared" si="32"/>
        <v>0</v>
      </c>
      <c r="L826" s="132">
        <f t="shared" si="33"/>
        <v>826</v>
      </c>
      <c r="N826" s="143"/>
    </row>
    <row r="827" spans="2:14">
      <c r="B827" s="130"/>
      <c r="J827" t="str">
        <f>IF(H827="","",$P$6-'Script Table'!$E$15-'Script Table'!$E$19+H827)</f>
        <v/>
      </c>
      <c r="K827" s="132">
        <f t="shared" si="32"/>
        <v>0</v>
      </c>
      <c r="L827" s="132">
        <f t="shared" si="33"/>
        <v>827</v>
      </c>
      <c r="N827" s="143"/>
    </row>
    <row r="828" spans="2:14">
      <c r="B828" s="130"/>
      <c r="J828" t="str">
        <f>IF(H828="","",$P$6-'Script Table'!$E$15-'Script Table'!$E$19+H828)</f>
        <v/>
      </c>
      <c r="K828" s="132">
        <f t="shared" si="32"/>
        <v>0</v>
      </c>
      <c r="L828" s="132">
        <f t="shared" si="33"/>
        <v>828</v>
      </c>
      <c r="N828" s="143"/>
    </row>
    <row r="829" spans="2:14">
      <c r="B829" s="130"/>
      <c r="J829" t="str">
        <f>IF(H829="","",$P$6-'Script Table'!$E$15-'Script Table'!$E$19+H829)</f>
        <v/>
      </c>
      <c r="K829" s="132">
        <f t="shared" si="32"/>
        <v>0</v>
      </c>
      <c r="L829" s="132">
        <f t="shared" si="33"/>
        <v>829</v>
      </c>
      <c r="N829" s="143"/>
    </row>
    <row r="830" spans="2:14">
      <c r="B830" s="130"/>
      <c r="J830" t="str">
        <f>IF(H830="","",$P$6-'Script Table'!$E$15-'Script Table'!$E$19+H830)</f>
        <v/>
      </c>
      <c r="K830" s="132">
        <f t="shared" si="32"/>
        <v>0</v>
      </c>
      <c r="L830" s="132">
        <f t="shared" si="33"/>
        <v>830</v>
      </c>
      <c r="N830" s="143"/>
    </row>
    <row r="831" spans="2:14">
      <c r="B831" s="130"/>
      <c r="J831" t="str">
        <f>IF(H831="","",$P$6-'Script Table'!$E$15-'Script Table'!$E$19+H831)</f>
        <v/>
      </c>
      <c r="K831" s="132">
        <f t="shared" si="32"/>
        <v>0</v>
      </c>
      <c r="L831" s="132">
        <f t="shared" si="33"/>
        <v>831</v>
      </c>
      <c r="N831" s="143"/>
    </row>
    <row r="832" spans="2:14">
      <c r="B832" s="130"/>
      <c r="J832" t="str">
        <f>IF(H832="","",$P$6-'Script Table'!$E$15-'Script Table'!$E$19+H832)</f>
        <v/>
      </c>
      <c r="K832" s="132">
        <f t="shared" si="32"/>
        <v>0</v>
      </c>
      <c r="L832" s="132">
        <f t="shared" si="33"/>
        <v>832</v>
      </c>
      <c r="N832" s="143"/>
    </row>
    <row r="833" spans="2:14">
      <c r="B833" s="130"/>
      <c r="J833" t="str">
        <f>IF(H833="","",$P$6-'Script Table'!$E$15-'Script Table'!$E$19+H833)</f>
        <v/>
      </c>
      <c r="K833" s="132">
        <f t="shared" si="32"/>
        <v>0</v>
      </c>
      <c r="L833" s="132">
        <f t="shared" si="33"/>
        <v>833</v>
      </c>
      <c r="N833" s="143"/>
    </row>
    <row r="834" spans="2:14">
      <c r="B834" s="130"/>
      <c r="J834" t="str">
        <f>IF(H834="","",$P$6-'Script Table'!$E$15-'Script Table'!$E$19+H834)</f>
        <v/>
      </c>
      <c r="K834" s="132">
        <f t="shared" si="32"/>
        <v>0</v>
      </c>
      <c r="L834" s="132">
        <f t="shared" si="33"/>
        <v>834</v>
      </c>
      <c r="N834" s="143"/>
    </row>
    <row r="835" spans="2:14">
      <c r="B835" s="130"/>
      <c r="J835" t="str">
        <f>IF(H835="","",$P$6-'Script Table'!$E$15-'Script Table'!$E$19+H835)</f>
        <v/>
      </c>
      <c r="K835" s="132">
        <f t="shared" si="32"/>
        <v>0</v>
      </c>
      <c r="L835" s="132">
        <f t="shared" si="33"/>
        <v>835</v>
      </c>
      <c r="N835" s="143"/>
    </row>
    <row r="836" spans="2:14">
      <c r="B836" s="130"/>
      <c r="J836" t="str">
        <f>IF(H836="","",$P$6-'Script Table'!$E$15-'Script Table'!$E$19+H836)</f>
        <v/>
      </c>
      <c r="K836" s="132">
        <f t="shared" ref="K836:K899" si="34">F836</f>
        <v>0</v>
      </c>
      <c r="L836" s="132">
        <f t="shared" si="33"/>
        <v>836</v>
      </c>
      <c r="N836" s="143"/>
    </row>
    <row r="837" spans="2:14">
      <c r="B837" s="130"/>
      <c r="J837" t="str">
        <f>IF(H837="","",$P$6-'Script Table'!$E$15-'Script Table'!$E$19+H837)</f>
        <v/>
      </c>
      <c r="K837" s="132">
        <f t="shared" si="34"/>
        <v>0</v>
      </c>
      <c r="L837" s="132">
        <f t="shared" si="33"/>
        <v>837</v>
      </c>
      <c r="N837" s="143"/>
    </row>
    <row r="838" spans="2:14">
      <c r="B838" s="130"/>
      <c r="J838" t="str">
        <f>IF(H838="","",$P$6-'Script Table'!$E$15-'Script Table'!$E$19+H838)</f>
        <v/>
      </c>
      <c r="K838" s="132">
        <f t="shared" si="34"/>
        <v>0</v>
      </c>
      <c r="L838" s="132">
        <f t="shared" ref="L838:L901" si="35">L837+1</f>
        <v>838</v>
      </c>
      <c r="N838" s="143"/>
    </row>
    <row r="839" spans="2:14">
      <c r="B839" s="130"/>
      <c r="J839" t="str">
        <f>IF(H839="","",$P$6-'Script Table'!$E$15-'Script Table'!$E$19+H839)</f>
        <v/>
      </c>
      <c r="K839" s="132">
        <f t="shared" si="34"/>
        <v>0</v>
      </c>
      <c r="L839" s="132">
        <f t="shared" si="35"/>
        <v>839</v>
      </c>
      <c r="N839" s="143"/>
    </row>
    <row r="840" spans="2:14">
      <c r="B840" s="130"/>
      <c r="J840" t="str">
        <f>IF(H840="","",$P$6-'Script Table'!$E$15-'Script Table'!$E$19+H840)</f>
        <v/>
      </c>
      <c r="K840" s="132">
        <f t="shared" si="34"/>
        <v>0</v>
      </c>
      <c r="L840" s="132">
        <f t="shared" si="35"/>
        <v>840</v>
      </c>
      <c r="N840" s="143"/>
    </row>
    <row r="841" spans="2:14">
      <c r="B841" s="130"/>
      <c r="J841" t="str">
        <f>IF(H841="","",$P$6-'Script Table'!$E$15-'Script Table'!$E$19+H841)</f>
        <v/>
      </c>
      <c r="K841" s="132">
        <f t="shared" si="34"/>
        <v>0</v>
      </c>
      <c r="L841" s="132">
        <f t="shared" si="35"/>
        <v>841</v>
      </c>
      <c r="N841" s="143"/>
    </row>
    <row r="842" spans="2:14">
      <c r="B842" s="130"/>
      <c r="J842" t="str">
        <f>IF(H842="","",$P$6-'Script Table'!$E$15-'Script Table'!$E$19+H842)</f>
        <v/>
      </c>
      <c r="K842" s="132">
        <f t="shared" si="34"/>
        <v>0</v>
      </c>
      <c r="L842" s="132">
        <f t="shared" si="35"/>
        <v>842</v>
      </c>
      <c r="N842" s="143"/>
    </row>
    <row r="843" spans="2:14">
      <c r="B843" s="130"/>
      <c r="J843" t="str">
        <f>IF(H843="","",$P$6-'Script Table'!$E$15-'Script Table'!$E$19+H843)</f>
        <v/>
      </c>
      <c r="K843" s="132">
        <f t="shared" si="34"/>
        <v>0</v>
      </c>
      <c r="L843" s="132">
        <f t="shared" si="35"/>
        <v>843</v>
      </c>
      <c r="N843" s="143"/>
    </row>
    <row r="844" spans="2:14">
      <c r="B844" s="130"/>
      <c r="J844" t="str">
        <f>IF(H844="","",$P$6-'Script Table'!$E$15-'Script Table'!$E$19+H844)</f>
        <v/>
      </c>
      <c r="K844" s="132">
        <f t="shared" si="34"/>
        <v>0</v>
      </c>
      <c r="L844" s="132">
        <f t="shared" si="35"/>
        <v>844</v>
      </c>
      <c r="N844" s="143"/>
    </row>
    <row r="845" spans="2:14">
      <c r="B845" s="130"/>
      <c r="J845" t="str">
        <f>IF(H845="","",$P$6-'Script Table'!$E$15-'Script Table'!$E$19+H845)</f>
        <v/>
      </c>
      <c r="K845" s="132">
        <f t="shared" si="34"/>
        <v>0</v>
      </c>
      <c r="L845" s="132">
        <f t="shared" si="35"/>
        <v>845</v>
      </c>
      <c r="N845" s="143"/>
    </row>
    <row r="846" spans="2:14">
      <c r="B846" s="130"/>
      <c r="J846" t="str">
        <f>IF(H846="","",$P$6-'Script Table'!$E$15-'Script Table'!$E$19+H846)</f>
        <v/>
      </c>
      <c r="K846" s="132">
        <f t="shared" si="34"/>
        <v>0</v>
      </c>
      <c r="L846" s="132">
        <f t="shared" si="35"/>
        <v>846</v>
      </c>
      <c r="N846" s="143"/>
    </row>
    <row r="847" spans="2:14">
      <c r="B847" s="130"/>
      <c r="J847" t="str">
        <f>IF(H847="","",$P$6-'Script Table'!$E$15-'Script Table'!$E$19+H847)</f>
        <v/>
      </c>
      <c r="K847" s="132">
        <f t="shared" si="34"/>
        <v>0</v>
      </c>
      <c r="L847" s="132">
        <f t="shared" si="35"/>
        <v>847</v>
      </c>
      <c r="N847" s="143"/>
    </row>
    <row r="848" spans="2:14">
      <c r="B848" s="130"/>
      <c r="J848" t="str">
        <f>IF(H848="","",$P$6-'Script Table'!$E$15-'Script Table'!$E$19+H848)</f>
        <v/>
      </c>
      <c r="K848" s="132">
        <f t="shared" si="34"/>
        <v>0</v>
      </c>
      <c r="L848" s="132">
        <f t="shared" si="35"/>
        <v>848</v>
      </c>
      <c r="N848" s="143"/>
    </row>
    <row r="849" spans="2:14">
      <c r="B849" s="130"/>
      <c r="J849" t="str">
        <f>IF(H849="","",$P$6-'Script Table'!$E$15-'Script Table'!$E$19+H849)</f>
        <v/>
      </c>
      <c r="K849" s="132">
        <f t="shared" si="34"/>
        <v>0</v>
      </c>
      <c r="L849" s="132">
        <f t="shared" si="35"/>
        <v>849</v>
      </c>
      <c r="N849" s="143"/>
    </row>
    <row r="850" spans="2:14">
      <c r="B850" s="130"/>
      <c r="J850" t="str">
        <f>IF(H850="","",$P$6-'Script Table'!$E$15-'Script Table'!$E$19+H850)</f>
        <v/>
      </c>
      <c r="K850" s="132">
        <f t="shared" si="34"/>
        <v>0</v>
      </c>
      <c r="L850" s="132">
        <f t="shared" si="35"/>
        <v>850</v>
      </c>
      <c r="N850" s="143"/>
    </row>
    <row r="851" spans="2:14">
      <c r="B851" s="130"/>
      <c r="J851" t="str">
        <f>IF(H851="","",$P$6-'Script Table'!$E$15-'Script Table'!$E$19+H851)</f>
        <v/>
      </c>
      <c r="K851" s="132">
        <f t="shared" si="34"/>
        <v>0</v>
      </c>
      <c r="L851" s="132">
        <f t="shared" si="35"/>
        <v>851</v>
      </c>
      <c r="N851" s="143"/>
    </row>
    <row r="852" spans="2:14">
      <c r="B852" s="130"/>
      <c r="J852" t="str">
        <f>IF(H852="","",$P$6-'Script Table'!$E$15-'Script Table'!$E$19+H852)</f>
        <v/>
      </c>
      <c r="K852" s="132">
        <f t="shared" si="34"/>
        <v>0</v>
      </c>
      <c r="L852" s="132">
        <f t="shared" si="35"/>
        <v>852</v>
      </c>
      <c r="N852" s="143"/>
    </row>
    <row r="853" spans="2:14">
      <c r="B853" s="130"/>
      <c r="J853" t="str">
        <f>IF(H853="","",$P$6-'Script Table'!$E$15-'Script Table'!$E$19+H853)</f>
        <v/>
      </c>
      <c r="K853" s="132">
        <f t="shared" si="34"/>
        <v>0</v>
      </c>
      <c r="L853" s="132">
        <f t="shared" si="35"/>
        <v>853</v>
      </c>
      <c r="N853" s="143"/>
    </row>
    <row r="854" spans="2:14">
      <c r="B854" s="130"/>
      <c r="J854" t="str">
        <f>IF(H854="","",$P$6-'Script Table'!$E$15-'Script Table'!$E$19+H854)</f>
        <v/>
      </c>
      <c r="K854" s="132">
        <f t="shared" si="34"/>
        <v>0</v>
      </c>
      <c r="L854" s="132">
        <f t="shared" si="35"/>
        <v>854</v>
      </c>
      <c r="N854" s="143"/>
    </row>
    <row r="855" spans="2:14">
      <c r="B855" s="130"/>
      <c r="J855" t="str">
        <f>IF(H855="","",$P$6-'Script Table'!$E$15-'Script Table'!$E$19+H855)</f>
        <v/>
      </c>
      <c r="K855" s="132">
        <f t="shared" si="34"/>
        <v>0</v>
      </c>
      <c r="L855" s="132">
        <f t="shared" si="35"/>
        <v>855</v>
      </c>
      <c r="N855" s="143"/>
    </row>
    <row r="856" spans="2:14">
      <c r="B856" s="130"/>
      <c r="J856" t="str">
        <f>IF(H856="","",$P$6-'Script Table'!$E$15-'Script Table'!$E$19+H856)</f>
        <v/>
      </c>
      <c r="K856" s="132">
        <f t="shared" si="34"/>
        <v>0</v>
      </c>
      <c r="L856" s="132">
        <f t="shared" si="35"/>
        <v>856</v>
      </c>
      <c r="N856" s="143"/>
    </row>
    <row r="857" spans="2:14">
      <c r="B857" s="130"/>
      <c r="J857" t="str">
        <f>IF(H857="","",$P$6-'Script Table'!$E$15-'Script Table'!$E$19+H857)</f>
        <v/>
      </c>
      <c r="K857" s="132">
        <f t="shared" si="34"/>
        <v>0</v>
      </c>
      <c r="L857" s="132">
        <f t="shared" si="35"/>
        <v>857</v>
      </c>
      <c r="N857" s="143"/>
    </row>
    <row r="858" spans="2:14">
      <c r="B858" s="130"/>
      <c r="J858" t="str">
        <f>IF(H858="","",$P$6-'Script Table'!$E$15-'Script Table'!$E$19+H858)</f>
        <v/>
      </c>
      <c r="K858" s="132">
        <f t="shared" si="34"/>
        <v>0</v>
      </c>
      <c r="L858" s="132">
        <f t="shared" si="35"/>
        <v>858</v>
      </c>
      <c r="N858" s="143"/>
    </row>
    <row r="859" spans="2:14">
      <c r="B859" s="130"/>
      <c r="J859" t="str">
        <f>IF(H859="","",$P$6-'Script Table'!$E$15-'Script Table'!$E$19+H859)</f>
        <v/>
      </c>
      <c r="K859" s="132">
        <f t="shared" si="34"/>
        <v>0</v>
      </c>
      <c r="L859" s="132">
        <f t="shared" si="35"/>
        <v>859</v>
      </c>
      <c r="N859" s="143"/>
    </row>
    <row r="860" spans="2:14">
      <c r="B860" s="130"/>
      <c r="J860" t="str">
        <f>IF(H860="","",$P$6-'Script Table'!$E$15-'Script Table'!$E$19+H860)</f>
        <v/>
      </c>
      <c r="K860" s="132">
        <f t="shared" si="34"/>
        <v>0</v>
      </c>
      <c r="L860" s="132">
        <f t="shared" si="35"/>
        <v>860</v>
      </c>
      <c r="N860" s="143"/>
    </row>
    <row r="861" spans="2:14">
      <c r="B861" s="130"/>
      <c r="J861" t="str">
        <f>IF(H861="","",$P$6-'Script Table'!$E$15-'Script Table'!$E$19+H861)</f>
        <v/>
      </c>
      <c r="K861" s="132">
        <f t="shared" si="34"/>
        <v>0</v>
      </c>
      <c r="L861" s="132">
        <f t="shared" si="35"/>
        <v>861</v>
      </c>
      <c r="N861" s="143"/>
    </row>
    <row r="862" spans="2:14">
      <c r="B862" s="130"/>
      <c r="J862" t="str">
        <f>IF(H862="","",$P$6-'Script Table'!$E$15-'Script Table'!$E$19+H862)</f>
        <v/>
      </c>
      <c r="K862" s="132">
        <f t="shared" si="34"/>
        <v>0</v>
      </c>
      <c r="L862" s="132">
        <f t="shared" si="35"/>
        <v>862</v>
      </c>
      <c r="N862" s="143"/>
    </row>
    <row r="863" spans="2:14">
      <c r="B863" s="130"/>
      <c r="J863" t="str">
        <f>IF(H863="","",$P$6-'Script Table'!$E$15-'Script Table'!$E$19+H863)</f>
        <v/>
      </c>
      <c r="K863" s="132">
        <f t="shared" si="34"/>
        <v>0</v>
      </c>
      <c r="L863" s="132">
        <f t="shared" si="35"/>
        <v>863</v>
      </c>
      <c r="N863" s="143"/>
    </row>
    <row r="864" spans="2:14">
      <c r="B864" s="130"/>
      <c r="J864" t="str">
        <f>IF(H864="","",$P$6-'Script Table'!$E$15-'Script Table'!$E$19+H864)</f>
        <v/>
      </c>
      <c r="K864" s="132">
        <f t="shared" si="34"/>
        <v>0</v>
      </c>
      <c r="L864" s="132">
        <f t="shared" si="35"/>
        <v>864</v>
      </c>
      <c r="N864" s="143"/>
    </row>
    <row r="865" spans="2:14">
      <c r="B865" s="130"/>
      <c r="J865" t="str">
        <f>IF(H865="","",$P$6-'Script Table'!$E$15-'Script Table'!$E$19+H865)</f>
        <v/>
      </c>
      <c r="K865" s="132">
        <f t="shared" si="34"/>
        <v>0</v>
      </c>
      <c r="L865" s="132">
        <f t="shared" si="35"/>
        <v>865</v>
      </c>
      <c r="N865" s="143"/>
    </row>
    <row r="866" spans="2:14">
      <c r="B866" s="130"/>
      <c r="J866" t="str">
        <f>IF(H866="","",$P$6-'Script Table'!$E$15-'Script Table'!$E$19+H866)</f>
        <v/>
      </c>
      <c r="K866" s="132">
        <f t="shared" si="34"/>
        <v>0</v>
      </c>
      <c r="L866" s="132">
        <f t="shared" si="35"/>
        <v>866</v>
      </c>
      <c r="N866" s="143"/>
    </row>
    <row r="867" spans="2:14">
      <c r="B867" s="130"/>
      <c r="J867" t="str">
        <f>IF(H867="","",$P$6-'Script Table'!$E$15-'Script Table'!$E$19+H867)</f>
        <v/>
      </c>
      <c r="K867" s="132">
        <f t="shared" si="34"/>
        <v>0</v>
      </c>
      <c r="L867" s="132">
        <f t="shared" si="35"/>
        <v>867</v>
      </c>
      <c r="N867" s="143"/>
    </row>
    <row r="868" spans="2:14">
      <c r="B868" s="130"/>
      <c r="J868" t="str">
        <f>IF(H868="","",$P$6-'Script Table'!$E$15-'Script Table'!$E$19+H868)</f>
        <v/>
      </c>
      <c r="K868" s="132">
        <f t="shared" si="34"/>
        <v>0</v>
      </c>
      <c r="L868" s="132">
        <f t="shared" si="35"/>
        <v>868</v>
      </c>
      <c r="N868" s="143"/>
    </row>
    <row r="869" spans="2:14">
      <c r="B869" s="130"/>
      <c r="J869" t="str">
        <f>IF(H869="","",$P$6-'Script Table'!$E$15-'Script Table'!$E$19+H869)</f>
        <v/>
      </c>
      <c r="K869" s="132">
        <f t="shared" si="34"/>
        <v>0</v>
      </c>
      <c r="L869" s="132">
        <f t="shared" si="35"/>
        <v>869</v>
      </c>
      <c r="N869" s="143"/>
    </row>
    <row r="870" spans="2:14">
      <c r="B870" s="130"/>
      <c r="J870" t="str">
        <f>IF(H870="","",$P$6-'Script Table'!$E$15-'Script Table'!$E$19+H870)</f>
        <v/>
      </c>
      <c r="K870" s="132">
        <f t="shared" si="34"/>
        <v>0</v>
      </c>
      <c r="L870" s="132">
        <f t="shared" si="35"/>
        <v>870</v>
      </c>
      <c r="N870" s="143"/>
    </row>
    <row r="871" spans="2:14">
      <c r="B871" s="130"/>
      <c r="J871" t="str">
        <f>IF(H871="","",$P$6-'Script Table'!$E$15-'Script Table'!$E$19+H871)</f>
        <v/>
      </c>
      <c r="K871" s="132">
        <f t="shared" si="34"/>
        <v>0</v>
      </c>
      <c r="L871" s="132">
        <f t="shared" si="35"/>
        <v>871</v>
      </c>
      <c r="N871" s="143"/>
    </row>
    <row r="872" spans="2:14">
      <c r="B872" s="130"/>
      <c r="J872" t="str">
        <f>IF(H872="","",$P$6-'Script Table'!$E$15-'Script Table'!$E$19+H872)</f>
        <v/>
      </c>
      <c r="K872" s="132">
        <f t="shared" si="34"/>
        <v>0</v>
      </c>
      <c r="L872" s="132">
        <f t="shared" si="35"/>
        <v>872</v>
      </c>
      <c r="N872" s="143"/>
    </row>
    <row r="873" spans="2:14">
      <c r="B873" s="130"/>
      <c r="J873" t="str">
        <f>IF(H873="","",$P$6-'Script Table'!$E$15-'Script Table'!$E$19+H873)</f>
        <v/>
      </c>
      <c r="K873" s="132">
        <f t="shared" si="34"/>
        <v>0</v>
      </c>
      <c r="L873" s="132">
        <f t="shared" si="35"/>
        <v>873</v>
      </c>
      <c r="N873" s="143"/>
    </row>
    <row r="874" spans="2:14">
      <c r="B874" s="130"/>
      <c r="J874" t="str">
        <f>IF(H874="","",$P$6-'Script Table'!$E$15-'Script Table'!$E$19+H874)</f>
        <v/>
      </c>
      <c r="K874" s="132">
        <f t="shared" si="34"/>
        <v>0</v>
      </c>
      <c r="L874" s="132">
        <f t="shared" si="35"/>
        <v>874</v>
      </c>
      <c r="N874" s="143"/>
    </row>
    <row r="875" spans="2:14">
      <c r="B875" s="130"/>
      <c r="J875" t="str">
        <f>IF(H875="","",$P$6-'Script Table'!$E$15-'Script Table'!$E$19+H875)</f>
        <v/>
      </c>
      <c r="K875" s="132">
        <f t="shared" si="34"/>
        <v>0</v>
      </c>
      <c r="L875" s="132">
        <f t="shared" si="35"/>
        <v>875</v>
      </c>
      <c r="N875" s="143"/>
    </row>
    <row r="876" spans="2:14">
      <c r="B876" s="130"/>
      <c r="J876" t="str">
        <f>IF(H876="","",$P$6-'Script Table'!$E$15-'Script Table'!$E$19+H876)</f>
        <v/>
      </c>
      <c r="K876" s="132">
        <f t="shared" si="34"/>
        <v>0</v>
      </c>
      <c r="L876" s="132">
        <f t="shared" si="35"/>
        <v>876</v>
      </c>
      <c r="N876" s="143"/>
    </row>
    <row r="877" spans="2:14">
      <c r="B877" s="130"/>
      <c r="J877" t="str">
        <f>IF(H877="","",$P$6-'Script Table'!$E$15-'Script Table'!$E$19+H877)</f>
        <v/>
      </c>
      <c r="K877" s="132">
        <f t="shared" si="34"/>
        <v>0</v>
      </c>
      <c r="L877" s="132">
        <f t="shared" si="35"/>
        <v>877</v>
      </c>
      <c r="N877" s="143"/>
    </row>
    <row r="878" spans="2:14">
      <c r="B878" s="130"/>
      <c r="J878" t="str">
        <f>IF(H878="","",$P$6-'Script Table'!$E$15-'Script Table'!$E$19+H878)</f>
        <v/>
      </c>
      <c r="K878" s="132">
        <f t="shared" si="34"/>
        <v>0</v>
      </c>
      <c r="L878" s="132">
        <f t="shared" si="35"/>
        <v>878</v>
      </c>
      <c r="N878" s="143"/>
    </row>
    <row r="879" spans="2:14">
      <c r="B879" s="130"/>
      <c r="J879" t="str">
        <f>IF(H879="","",$P$6-'Script Table'!$E$15-'Script Table'!$E$19+H879)</f>
        <v/>
      </c>
      <c r="K879" s="132">
        <f t="shared" si="34"/>
        <v>0</v>
      </c>
      <c r="L879" s="132">
        <f t="shared" si="35"/>
        <v>879</v>
      </c>
      <c r="N879" s="143"/>
    </row>
    <row r="880" spans="2:14">
      <c r="B880" s="130"/>
      <c r="J880" t="str">
        <f>IF(H880="","",$P$6-'Script Table'!$E$15-'Script Table'!$E$19+H880)</f>
        <v/>
      </c>
      <c r="K880" s="132">
        <f t="shared" si="34"/>
        <v>0</v>
      </c>
      <c r="L880" s="132">
        <f t="shared" si="35"/>
        <v>880</v>
      </c>
      <c r="N880" s="143"/>
    </row>
    <row r="881" spans="2:14">
      <c r="B881" s="130"/>
      <c r="J881" t="str">
        <f>IF(H881="","",$P$6-'Script Table'!$E$15-'Script Table'!$E$19+H881)</f>
        <v/>
      </c>
      <c r="K881" s="132">
        <f t="shared" si="34"/>
        <v>0</v>
      </c>
      <c r="L881" s="132">
        <f t="shared" si="35"/>
        <v>881</v>
      </c>
      <c r="N881" s="143"/>
    </row>
    <row r="882" spans="2:14">
      <c r="B882" s="130"/>
      <c r="J882" t="str">
        <f>IF(H882="","",$P$6-'Script Table'!$E$15-'Script Table'!$E$19+H882)</f>
        <v/>
      </c>
      <c r="K882" s="132">
        <f t="shared" si="34"/>
        <v>0</v>
      </c>
      <c r="L882" s="132">
        <f t="shared" si="35"/>
        <v>882</v>
      </c>
      <c r="N882" s="143"/>
    </row>
    <row r="883" spans="2:14">
      <c r="B883" s="130"/>
      <c r="J883" t="str">
        <f>IF(H883="","",$P$6-'Script Table'!$E$15-'Script Table'!$E$19+H883)</f>
        <v/>
      </c>
      <c r="K883" s="132">
        <f t="shared" si="34"/>
        <v>0</v>
      </c>
      <c r="L883" s="132">
        <f t="shared" si="35"/>
        <v>883</v>
      </c>
      <c r="N883" s="143"/>
    </row>
    <row r="884" spans="2:14">
      <c r="B884" s="130"/>
      <c r="J884" t="str">
        <f>IF(H884="","",$P$6-'Script Table'!$E$15-'Script Table'!$E$19+H884)</f>
        <v/>
      </c>
      <c r="K884" s="132">
        <f t="shared" si="34"/>
        <v>0</v>
      </c>
      <c r="L884" s="132">
        <f t="shared" si="35"/>
        <v>884</v>
      </c>
      <c r="N884" s="143"/>
    </row>
    <row r="885" spans="2:14">
      <c r="B885" s="130"/>
      <c r="J885" t="str">
        <f>IF(H885="","",$P$6-'Script Table'!$E$15-'Script Table'!$E$19+H885)</f>
        <v/>
      </c>
      <c r="K885" s="132">
        <f t="shared" si="34"/>
        <v>0</v>
      </c>
      <c r="L885" s="132">
        <f t="shared" si="35"/>
        <v>885</v>
      </c>
      <c r="N885" s="143"/>
    </row>
    <row r="886" spans="2:14">
      <c r="B886" s="130"/>
      <c r="J886" t="str">
        <f>IF(H886="","",$P$6-'Script Table'!$E$15-'Script Table'!$E$19+H886)</f>
        <v/>
      </c>
      <c r="K886" s="132">
        <f t="shared" si="34"/>
        <v>0</v>
      </c>
      <c r="L886" s="132">
        <f t="shared" si="35"/>
        <v>886</v>
      </c>
      <c r="N886" s="143"/>
    </row>
    <row r="887" spans="2:14">
      <c r="B887" s="130"/>
      <c r="J887" t="str">
        <f>IF(H887="","",$P$6-'Script Table'!$E$15-'Script Table'!$E$19+H887)</f>
        <v/>
      </c>
      <c r="K887" s="132">
        <f t="shared" si="34"/>
        <v>0</v>
      </c>
      <c r="L887" s="132">
        <f t="shared" si="35"/>
        <v>887</v>
      </c>
      <c r="N887" s="143"/>
    </row>
    <row r="888" spans="2:14">
      <c r="B888" s="130"/>
      <c r="J888" t="str">
        <f>IF(H888="","",$P$6-'Script Table'!$E$15-'Script Table'!$E$19+H888)</f>
        <v/>
      </c>
      <c r="K888" s="132">
        <f t="shared" si="34"/>
        <v>0</v>
      </c>
      <c r="L888" s="132">
        <f t="shared" si="35"/>
        <v>888</v>
      </c>
      <c r="N888" s="143"/>
    </row>
    <row r="889" spans="2:14">
      <c r="B889" s="130"/>
      <c r="J889" t="str">
        <f>IF(H889="","",$P$6-'Script Table'!$E$15-'Script Table'!$E$19+H889)</f>
        <v/>
      </c>
      <c r="K889" s="132">
        <f t="shared" si="34"/>
        <v>0</v>
      </c>
      <c r="L889" s="132">
        <f t="shared" si="35"/>
        <v>889</v>
      </c>
      <c r="N889" s="143"/>
    </row>
    <row r="890" spans="2:14">
      <c r="B890" s="130"/>
      <c r="J890" t="str">
        <f>IF(H890="","",$P$6-'Script Table'!$E$15-'Script Table'!$E$19+H890)</f>
        <v/>
      </c>
      <c r="K890" s="132">
        <f t="shared" si="34"/>
        <v>0</v>
      </c>
      <c r="L890" s="132">
        <f t="shared" si="35"/>
        <v>890</v>
      </c>
      <c r="N890" s="143"/>
    </row>
    <row r="891" spans="2:14">
      <c r="B891" s="130"/>
      <c r="J891" t="str">
        <f>IF(H891="","",$P$6-'Script Table'!$E$15-'Script Table'!$E$19+H891)</f>
        <v/>
      </c>
      <c r="K891" s="132">
        <f t="shared" si="34"/>
        <v>0</v>
      </c>
      <c r="L891" s="132">
        <f t="shared" si="35"/>
        <v>891</v>
      </c>
      <c r="N891" s="143"/>
    </row>
    <row r="892" spans="2:14">
      <c r="B892" s="130"/>
      <c r="J892" t="str">
        <f>IF(H892="","",$P$6-'Script Table'!$E$15-'Script Table'!$E$19+H892)</f>
        <v/>
      </c>
      <c r="K892" s="132">
        <f t="shared" si="34"/>
        <v>0</v>
      </c>
      <c r="L892" s="132">
        <f t="shared" si="35"/>
        <v>892</v>
      </c>
      <c r="N892" s="143"/>
    </row>
    <row r="893" spans="2:14">
      <c r="B893" s="130"/>
      <c r="J893" t="str">
        <f>IF(H893="","",$P$6-'Script Table'!$E$15-'Script Table'!$E$19+H893)</f>
        <v/>
      </c>
      <c r="K893" s="132">
        <f t="shared" si="34"/>
        <v>0</v>
      </c>
      <c r="L893" s="132">
        <f t="shared" si="35"/>
        <v>893</v>
      </c>
      <c r="N893" s="143"/>
    </row>
    <row r="894" spans="2:14">
      <c r="B894" s="130"/>
      <c r="J894" t="str">
        <f>IF(H894="","",$P$6-'Script Table'!$E$15-'Script Table'!$E$19+H894)</f>
        <v/>
      </c>
      <c r="K894" s="132">
        <f t="shared" si="34"/>
        <v>0</v>
      </c>
      <c r="L894" s="132">
        <f t="shared" si="35"/>
        <v>894</v>
      </c>
      <c r="N894" s="143"/>
    </row>
    <row r="895" spans="2:14">
      <c r="B895" s="130"/>
      <c r="J895" t="str">
        <f>IF(H895="","",$P$6-'Script Table'!$E$15-'Script Table'!$E$19+H895)</f>
        <v/>
      </c>
      <c r="K895" s="132">
        <f t="shared" si="34"/>
        <v>0</v>
      </c>
      <c r="L895" s="132">
        <f t="shared" si="35"/>
        <v>895</v>
      </c>
      <c r="N895" s="143"/>
    </row>
    <row r="896" spans="2:14">
      <c r="B896" s="130"/>
      <c r="J896" t="str">
        <f>IF(H896="","",$P$6-'Script Table'!$E$15-'Script Table'!$E$19+H896)</f>
        <v/>
      </c>
      <c r="K896" s="132">
        <f t="shared" si="34"/>
        <v>0</v>
      </c>
      <c r="L896" s="132">
        <f t="shared" si="35"/>
        <v>896</v>
      </c>
      <c r="N896" s="143"/>
    </row>
    <row r="897" spans="2:14">
      <c r="B897" s="130"/>
      <c r="J897" t="str">
        <f>IF(H897="","",$P$6-'Script Table'!$E$15-'Script Table'!$E$19+H897)</f>
        <v/>
      </c>
      <c r="K897" s="132">
        <f t="shared" si="34"/>
        <v>0</v>
      </c>
      <c r="L897" s="132">
        <f t="shared" si="35"/>
        <v>897</v>
      </c>
      <c r="N897" s="143"/>
    </row>
    <row r="898" spans="2:14">
      <c r="B898" s="130"/>
      <c r="J898" t="str">
        <f>IF(H898="","",$P$6-'Script Table'!$E$15-'Script Table'!$E$19+H898)</f>
        <v/>
      </c>
      <c r="K898" s="132">
        <f t="shared" si="34"/>
        <v>0</v>
      </c>
      <c r="L898" s="132">
        <f t="shared" si="35"/>
        <v>898</v>
      </c>
      <c r="N898" s="143"/>
    </row>
    <row r="899" spans="2:14">
      <c r="B899" s="130"/>
      <c r="J899" t="str">
        <f>IF(H899="","",$P$6-'Script Table'!$E$15-'Script Table'!$E$19+H899)</f>
        <v/>
      </c>
      <c r="K899" s="132">
        <f t="shared" si="34"/>
        <v>0</v>
      </c>
      <c r="L899" s="132">
        <f t="shared" si="35"/>
        <v>899</v>
      </c>
      <c r="N899" s="143"/>
    </row>
    <row r="900" spans="2:14">
      <c r="B900" s="130"/>
      <c r="J900" t="str">
        <f>IF(H900="","",$P$6-'Script Table'!$E$15-'Script Table'!$E$19+H900)</f>
        <v/>
      </c>
      <c r="K900" s="132">
        <f t="shared" ref="K900:K963" si="36">F900</f>
        <v>0</v>
      </c>
      <c r="L900" s="132">
        <f t="shared" si="35"/>
        <v>900</v>
      </c>
      <c r="N900" s="143"/>
    </row>
    <row r="901" spans="2:14">
      <c r="B901" s="130"/>
      <c r="J901" t="str">
        <f>IF(H901="","",$P$6-'Script Table'!$E$15-'Script Table'!$E$19+H901)</f>
        <v/>
      </c>
      <c r="K901" s="132">
        <f t="shared" si="36"/>
        <v>0</v>
      </c>
      <c r="L901" s="132">
        <f t="shared" si="35"/>
        <v>901</v>
      </c>
      <c r="N901" s="143"/>
    </row>
    <row r="902" spans="2:14">
      <c r="B902" s="130"/>
      <c r="J902" t="str">
        <f>IF(H902="","",$P$6-'Script Table'!$E$15-'Script Table'!$E$19+H902)</f>
        <v/>
      </c>
      <c r="K902" s="132">
        <f t="shared" si="36"/>
        <v>0</v>
      </c>
      <c r="L902" s="132">
        <f t="shared" ref="L902:L965" si="37">L901+1</f>
        <v>902</v>
      </c>
      <c r="N902" s="143"/>
    </row>
    <row r="903" spans="2:14">
      <c r="B903" s="130"/>
      <c r="J903" t="str">
        <f>IF(H903="","",$P$6-'Script Table'!$E$15-'Script Table'!$E$19+H903)</f>
        <v/>
      </c>
      <c r="K903" s="132">
        <f t="shared" si="36"/>
        <v>0</v>
      </c>
      <c r="L903" s="132">
        <f t="shared" si="37"/>
        <v>903</v>
      </c>
      <c r="N903" s="143"/>
    </row>
    <row r="904" spans="2:14">
      <c r="B904" s="130"/>
      <c r="J904" t="str">
        <f>IF(H904="","",$P$6-'Script Table'!$E$15-'Script Table'!$E$19+H904)</f>
        <v/>
      </c>
      <c r="K904" s="132">
        <f t="shared" si="36"/>
        <v>0</v>
      </c>
      <c r="L904" s="132">
        <f t="shared" si="37"/>
        <v>904</v>
      </c>
      <c r="N904" s="143"/>
    </row>
    <row r="905" spans="2:14">
      <c r="B905" s="130"/>
      <c r="J905" t="str">
        <f>IF(H905="","",$P$6-'Script Table'!$E$15-'Script Table'!$E$19+H905)</f>
        <v/>
      </c>
      <c r="K905" s="132">
        <f t="shared" si="36"/>
        <v>0</v>
      </c>
      <c r="L905" s="132">
        <f t="shared" si="37"/>
        <v>905</v>
      </c>
      <c r="N905" s="143"/>
    </row>
    <row r="906" spans="2:14">
      <c r="B906" s="130"/>
      <c r="J906" t="str">
        <f>IF(H906="","",$P$6-'Script Table'!$E$15-'Script Table'!$E$19+H906)</f>
        <v/>
      </c>
      <c r="K906" s="132">
        <f t="shared" si="36"/>
        <v>0</v>
      </c>
      <c r="L906" s="132">
        <f t="shared" si="37"/>
        <v>906</v>
      </c>
      <c r="N906" s="143"/>
    </row>
    <row r="907" spans="2:14">
      <c r="B907" s="130"/>
      <c r="J907" t="str">
        <f>IF(H907="","",$P$6-'Script Table'!$E$15-'Script Table'!$E$19+H907)</f>
        <v/>
      </c>
      <c r="K907" s="132">
        <f t="shared" si="36"/>
        <v>0</v>
      </c>
      <c r="L907" s="132">
        <f t="shared" si="37"/>
        <v>907</v>
      </c>
      <c r="N907" s="143"/>
    </row>
    <row r="908" spans="2:14">
      <c r="B908" s="130"/>
      <c r="J908" t="str">
        <f>IF(H908="","",$P$6-'Script Table'!$E$15-'Script Table'!$E$19+H908)</f>
        <v/>
      </c>
      <c r="K908" s="132">
        <f t="shared" si="36"/>
        <v>0</v>
      </c>
      <c r="L908" s="132">
        <f t="shared" si="37"/>
        <v>908</v>
      </c>
      <c r="N908" s="143"/>
    </row>
    <row r="909" spans="2:14">
      <c r="B909" s="130"/>
      <c r="J909" t="str">
        <f>IF(H909="","",$P$6-'Script Table'!$E$15-'Script Table'!$E$19+H909)</f>
        <v/>
      </c>
      <c r="K909" s="132">
        <f t="shared" si="36"/>
        <v>0</v>
      </c>
      <c r="L909" s="132">
        <f t="shared" si="37"/>
        <v>909</v>
      </c>
      <c r="N909" s="143"/>
    </row>
    <row r="910" spans="2:14">
      <c r="B910" s="130"/>
      <c r="J910" t="str">
        <f>IF(H910="","",$P$6-'Script Table'!$E$15-'Script Table'!$E$19+H910)</f>
        <v/>
      </c>
      <c r="K910" s="132">
        <f t="shared" si="36"/>
        <v>0</v>
      </c>
      <c r="L910" s="132">
        <f t="shared" si="37"/>
        <v>910</v>
      </c>
      <c r="N910" s="143"/>
    </row>
    <row r="911" spans="2:14">
      <c r="B911" s="130"/>
      <c r="J911" t="str">
        <f>IF(H911="","",$P$6-'Script Table'!$E$15-'Script Table'!$E$19+H911)</f>
        <v/>
      </c>
      <c r="K911" s="132">
        <f t="shared" si="36"/>
        <v>0</v>
      </c>
      <c r="L911" s="132">
        <f t="shared" si="37"/>
        <v>911</v>
      </c>
      <c r="N911" s="143"/>
    </row>
    <row r="912" spans="2:14">
      <c r="B912" s="130"/>
      <c r="J912" t="str">
        <f>IF(H912="","",$P$6-'Script Table'!$E$15-'Script Table'!$E$19+H912)</f>
        <v/>
      </c>
      <c r="K912" s="132">
        <f t="shared" si="36"/>
        <v>0</v>
      </c>
      <c r="L912" s="132">
        <f t="shared" si="37"/>
        <v>912</v>
      </c>
      <c r="N912" s="143"/>
    </row>
    <row r="913" spans="2:14">
      <c r="B913" s="130"/>
      <c r="J913" t="str">
        <f>IF(H913="","",$P$6-'Script Table'!$E$15-'Script Table'!$E$19+H913)</f>
        <v/>
      </c>
      <c r="K913" s="132">
        <f t="shared" si="36"/>
        <v>0</v>
      </c>
      <c r="L913" s="132">
        <f t="shared" si="37"/>
        <v>913</v>
      </c>
      <c r="N913" s="143"/>
    </row>
    <row r="914" spans="2:14">
      <c r="B914" s="130"/>
      <c r="J914" t="str">
        <f>IF(H914="","",$P$6-'Script Table'!$E$15-'Script Table'!$E$19+H914)</f>
        <v/>
      </c>
      <c r="K914" s="132">
        <f t="shared" si="36"/>
        <v>0</v>
      </c>
      <c r="L914" s="132">
        <f t="shared" si="37"/>
        <v>914</v>
      </c>
      <c r="N914" s="143"/>
    </row>
    <row r="915" spans="2:14">
      <c r="B915" s="130"/>
      <c r="J915" t="str">
        <f>IF(H915="","",$P$6-'Script Table'!$E$15-'Script Table'!$E$19+H915)</f>
        <v/>
      </c>
      <c r="K915" s="132">
        <f t="shared" si="36"/>
        <v>0</v>
      </c>
      <c r="L915" s="132">
        <f t="shared" si="37"/>
        <v>915</v>
      </c>
      <c r="N915" s="143"/>
    </row>
    <row r="916" spans="2:14">
      <c r="B916" s="130"/>
      <c r="J916" t="str">
        <f>IF(H916="","",$P$6-'Script Table'!$E$15-'Script Table'!$E$19+H916)</f>
        <v/>
      </c>
      <c r="K916" s="132">
        <f t="shared" si="36"/>
        <v>0</v>
      </c>
      <c r="L916" s="132">
        <f t="shared" si="37"/>
        <v>916</v>
      </c>
      <c r="N916" s="143"/>
    </row>
    <row r="917" spans="2:14">
      <c r="B917" s="130"/>
      <c r="J917" t="str">
        <f>IF(H917="","",$P$6-'Script Table'!$E$15-'Script Table'!$E$19+H917)</f>
        <v/>
      </c>
      <c r="K917" s="132">
        <f t="shared" si="36"/>
        <v>0</v>
      </c>
      <c r="L917" s="132">
        <f t="shared" si="37"/>
        <v>917</v>
      </c>
      <c r="N917" s="143"/>
    </row>
    <row r="918" spans="2:14">
      <c r="B918" s="130"/>
      <c r="J918" t="str">
        <f>IF(H918="","",$P$6-'Script Table'!$E$15-'Script Table'!$E$19+H918)</f>
        <v/>
      </c>
      <c r="K918" s="132">
        <f t="shared" si="36"/>
        <v>0</v>
      </c>
      <c r="L918" s="132">
        <f t="shared" si="37"/>
        <v>918</v>
      </c>
      <c r="N918" s="143"/>
    </row>
    <row r="919" spans="2:14">
      <c r="B919" s="130"/>
      <c r="J919" t="str">
        <f>IF(H919="","",$P$6-'Script Table'!$E$15-'Script Table'!$E$19+H919)</f>
        <v/>
      </c>
      <c r="K919" s="132">
        <f t="shared" si="36"/>
        <v>0</v>
      </c>
      <c r="L919" s="132">
        <f t="shared" si="37"/>
        <v>919</v>
      </c>
      <c r="N919" s="143"/>
    </row>
    <row r="920" spans="2:14">
      <c r="B920" s="130"/>
      <c r="J920" t="str">
        <f>IF(H920="","",$P$6-'Script Table'!$E$15-'Script Table'!$E$19+H920)</f>
        <v/>
      </c>
      <c r="K920" s="132">
        <f t="shared" si="36"/>
        <v>0</v>
      </c>
      <c r="L920" s="132">
        <f t="shared" si="37"/>
        <v>920</v>
      </c>
      <c r="N920" s="143"/>
    </row>
    <row r="921" spans="2:14">
      <c r="B921" s="130"/>
      <c r="J921" t="str">
        <f>IF(H921="","",$P$6-'Script Table'!$E$15-'Script Table'!$E$19+H921)</f>
        <v/>
      </c>
      <c r="K921" s="132">
        <f t="shared" si="36"/>
        <v>0</v>
      </c>
      <c r="L921" s="132">
        <f t="shared" si="37"/>
        <v>921</v>
      </c>
      <c r="N921" s="143"/>
    </row>
    <row r="922" spans="2:14">
      <c r="B922" s="130"/>
      <c r="J922" t="str">
        <f>IF(H922="","",$P$6-'Script Table'!$E$15-'Script Table'!$E$19+H922)</f>
        <v/>
      </c>
      <c r="K922" s="132">
        <f t="shared" si="36"/>
        <v>0</v>
      </c>
      <c r="L922" s="132">
        <f t="shared" si="37"/>
        <v>922</v>
      </c>
      <c r="N922" s="143"/>
    </row>
    <row r="923" spans="2:14">
      <c r="B923" s="130"/>
      <c r="J923" t="str">
        <f>IF(H923="","",$P$6-'Script Table'!$E$15-'Script Table'!$E$19+H923)</f>
        <v/>
      </c>
      <c r="K923" s="132">
        <f t="shared" si="36"/>
        <v>0</v>
      </c>
      <c r="L923" s="132">
        <f t="shared" si="37"/>
        <v>923</v>
      </c>
      <c r="N923" s="143"/>
    </row>
    <row r="924" spans="2:14">
      <c r="B924" s="130"/>
      <c r="J924" t="str">
        <f>IF(H924="","",$P$6-'Script Table'!$E$15-'Script Table'!$E$19+H924)</f>
        <v/>
      </c>
      <c r="K924" s="132">
        <f t="shared" si="36"/>
        <v>0</v>
      </c>
      <c r="L924" s="132">
        <f t="shared" si="37"/>
        <v>924</v>
      </c>
      <c r="N924" s="143"/>
    </row>
    <row r="925" spans="2:14">
      <c r="B925" s="130"/>
      <c r="J925" t="str">
        <f>IF(H925="","",$P$6-'Script Table'!$E$15-'Script Table'!$E$19+H925)</f>
        <v/>
      </c>
      <c r="K925" s="132">
        <f t="shared" si="36"/>
        <v>0</v>
      </c>
      <c r="L925" s="132">
        <f t="shared" si="37"/>
        <v>925</v>
      </c>
      <c r="N925" s="143"/>
    </row>
    <row r="926" spans="2:14">
      <c r="B926" s="130"/>
      <c r="J926" t="str">
        <f>IF(H926="","",$P$6-'Script Table'!$E$15-'Script Table'!$E$19+H926)</f>
        <v/>
      </c>
      <c r="K926" s="132">
        <f t="shared" si="36"/>
        <v>0</v>
      </c>
      <c r="L926" s="132">
        <f t="shared" si="37"/>
        <v>926</v>
      </c>
      <c r="N926" s="143"/>
    </row>
    <row r="927" spans="2:14">
      <c r="B927" s="130"/>
      <c r="J927" t="str">
        <f>IF(H927="","",$P$6-'Script Table'!$E$15-'Script Table'!$E$19+H927)</f>
        <v/>
      </c>
      <c r="K927" s="132">
        <f t="shared" si="36"/>
        <v>0</v>
      </c>
      <c r="L927" s="132">
        <f t="shared" si="37"/>
        <v>927</v>
      </c>
      <c r="N927" s="143"/>
    </row>
    <row r="928" spans="2:14">
      <c r="B928" s="130"/>
      <c r="J928" t="str">
        <f>IF(H928="","",$P$6-'Script Table'!$E$15-'Script Table'!$E$19+H928)</f>
        <v/>
      </c>
      <c r="K928" s="132">
        <f t="shared" si="36"/>
        <v>0</v>
      </c>
      <c r="L928" s="132">
        <f t="shared" si="37"/>
        <v>928</v>
      </c>
      <c r="N928" s="143"/>
    </row>
    <row r="929" spans="2:14">
      <c r="B929" s="130"/>
      <c r="J929" t="str">
        <f>IF(H929="","",$P$6-'Script Table'!$E$15-'Script Table'!$E$19+H929)</f>
        <v/>
      </c>
      <c r="K929" s="132">
        <f t="shared" si="36"/>
        <v>0</v>
      </c>
      <c r="L929" s="132">
        <f t="shared" si="37"/>
        <v>929</v>
      </c>
      <c r="N929" s="143"/>
    </row>
    <row r="930" spans="2:14">
      <c r="B930" s="130"/>
      <c r="J930" t="str">
        <f>IF(H930="","",$P$6-'Script Table'!$E$15-'Script Table'!$E$19+H930)</f>
        <v/>
      </c>
      <c r="K930" s="132">
        <f t="shared" si="36"/>
        <v>0</v>
      </c>
      <c r="L930" s="132">
        <f t="shared" si="37"/>
        <v>930</v>
      </c>
      <c r="N930" s="143"/>
    </row>
    <row r="931" spans="2:14">
      <c r="B931" s="130"/>
      <c r="J931" t="str">
        <f>IF(H931="","",$P$6-'Script Table'!$E$15-'Script Table'!$E$19+H931)</f>
        <v/>
      </c>
      <c r="K931" s="132">
        <f t="shared" si="36"/>
        <v>0</v>
      </c>
      <c r="L931" s="132">
        <f t="shared" si="37"/>
        <v>931</v>
      </c>
      <c r="N931" s="143"/>
    </row>
    <row r="932" spans="2:14">
      <c r="B932" s="130"/>
      <c r="J932" t="str">
        <f>IF(H932="","",$P$6-'Script Table'!$E$15-'Script Table'!$E$19+H932)</f>
        <v/>
      </c>
      <c r="K932" s="132">
        <f t="shared" si="36"/>
        <v>0</v>
      </c>
      <c r="L932" s="132">
        <f t="shared" si="37"/>
        <v>932</v>
      </c>
      <c r="N932" s="143"/>
    </row>
    <row r="933" spans="2:14">
      <c r="B933" s="130"/>
      <c r="J933" t="str">
        <f>IF(H933="","",$P$6-'Script Table'!$E$15-'Script Table'!$E$19+H933)</f>
        <v/>
      </c>
      <c r="K933" s="132">
        <f t="shared" si="36"/>
        <v>0</v>
      </c>
      <c r="L933" s="132">
        <f t="shared" si="37"/>
        <v>933</v>
      </c>
      <c r="N933" s="143"/>
    </row>
    <row r="934" spans="2:14">
      <c r="B934" s="130"/>
      <c r="J934" t="str">
        <f>IF(H934="","",$P$6-'Script Table'!$E$15-'Script Table'!$E$19+H934)</f>
        <v/>
      </c>
      <c r="K934" s="132">
        <f t="shared" si="36"/>
        <v>0</v>
      </c>
      <c r="L934" s="132">
        <f t="shared" si="37"/>
        <v>934</v>
      </c>
      <c r="N934" s="143"/>
    </row>
    <row r="935" spans="2:14">
      <c r="B935" s="130"/>
      <c r="J935" t="str">
        <f>IF(H935="","",$P$6-'Script Table'!$E$15-'Script Table'!$E$19+H935)</f>
        <v/>
      </c>
      <c r="K935" s="132">
        <f t="shared" si="36"/>
        <v>0</v>
      </c>
      <c r="L935" s="132">
        <f t="shared" si="37"/>
        <v>935</v>
      </c>
      <c r="N935" s="143"/>
    </row>
    <row r="936" spans="2:14">
      <c r="B936" s="130"/>
      <c r="J936" t="str">
        <f>IF(H936="","",$P$6-'Script Table'!$E$15-'Script Table'!$E$19+H936)</f>
        <v/>
      </c>
      <c r="K936" s="132">
        <f t="shared" si="36"/>
        <v>0</v>
      </c>
      <c r="L936" s="132">
        <f t="shared" si="37"/>
        <v>936</v>
      </c>
      <c r="N936" s="143"/>
    </row>
    <row r="937" spans="2:14">
      <c r="B937" s="130"/>
      <c r="J937" t="str">
        <f>IF(H937="","",$P$6-'Script Table'!$E$15-'Script Table'!$E$19+H937)</f>
        <v/>
      </c>
      <c r="K937" s="132">
        <f t="shared" si="36"/>
        <v>0</v>
      </c>
      <c r="L937" s="132">
        <f t="shared" si="37"/>
        <v>937</v>
      </c>
      <c r="N937" s="143"/>
    </row>
    <row r="938" spans="2:14">
      <c r="B938" s="130"/>
      <c r="J938" t="str">
        <f>IF(H938="","",$P$6-'Script Table'!$E$15-'Script Table'!$E$19+H938)</f>
        <v/>
      </c>
      <c r="K938" s="132">
        <f t="shared" si="36"/>
        <v>0</v>
      </c>
      <c r="L938" s="132">
        <f t="shared" si="37"/>
        <v>938</v>
      </c>
      <c r="N938" s="143"/>
    </row>
    <row r="939" spans="2:14">
      <c r="B939" s="130"/>
      <c r="J939" t="str">
        <f>IF(H939="","",$P$6-'Script Table'!$E$15-'Script Table'!$E$19+H939)</f>
        <v/>
      </c>
      <c r="K939" s="132">
        <f t="shared" si="36"/>
        <v>0</v>
      </c>
      <c r="L939" s="132">
        <f t="shared" si="37"/>
        <v>939</v>
      </c>
      <c r="N939" s="143"/>
    </row>
    <row r="940" spans="2:14">
      <c r="B940" s="130"/>
      <c r="J940" t="str">
        <f>IF(H940="","",$P$6-'Script Table'!$E$15-'Script Table'!$E$19+H940)</f>
        <v/>
      </c>
      <c r="K940" s="132">
        <f t="shared" si="36"/>
        <v>0</v>
      </c>
      <c r="L940" s="132">
        <f t="shared" si="37"/>
        <v>940</v>
      </c>
      <c r="N940" s="143"/>
    </row>
    <row r="941" spans="2:14">
      <c r="B941" s="130"/>
      <c r="J941" t="str">
        <f>IF(H941="","",$P$6-'Script Table'!$E$15-'Script Table'!$E$19+H941)</f>
        <v/>
      </c>
      <c r="K941" s="132">
        <f t="shared" si="36"/>
        <v>0</v>
      </c>
      <c r="L941" s="132">
        <f t="shared" si="37"/>
        <v>941</v>
      </c>
      <c r="N941" s="143"/>
    </row>
    <row r="942" spans="2:14">
      <c r="B942" s="130"/>
      <c r="J942" t="str">
        <f>IF(H942="","",$P$6-'Script Table'!$E$15-'Script Table'!$E$19+H942)</f>
        <v/>
      </c>
      <c r="K942" s="132">
        <f t="shared" si="36"/>
        <v>0</v>
      </c>
      <c r="L942" s="132">
        <f t="shared" si="37"/>
        <v>942</v>
      </c>
      <c r="N942" s="143"/>
    </row>
    <row r="943" spans="2:14">
      <c r="B943" s="130"/>
      <c r="J943" t="str">
        <f>IF(H943="","",$P$6-'Script Table'!$E$15-'Script Table'!$E$19+H943)</f>
        <v/>
      </c>
      <c r="K943" s="132">
        <f t="shared" si="36"/>
        <v>0</v>
      </c>
      <c r="L943" s="132">
        <f t="shared" si="37"/>
        <v>943</v>
      </c>
      <c r="N943" s="143"/>
    </row>
    <row r="944" spans="2:14">
      <c r="B944" s="130"/>
      <c r="J944" t="str">
        <f>IF(H944="","",$P$6-'Script Table'!$E$15-'Script Table'!$E$19+H944)</f>
        <v/>
      </c>
      <c r="K944" s="132">
        <f t="shared" si="36"/>
        <v>0</v>
      </c>
      <c r="L944" s="132">
        <f t="shared" si="37"/>
        <v>944</v>
      </c>
      <c r="N944" s="143"/>
    </row>
    <row r="945" spans="2:14">
      <c r="B945" s="130"/>
      <c r="J945" t="str">
        <f>IF(H945="","",$P$6-'Script Table'!$E$15-'Script Table'!$E$19+H945)</f>
        <v/>
      </c>
      <c r="K945" s="132">
        <f t="shared" si="36"/>
        <v>0</v>
      </c>
      <c r="L945" s="132">
        <f t="shared" si="37"/>
        <v>945</v>
      </c>
      <c r="N945" s="143"/>
    </row>
    <row r="946" spans="2:14">
      <c r="B946" s="130"/>
      <c r="J946" t="str">
        <f>IF(H946="","",$P$6-'Script Table'!$E$15-'Script Table'!$E$19+H946)</f>
        <v/>
      </c>
      <c r="K946" s="132">
        <f t="shared" si="36"/>
        <v>0</v>
      </c>
      <c r="L946" s="132">
        <f t="shared" si="37"/>
        <v>946</v>
      </c>
      <c r="N946" s="143"/>
    </row>
    <row r="947" spans="2:14">
      <c r="B947" s="130"/>
      <c r="J947" t="str">
        <f>IF(H947="","",$P$6-'Script Table'!$E$15-'Script Table'!$E$19+H947)</f>
        <v/>
      </c>
      <c r="K947" s="132">
        <f t="shared" si="36"/>
        <v>0</v>
      </c>
      <c r="L947" s="132">
        <f t="shared" si="37"/>
        <v>947</v>
      </c>
      <c r="N947" s="143"/>
    </row>
    <row r="948" spans="2:14">
      <c r="B948" s="130"/>
      <c r="J948" t="str">
        <f>IF(H948="","",$P$6-'Script Table'!$E$15-'Script Table'!$E$19+H948)</f>
        <v/>
      </c>
      <c r="K948" s="132">
        <f t="shared" si="36"/>
        <v>0</v>
      </c>
      <c r="L948" s="132">
        <f t="shared" si="37"/>
        <v>948</v>
      </c>
      <c r="N948" s="143"/>
    </row>
    <row r="949" spans="2:14">
      <c r="B949" s="130"/>
      <c r="J949" t="str">
        <f>IF(H949="","",$P$6-'Script Table'!$E$15-'Script Table'!$E$19+H949)</f>
        <v/>
      </c>
      <c r="K949" s="132">
        <f t="shared" si="36"/>
        <v>0</v>
      </c>
      <c r="L949" s="132">
        <f t="shared" si="37"/>
        <v>949</v>
      </c>
      <c r="N949" s="143"/>
    </row>
    <row r="950" spans="2:14">
      <c r="B950" s="130"/>
      <c r="J950" t="str">
        <f>IF(H950="","",$P$6-'Script Table'!$E$15-'Script Table'!$E$19+H950)</f>
        <v/>
      </c>
      <c r="K950" s="132">
        <f t="shared" si="36"/>
        <v>0</v>
      </c>
      <c r="L950" s="132">
        <f t="shared" si="37"/>
        <v>950</v>
      </c>
      <c r="N950" s="143"/>
    </row>
    <row r="951" spans="2:14">
      <c r="B951" s="130"/>
      <c r="J951" t="str">
        <f>IF(H951="","",$P$6-'Script Table'!$E$15-'Script Table'!$E$19+H951)</f>
        <v/>
      </c>
      <c r="K951" s="132">
        <f t="shared" si="36"/>
        <v>0</v>
      </c>
      <c r="L951" s="132">
        <f t="shared" si="37"/>
        <v>951</v>
      </c>
      <c r="N951" s="143"/>
    </row>
    <row r="952" spans="2:14">
      <c r="B952" s="130"/>
      <c r="J952" t="str">
        <f>IF(H952="","",$P$6-'Script Table'!$E$15-'Script Table'!$E$19+H952)</f>
        <v/>
      </c>
      <c r="K952" s="132">
        <f t="shared" si="36"/>
        <v>0</v>
      </c>
      <c r="L952" s="132">
        <f t="shared" si="37"/>
        <v>952</v>
      </c>
      <c r="N952" s="143"/>
    </row>
    <row r="953" spans="2:14">
      <c r="B953" s="130"/>
      <c r="J953" t="str">
        <f>IF(H953="","",$P$6-'Script Table'!$E$15-'Script Table'!$E$19+H953)</f>
        <v/>
      </c>
      <c r="K953" s="132">
        <f t="shared" si="36"/>
        <v>0</v>
      </c>
      <c r="L953" s="132">
        <f t="shared" si="37"/>
        <v>953</v>
      </c>
      <c r="N953" s="143"/>
    </row>
    <row r="954" spans="2:14">
      <c r="B954" s="130"/>
      <c r="J954" t="str">
        <f>IF(H954="","",$P$6-'Script Table'!$E$15-'Script Table'!$E$19+H954)</f>
        <v/>
      </c>
      <c r="K954" s="132">
        <f t="shared" si="36"/>
        <v>0</v>
      </c>
      <c r="L954" s="132">
        <f t="shared" si="37"/>
        <v>954</v>
      </c>
      <c r="N954" s="143"/>
    </row>
    <row r="955" spans="2:14">
      <c r="B955" s="130"/>
      <c r="J955" t="str">
        <f>IF(H955="","",$P$6-'Script Table'!$E$15-'Script Table'!$E$19+H955)</f>
        <v/>
      </c>
      <c r="K955" s="132">
        <f t="shared" si="36"/>
        <v>0</v>
      </c>
      <c r="L955" s="132">
        <f t="shared" si="37"/>
        <v>955</v>
      </c>
      <c r="N955" s="143"/>
    </row>
    <row r="956" spans="2:14">
      <c r="B956" s="130"/>
      <c r="J956" t="str">
        <f>IF(H956="","",$P$6-'Script Table'!$E$15-'Script Table'!$E$19+H956)</f>
        <v/>
      </c>
      <c r="K956" s="132">
        <f t="shared" si="36"/>
        <v>0</v>
      </c>
      <c r="L956" s="132">
        <f t="shared" si="37"/>
        <v>956</v>
      </c>
      <c r="N956" s="143"/>
    </row>
    <row r="957" spans="2:14">
      <c r="B957" s="130"/>
      <c r="J957" t="str">
        <f>IF(H957="","",$P$6-'Script Table'!$E$15-'Script Table'!$E$19+H957)</f>
        <v/>
      </c>
      <c r="K957" s="132">
        <f t="shared" si="36"/>
        <v>0</v>
      </c>
      <c r="L957" s="132">
        <f t="shared" si="37"/>
        <v>957</v>
      </c>
      <c r="N957" s="143"/>
    </row>
    <row r="958" spans="2:14">
      <c r="B958" s="130"/>
      <c r="J958" t="str">
        <f>IF(H958="","",$P$6-'Script Table'!$E$15-'Script Table'!$E$19+H958)</f>
        <v/>
      </c>
      <c r="K958" s="132">
        <f t="shared" si="36"/>
        <v>0</v>
      </c>
      <c r="L958" s="132">
        <f t="shared" si="37"/>
        <v>958</v>
      </c>
      <c r="N958" s="143"/>
    </row>
    <row r="959" spans="2:14">
      <c r="B959" s="130"/>
      <c r="J959" t="str">
        <f>IF(H959="","",$P$6-'Script Table'!$E$15-'Script Table'!$E$19+H959)</f>
        <v/>
      </c>
      <c r="K959" s="132">
        <f t="shared" si="36"/>
        <v>0</v>
      </c>
      <c r="L959" s="132">
        <f t="shared" si="37"/>
        <v>959</v>
      </c>
      <c r="N959" s="143"/>
    </row>
    <row r="960" spans="2:14">
      <c r="B960" s="130"/>
      <c r="J960" t="str">
        <f>IF(H960="","",$P$6-'Script Table'!$E$15-'Script Table'!$E$19+H960)</f>
        <v/>
      </c>
      <c r="K960" s="132">
        <f t="shared" si="36"/>
        <v>0</v>
      </c>
      <c r="L960" s="132">
        <f t="shared" si="37"/>
        <v>960</v>
      </c>
      <c r="N960" s="143"/>
    </row>
    <row r="961" spans="2:14">
      <c r="B961" s="130"/>
      <c r="J961" t="str">
        <f>IF(H961="","",$P$6-'Script Table'!$E$15-'Script Table'!$E$19+H961)</f>
        <v/>
      </c>
      <c r="K961" s="132">
        <f t="shared" si="36"/>
        <v>0</v>
      </c>
      <c r="L961" s="132">
        <f t="shared" si="37"/>
        <v>961</v>
      </c>
      <c r="N961" s="143"/>
    </row>
    <row r="962" spans="2:14">
      <c r="B962" s="130"/>
      <c r="J962" t="str">
        <f>IF(H962="","",$P$6-'Script Table'!$E$15-'Script Table'!$E$19+H962)</f>
        <v/>
      </c>
      <c r="K962" s="132">
        <f t="shared" si="36"/>
        <v>0</v>
      </c>
      <c r="L962" s="132">
        <f t="shared" si="37"/>
        <v>962</v>
      </c>
      <c r="N962" s="143"/>
    </row>
    <row r="963" spans="2:14">
      <c r="B963" s="130"/>
      <c r="J963" t="str">
        <f>IF(H963="","",$P$6-'Script Table'!$E$15-'Script Table'!$E$19+H963)</f>
        <v/>
      </c>
      <c r="K963" s="132">
        <f t="shared" si="36"/>
        <v>0</v>
      </c>
      <c r="L963" s="132">
        <f t="shared" si="37"/>
        <v>963</v>
      </c>
      <c r="N963" s="143"/>
    </row>
    <row r="964" spans="2:14">
      <c r="B964" s="130"/>
      <c r="J964" t="str">
        <f>IF(H964="","",$P$6-'Script Table'!$E$15-'Script Table'!$E$19+H964)</f>
        <v/>
      </c>
      <c r="K964" s="132">
        <f t="shared" ref="K964:K999" si="38">F964</f>
        <v>0</v>
      </c>
      <c r="L964" s="132">
        <f t="shared" si="37"/>
        <v>964</v>
      </c>
      <c r="N964" s="143"/>
    </row>
    <row r="965" spans="2:14">
      <c r="B965" s="130"/>
      <c r="J965" t="str">
        <f>IF(H965="","",$P$6-'Script Table'!$E$15-'Script Table'!$E$19+H965)</f>
        <v/>
      </c>
      <c r="K965" s="132">
        <f t="shared" si="38"/>
        <v>0</v>
      </c>
      <c r="L965" s="132">
        <f t="shared" si="37"/>
        <v>965</v>
      </c>
      <c r="N965" s="143"/>
    </row>
    <row r="966" spans="2:14">
      <c r="B966" s="130"/>
      <c r="J966" t="str">
        <f>IF(H966="","",$P$6-'Script Table'!$E$15-'Script Table'!$E$19+H966)</f>
        <v/>
      </c>
      <c r="K966" s="132">
        <f t="shared" si="38"/>
        <v>0</v>
      </c>
      <c r="L966" s="132">
        <f t="shared" ref="L966:L999" si="39">L965+1</f>
        <v>966</v>
      </c>
      <c r="N966" s="143"/>
    </row>
    <row r="967" spans="2:14">
      <c r="B967" s="130"/>
      <c r="J967" t="str">
        <f>IF(H967="","",$P$6-'Script Table'!$E$15-'Script Table'!$E$19+H967)</f>
        <v/>
      </c>
      <c r="K967" s="132">
        <f t="shared" si="38"/>
        <v>0</v>
      </c>
      <c r="L967" s="132">
        <f t="shared" si="39"/>
        <v>967</v>
      </c>
      <c r="N967" s="143"/>
    </row>
    <row r="968" spans="2:14">
      <c r="B968" s="130"/>
      <c r="J968" t="str">
        <f>IF(H968="","",$P$6-'Script Table'!$E$15-'Script Table'!$E$19+H968)</f>
        <v/>
      </c>
      <c r="K968" s="132">
        <f t="shared" si="38"/>
        <v>0</v>
      </c>
      <c r="L968" s="132">
        <f t="shared" si="39"/>
        <v>968</v>
      </c>
      <c r="N968" s="143"/>
    </row>
    <row r="969" spans="2:14">
      <c r="B969" s="130"/>
      <c r="J969" t="str">
        <f>IF(H969="","",$P$6-'Script Table'!$E$15-'Script Table'!$E$19+H969)</f>
        <v/>
      </c>
      <c r="K969" s="132">
        <f t="shared" si="38"/>
        <v>0</v>
      </c>
      <c r="L969" s="132">
        <f t="shared" si="39"/>
        <v>969</v>
      </c>
      <c r="N969" s="143"/>
    </row>
    <row r="970" spans="2:14">
      <c r="B970" s="130"/>
      <c r="J970" t="str">
        <f>IF(H970="","",$P$6-'Script Table'!$E$15-'Script Table'!$E$19+H970)</f>
        <v/>
      </c>
      <c r="K970" s="132">
        <f t="shared" si="38"/>
        <v>0</v>
      </c>
      <c r="L970" s="132">
        <f t="shared" si="39"/>
        <v>970</v>
      </c>
      <c r="N970" s="143"/>
    </row>
    <row r="971" spans="2:14">
      <c r="B971" s="130"/>
      <c r="J971" t="str">
        <f>IF(H971="","",$P$6-'Script Table'!$E$15-'Script Table'!$E$19+H971)</f>
        <v/>
      </c>
      <c r="K971" s="132">
        <f t="shared" si="38"/>
        <v>0</v>
      </c>
      <c r="L971" s="132">
        <f t="shared" si="39"/>
        <v>971</v>
      </c>
      <c r="N971" s="143"/>
    </row>
    <row r="972" spans="2:14">
      <c r="B972" s="130"/>
      <c r="J972" t="str">
        <f>IF(H972="","",$P$6-'Script Table'!$E$15-'Script Table'!$E$19+H972)</f>
        <v/>
      </c>
      <c r="K972" s="132">
        <f t="shared" si="38"/>
        <v>0</v>
      </c>
      <c r="L972" s="132">
        <f t="shared" si="39"/>
        <v>972</v>
      </c>
      <c r="N972" s="143"/>
    </row>
    <row r="973" spans="2:14">
      <c r="B973" s="130"/>
      <c r="J973" t="str">
        <f>IF(H973="","",$P$6-'Script Table'!$E$15-'Script Table'!$E$19+H973)</f>
        <v/>
      </c>
      <c r="K973" s="132">
        <f t="shared" si="38"/>
        <v>0</v>
      </c>
      <c r="L973" s="132">
        <f t="shared" si="39"/>
        <v>973</v>
      </c>
      <c r="N973" s="143"/>
    </row>
    <row r="974" spans="2:14">
      <c r="B974" s="130"/>
      <c r="J974" t="str">
        <f>IF(H974="","",$P$6-'Script Table'!$E$15-'Script Table'!$E$19+H974)</f>
        <v/>
      </c>
      <c r="K974" s="132">
        <f t="shared" si="38"/>
        <v>0</v>
      </c>
      <c r="L974" s="132">
        <f t="shared" si="39"/>
        <v>974</v>
      </c>
      <c r="N974" s="143"/>
    </row>
    <row r="975" spans="2:14">
      <c r="B975" s="130"/>
      <c r="J975" t="str">
        <f>IF(H975="","",$P$6-'Script Table'!$E$15-'Script Table'!$E$19+H975)</f>
        <v/>
      </c>
      <c r="K975" s="132">
        <f t="shared" si="38"/>
        <v>0</v>
      </c>
      <c r="L975" s="132">
        <f t="shared" si="39"/>
        <v>975</v>
      </c>
      <c r="N975" s="143"/>
    </row>
    <row r="976" spans="2:14">
      <c r="B976" s="130"/>
      <c r="J976" t="str">
        <f>IF(H976="","",$P$6-'Script Table'!$E$15-'Script Table'!$E$19+H976)</f>
        <v/>
      </c>
      <c r="K976" s="132">
        <f t="shared" si="38"/>
        <v>0</v>
      </c>
      <c r="L976" s="132">
        <f t="shared" si="39"/>
        <v>976</v>
      </c>
      <c r="N976" s="143"/>
    </row>
    <row r="977" spans="2:14">
      <c r="B977" s="130"/>
      <c r="J977" t="str">
        <f>IF(H977="","",$P$6-'Script Table'!$E$15-'Script Table'!$E$19+H977)</f>
        <v/>
      </c>
      <c r="K977" s="132">
        <f t="shared" si="38"/>
        <v>0</v>
      </c>
      <c r="L977" s="132">
        <f t="shared" si="39"/>
        <v>977</v>
      </c>
      <c r="N977" s="143"/>
    </row>
    <row r="978" spans="2:14">
      <c r="B978" s="130"/>
      <c r="J978" t="str">
        <f>IF(H978="","",$P$6-'Script Table'!$E$15-'Script Table'!$E$19+H978)</f>
        <v/>
      </c>
      <c r="K978" s="132">
        <f t="shared" si="38"/>
        <v>0</v>
      </c>
      <c r="L978" s="132">
        <f t="shared" si="39"/>
        <v>978</v>
      </c>
      <c r="N978" s="143"/>
    </row>
    <row r="979" spans="2:14">
      <c r="B979" s="130"/>
      <c r="J979" t="str">
        <f>IF(H979="","",$P$6-'Script Table'!$E$15-'Script Table'!$E$19+H979)</f>
        <v/>
      </c>
      <c r="K979" s="132">
        <f t="shared" si="38"/>
        <v>0</v>
      </c>
      <c r="L979" s="132">
        <f t="shared" si="39"/>
        <v>979</v>
      </c>
      <c r="N979" s="143"/>
    </row>
    <row r="980" spans="2:14">
      <c r="B980" s="130"/>
      <c r="J980" t="str">
        <f>IF(H980="","",$P$6-'Script Table'!$E$15-'Script Table'!$E$19+H980)</f>
        <v/>
      </c>
      <c r="K980" s="132">
        <f t="shared" si="38"/>
        <v>0</v>
      </c>
      <c r="L980" s="132">
        <f t="shared" si="39"/>
        <v>980</v>
      </c>
      <c r="N980" s="143"/>
    </row>
    <row r="981" spans="2:14">
      <c r="B981" s="130"/>
      <c r="J981" t="str">
        <f>IF(H981="","",$P$6-'Script Table'!$E$15-'Script Table'!$E$19+H981)</f>
        <v/>
      </c>
      <c r="K981" s="132">
        <f t="shared" si="38"/>
        <v>0</v>
      </c>
      <c r="L981" s="132">
        <f t="shared" si="39"/>
        <v>981</v>
      </c>
      <c r="N981" s="143"/>
    </row>
    <row r="982" spans="2:14">
      <c r="B982" s="130"/>
      <c r="J982" t="str">
        <f>IF(H982="","",$P$6-'Script Table'!$E$15-'Script Table'!$E$19+H982)</f>
        <v/>
      </c>
      <c r="K982" s="132">
        <f t="shared" si="38"/>
        <v>0</v>
      </c>
      <c r="L982" s="132">
        <f t="shared" si="39"/>
        <v>982</v>
      </c>
      <c r="N982" s="143"/>
    </row>
    <row r="983" spans="2:14">
      <c r="B983" s="130"/>
      <c r="J983" t="str">
        <f>IF(H983="","",$P$6-'Script Table'!$E$15-'Script Table'!$E$19+H983)</f>
        <v/>
      </c>
      <c r="K983" s="132">
        <f t="shared" si="38"/>
        <v>0</v>
      </c>
      <c r="L983" s="132">
        <f t="shared" si="39"/>
        <v>983</v>
      </c>
      <c r="N983" s="143"/>
    </row>
    <row r="984" spans="2:14">
      <c r="B984" s="130"/>
      <c r="J984" t="str">
        <f>IF(H984="","",$P$6-'Script Table'!$E$15-'Script Table'!$E$19+H984)</f>
        <v/>
      </c>
      <c r="K984" s="132">
        <f t="shared" si="38"/>
        <v>0</v>
      </c>
      <c r="L984" s="132">
        <f t="shared" si="39"/>
        <v>984</v>
      </c>
      <c r="N984" s="143"/>
    </row>
    <row r="985" spans="2:14">
      <c r="B985" s="130"/>
      <c r="J985" t="str">
        <f>IF(H985="","",$P$6-'Script Table'!$E$15-'Script Table'!$E$19+H985)</f>
        <v/>
      </c>
      <c r="K985" s="132">
        <f t="shared" si="38"/>
        <v>0</v>
      </c>
      <c r="L985" s="132">
        <f t="shared" si="39"/>
        <v>985</v>
      </c>
      <c r="N985" s="143"/>
    </row>
    <row r="986" spans="2:14">
      <c r="B986" s="130"/>
      <c r="J986" t="str">
        <f>IF(H986="","",$P$6-'Script Table'!$E$15-'Script Table'!$E$19+H986)</f>
        <v/>
      </c>
      <c r="K986" s="132">
        <f t="shared" si="38"/>
        <v>0</v>
      </c>
      <c r="L986" s="132">
        <f t="shared" si="39"/>
        <v>986</v>
      </c>
      <c r="N986" s="143"/>
    </row>
    <row r="987" spans="2:14">
      <c r="B987" s="130"/>
      <c r="J987" t="str">
        <f>IF(H987="","",$P$6-'Script Table'!$E$15-'Script Table'!$E$19+H987)</f>
        <v/>
      </c>
      <c r="K987" s="132">
        <f t="shared" si="38"/>
        <v>0</v>
      </c>
      <c r="L987" s="132">
        <f t="shared" si="39"/>
        <v>987</v>
      </c>
      <c r="N987" s="143"/>
    </row>
    <row r="988" spans="2:14">
      <c r="B988" s="130"/>
      <c r="J988" t="str">
        <f>IF(H988="","",$P$6-'Script Table'!$E$15-'Script Table'!$E$19+H988)</f>
        <v/>
      </c>
      <c r="K988" s="132">
        <f t="shared" si="38"/>
        <v>0</v>
      </c>
      <c r="L988" s="132">
        <f t="shared" si="39"/>
        <v>988</v>
      </c>
      <c r="N988" s="143"/>
    </row>
    <row r="989" spans="2:14">
      <c r="B989" s="130"/>
      <c r="J989" t="str">
        <f>IF(H989="","",$P$6-'Script Table'!$E$15-'Script Table'!$E$19+H989)</f>
        <v/>
      </c>
      <c r="K989" s="132">
        <f t="shared" si="38"/>
        <v>0</v>
      </c>
      <c r="L989" s="132">
        <f t="shared" si="39"/>
        <v>989</v>
      </c>
      <c r="N989" s="143"/>
    </row>
    <row r="990" spans="2:14">
      <c r="B990" s="130"/>
      <c r="J990" t="str">
        <f>IF(H990="","",$P$6-'Script Table'!$E$15-'Script Table'!$E$19+H990)</f>
        <v/>
      </c>
      <c r="K990" s="132">
        <f t="shared" si="38"/>
        <v>0</v>
      </c>
      <c r="L990" s="132">
        <f t="shared" si="39"/>
        <v>990</v>
      </c>
      <c r="N990" s="143"/>
    </row>
    <row r="991" spans="2:14">
      <c r="B991" s="130"/>
      <c r="J991" t="str">
        <f>IF(H991="","",$P$6-'Script Table'!$E$15-'Script Table'!$E$19+H991)</f>
        <v/>
      </c>
      <c r="K991" s="132">
        <f t="shared" si="38"/>
        <v>0</v>
      </c>
      <c r="L991" s="132">
        <f t="shared" si="39"/>
        <v>991</v>
      </c>
      <c r="N991" s="143"/>
    </row>
    <row r="992" spans="2:14">
      <c r="B992" s="130"/>
      <c r="J992" t="str">
        <f>IF(H992="","",$P$6-'Script Table'!$E$15-'Script Table'!$E$19+H992)</f>
        <v/>
      </c>
      <c r="K992" s="132">
        <f t="shared" si="38"/>
        <v>0</v>
      </c>
      <c r="L992" s="132">
        <f t="shared" si="39"/>
        <v>992</v>
      </c>
      <c r="N992" s="143"/>
    </row>
    <row r="993" spans="2:14">
      <c r="B993" s="130"/>
      <c r="J993" t="str">
        <f>IF(H993="","",$P$6-'Script Table'!$E$15-'Script Table'!$E$19+H993)</f>
        <v/>
      </c>
      <c r="K993" s="132">
        <f t="shared" si="38"/>
        <v>0</v>
      </c>
      <c r="L993" s="132">
        <f t="shared" si="39"/>
        <v>993</v>
      </c>
      <c r="N993" s="143"/>
    </row>
    <row r="994" spans="2:14">
      <c r="B994" s="130"/>
      <c r="J994" t="str">
        <f>IF(H994="","",$P$6-'Script Table'!$E$15-'Script Table'!$E$19+H994)</f>
        <v/>
      </c>
      <c r="K994" s="132">
        <f t="shared" si="38"/>
        <v>0</v>
      </c>
      <c r="L994" s="132">
        <f t="shared" si="39"/>
        <v>994</v>
      </c>
      <c r="N994" s="143"/>
    </row>
    <row r="995" spans="2:14">
      <c r="B995" s="130"/>
      <c r="J995" t="str">
        <f>IF(H995="","",$P$6-'Script Table'!$E$15-'Script Table'!$E$19+H995)</f>
        <v/>
      </c>
      <c r="K995" s="132">
        <f t="shared" si="38"/>
        <v>0</v>
      </c>
      <c r="L995" s="132">
        <f t="shared" si="39"/>
        <v>995</v>
      </c>
      <c r="N995" s="143"/>
    </row>
    <row r="996" spans="2:14">
      <c r="B996" s="130"/>
      <c r="J996" t="str">
        <f>IF(H996="","",$P$6-'Script Table'!$E$15-'Script Table'!$E$19+H996)</f>
        <v/>
      </c>
      <c r="K996" s="132">
        <f t="shared" si="38"/>
        <v>0</v>
      </c>
      <c r="L996" s="132">
        <f t="shared" si="39"/>
        <v>996</v>
      </c>
      <c r="N996" s="143"/>
    </row>
    <row r="997" spans="2:14">
      <c r="B997" s="130"/>
      <c r="J997" t="str">
        <f>IF(H997="","",$P$6-'Script Table'!$E$15-'Script Table'!$E$19+H997)</f>
        <v/>
      </c>
      <c r="K997" s="132">
        <f t="shared" si="38"/>
        <v>0</v>
      </c>
      <c r="L997" s="132">
        <f t="shared" si="39"/>
        <v>997</v>
      </c>
      <c r="N997" s="143"/>
    </row>
    <row r="998" spans="2:14">
      <c r="B998" s="130"/>
      <c r="J998" t="str">
        <f>IF(H998="","",$P$6-'Script Table'!$E$15-'Script Table'!$E$19+H998)</f>
        <v/>
      </c>
      <c r="K998" s="132">
        <f t="shared" si="38"/>
        <v>0</v>
      </c>
      <c r="L998" s="132">
        <f t="shared" si="39"/>
        <v>998</v>
      </c>
      <c r="N998" s="143"/>
    </row>
    <row r="999" spans="2:14" ht="12.95" thickBot="1">
      <c r="B999" s="138"/>
      <c r="C999" s="139"/>
      <c r="D999" s="139"/>
      <c r="E999" s="139"/>
      <c r="F999" s="139"/>
      <c r="G999" s="139"/>
      <c r="H999" s="139"/>
      <c r="I999" s="139"/>
      <c r="J999" t="str">
        <f>IF(H999="","",$P$6-'Script Table'!$E$15-'Script Table'!$E$19+H999)</f>
        <v/>
      </c>
      <c r="K999" s="132">
        <f t="shared" si="38"/>
        <v>0</v>
      </c>
      <c r="L999" s="150">
        <f t="shared" si="39"/>
        <v>999</v>
      </c>
      <c r="M999" s="150"/>
      <c r="N999" s="144"/>
    </row>
  </sheetData>
  <mergeCells count="15">
    <mergeCell ref="P20:Q20"/>
    <mergeCell ref="AD1:AJ1"/>
    <mergeCell ref="P8:T8"/>
    <mergeCell ref="P12:T12"/>
    <mergeCell ref="P16:T16"/>
    <mergeCell ref="P4:T4"/>
    <mergeCell ref="R20:S20"/>
    <mergeCell ref="B2:C2"/>
    <mergeCell ref="D2:E2"/>
    <mergeCell ref="F2:G2"/>
    <mergeCell ref="L2:L3"/>
    <mergeCell ref="M2:N2"/>
    <mergeCell ref="H2:I2"/>
    <mergeCell ref="J2:J3"/>
    <mergeCell ref="K2:K3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B1000"/>
  <sheetViews>
    <sheetView workbookViewId="0"/>
  </sheetViews>
  <sheetFormatPr defaultRowHeight="12.6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2.95" thickBot="1">
      <c r="AA1" s="323"/>
      <c r="AB1" s="323"/>
    </row>
    <row r="2" spans="2:28" ht="12.95">
      <c r="B2" s="538" t="s">
        <v>487</v>
      </c>
      <c r="C2" s="539"/>
      <c r="D2" s="538" t="s">
        <v>488</v>
      </c>
      <c r="E2" s="539"/>
      <c r="F2" s="538" t="s">
        <v>489</v>
      </c>
      <c r="G2" s="540"/>
      <c r="H2" s="538" t="s">
        <v>513</v>
      </c>
      <c r="I2" s="539"/>
      <c r="J2" s="550" t="s">
        <v>490</v>
      </c>
      <c r="K2" s="539"/>
      <c r="L2" s="538" t="s">
        <v>493</v>
      </c>
      <c r="M2" s="539"/>
      <c r="N2" s="560" t="s">
        <v>471</v>
      </c>
      <c r="AA2" s="172"/>
      <c r="AB2" s="172" t="str">
        <f>IFERROR(VALUE(RIGHT(AA2,LEN(AA2)-MIN(FIND({0;1;2;3;4;5;6;7;8;9},AA2&amp;"0123456789"))+1)),"")</f>
        <v/>
      </c>
    </row>
    <row r="3" spans="2:28" ht="13.5" thickBot="1">
      <c r="B3" s="157" t="s">
        <v>495</v>
      </c>
      <c r="C3" s="158" t="s">
        <v>376</v>
      </c>
      <c r="D3" s="157" t="s">
        <v>495</v>
      </c>
      <c r="E3" s="158" t="s">
        <v>361</v>
      </c>
      <c r="F3" s="157" t="s">
        <v>495</v>
      </c>
      <c r="G3" s="164" t="s">
        <v>496</v>
      </c>
      <c r="H3" s="134" t="s">
        <v>495</v>
      </c>
      <c r="I3" s="135" t="s">
        <v>376</v>
      </c>
      <c r="J3" s="165" t="s">
        <v>495</v>
      </c>
      <c r="K3" s="158" t="s">
        <v>496</v>
      </c>
      <c r="L3" s="157" t="s">
        <v>495</v>
      </c>
      <c r="M3" s="158" t="s">
        <v>385</v>
      </c>
      <c r="N3" s="561"/>
      <c r="AA3" s="172"/>
      <c r="AB3" s="172" t="str">
        <f>IFERROR(VALUE(RIGHT(AA3,LEN(AA3)-MIN(FIND({0;1;2;3;4;5;6;7;8;9},AA3&amp;"0123456789"))+1)),"")</f>
        <v/>
      </c>
    </row>
    <row r="4" spans="2:28" ht="13.5" thickBot="1">
      <c r="B4" s="130">
        <v>0</v>
      </c>
      <c r="C4" s="159">
        <v>27.482322711147098</v>
      </c>
      <c r="D4">
        <v>0</v>
      </c>
      <c r="E4" s="159">
        <v>-1409.8691608337053</v>
      </c>
      <c r="F4">
        <v>0</v>
      </c>
      <c r="G4" s="159">
        <v>829.98516916629455</v>
      </c>
      <c r="H4">
        <v>0</v>
      </c>
      <c r="I4" s="160">
        <v>17.552571330245556</v>
      </c>
      <c r="J4">
        <v>0</v>
      </c>
      <c r="K4" s="159">
        <v>2.2759519692112917</v>
      </c>
      <c r="L4">
        <v>0</v>
      </c>
      <c r="M4" s="159">
        <v>179.89957499426578</v>
      </c>
      <c r="N4" s="143">
        <v>4</v>
      </c>
      <c r="P4" s="547" t="s">
        <v>360</v>
      </c>
      <c r="Q4" s="548"/>
      <c r="R4" s="548"/>
      <c r="S4" s="549"/>
      <c r="V4" s="556" t="s">
        <v>514</v>
      </c>
      <c r="W4" s="557"/>
      <c r="X4" s="557"/>
      <c r="Y4" s="558"/>
      <c r="AA4" s="172"/>
      <c r="AB4" s="172" t="str">
        <f>IFERROR(VALUE(RIGHT(AA4,LEN(AA4)-MIN(FIND({0;1;2;3;4;5;6;7;8;9},AA4&amp;"0123456789"))+1)),"")</f>
        <v/>
      </c>
    </row>
    <row r="5" spans="2:28" ht="12.95">
      <c r="B5" s="130">
        <v>4.0016717557251908</v>
      </c>
      <c r="C5" s="160">
        <v>27.489348597466549</v>
      </c>
      <c r="D5">
        <v>4.0016717557251908</v>
      </c>
      <c r="E5" s="160">
        <v>-1413.8776567085015</v>
      </c>
      <c r="F5">
        <v>4.0016717557251908</v>
      </c>
      <c r="G5" s="160">
        <v>825.9766732914984</v>
      </c>
      <c r="H5">
        <v>0.19934482758620689</v>
      </c>
      <c r="I5" s="160">
        <v>17.353234894863487</v>
      </c>
      <c r="J5">
        <v>0.19934482758620689</v>
      </c>
      <c r="K5" s="160">
        <v>2.2741870564846067</v>
      </c>
      <c r="L5">
        <v>2.0008358778625954</v>
      </c>
      <c r="M5" s="160">
        <v>179.89957499426581</v>
      </c>
      <c r="N5" s="143">
        <f>N4+1</f>
        <v>5</v>
      </c>
      <c r="P5" s="136" t="s">
        <v>499</v>
      </c>
      <c r="Q5" s="133" t="s">
        <v>376</v>
      </c>
      <c r="R5" s="133" t="s">
        <v>361</v>
      </c>
      <c r="S5" s="137" t="s">
        <v>471</v>
      </c>
      <c r="V5" s="538" t="s">
        <v>515</v>
      </c>
      <c r="W5" s="559"/>
      <c r="X5" s="559"/>
      <c r="Y5" s="539"/>
      <c r="AA5" s="172"/>
      <c r="AB5" s="172" t="str">
        <f>IFERROR(VALUE(RIGHT(AA5,LEN(AA5)-MIN(FIND({0;1;2;3;4;5;6;7;8;9},AA5&amp;"0123456789"))+1)),"")</f>
        <v/>
      </c>
    </row>
    <row r="6" spans="2:28" ht="13.5" customHeight="1" thickBot="1">
      <c r="B6" s="130">
        <v>8.0033435114503817</v>
      </c>
      <c r="C6" s="160">
        <v>27.496407716399951</v>
      </c>
      <c r="D6">
        <v>8.0033435114503817</v>
      </c>
      <c r="E6" s="160">
        <v>-1417.8861194271042</v>
      </c>
      <c r="F6">
        <v>8.0033435114503817</v>
      </c>
      <c r="G6" s="160">
        <v>821.96821057289571</v>
      </c>
      <c r="H6">
        <v>0.39868965517241378</v>
      </c>
      <c r="I6" s="160">
        <v>17.153970712277431</v>
      </c>
      <c r="J6">
        <v>0.39868965517241378</v>
      </c>
      <c r="K6" s="160">
        <v>2.2685366343775968</v>
      </c>
      <c r="L6">
        <v>6.0025076335877863</v>
      </c>
      <c r="M6" s="160">
        <v>179.89909914791718</v>
      </c>
      <c r="N6" s="143">
        <f t="shared" ref="N6:N69" si="0">N5+1</f>
        <v>6</v>
      </c>
      <c r="P6" s="140">
        <f>MAX(B4:B999)</f>
        <v>852.2190000000071</v>
      </c>
      <c r="Q6" s="141">
        <f>VLOOKUP(P6,B:C,2,FALSE)</f>
        <v>9.9526576534674334</v>
      </c>
      <c r="R6" s="141">
        <f>VLOOKUP(P6,D:E,2,FALSE)</f>
        <v>-2236.1900683441818</v>
      </c>
      <c r="S6" s="142">
        <f>VLOOKUP(P6,F:N,7,FALSE)</f>
        <v>851.10950000000707</v>
      </c>
      <c r="V6" s="562" t="s">
        <v>499</v>
      </c>
      <c r="W6" s="563"/>
      <c r="X6" s="566" t="s">
        <v>471</v>
      </c>
      <c r="Y6" s="567"/>
      <c r="AA6" s="172" t="s">
        <v>516</v>
      </c>
      <c r="AB6" s="172" t="str">
        <f>IFERROR(VALUE(RIGHT(AA6,LEN(AA6)-MIN(FIND({0;1;2;3;4;5;6;7;8;9},AA6&amp;"0123456789"))+1)),"")</f>
        <v/>
      </c>
    </row>
    <row r="7" spans="2:28" ht="12.95" thickBot="1">
      <c r="B7" s="130">
        <v>12.005015267175573</v>
      </c>
      <c r="C7" s="160">
        <v>27.503501293318507</v>
      </c>
      <c r="D7">
        <v>12.005015267175573</v>
      </c>
      <c r="E7" s="160">
        <v>-1421.8945489870694</v>
      </c>
      <c r="F7">
        <v>12.005015267175573</v>
      </c>
      <c r="G7" s="160">
        <v>817.95978101293053</v>
      </c>
      <c r="H7">
        <v>0.5980344827586207</v>
      </c>
      <c r="I7" s="160">
        <v>16.954827292993922</v>
      </c>
      <c r="J7">
        <v>0.5980344827586207</v>
      </c>
      <c r="K7" s="160">
        <v>2.2595897242622414</v>
      </c>
      <c r="L7">
        <v>10.004179389312977</v>
      </c>
      <c r="M7" s="160">
        <v>179.89860577846531</v>
      </c>
      <c r="N7" s="143">
        <f t="shared" si="0"/>
        <v>7</v>
      </c>
      <c r="V7" s="564">
        <f>P6-'Script Table'!E15-'Script Table'!E19</f>
        <v>844.2190000000071</v>
      </c>
      <c r="W7" s="565"/>
      <c r="X7" s="568">
        <f>MATCH(V7,F1:F999,1)</f>
        <v>554</v>
      </c>
      <c r="Y7" s="569"/>
      <c r="AA7" s="172"/>
      <c r="AB7" s="172" t="str">
        <f>IFERROR(VALUE(RIGHT(AA7,LEN(AA7)-MIN(FIND({0;1;2;3;4;5;6;7;8;9},AA7&amp;"0123456789"))+1)),"")</f>
        <v/>
      </c>
    </row>
    <row r="8" spans="2:28" ht="26.45" thickBot="1">
      <c r="B8" s="130">
        <v>16.006687022900763</v>
      </c>
      <c r="C8" s="160">
        <v>27.510629691550747</v>
      </c>
      <c r="D8">
        <v>16.006687022900763</v>
      </c>
      <c r="E8" s="160">
        <v>-1425.9029453874537</v>
      </c>
      <c r="F8">
        <v>16.006687022900763</v>
      </c>
      <c r="G8" s="160">
        <v>813.95138461254624</v>
      </c>
      <c r="H8">
        <v>0.79737931034482756</v>
      </c>
      <c r="I8" s="160">
        <v>16.75582895001974</v>
      </c>
      <c r="J8">
        <v>0.79737931034482756</v>
      </c>
      <c r="K8" s="160">
        <v>2.2478504459104443</v>
      </c>
      <c r="L8">
        <v>14.005851145038168</v>
      </c>
      <c r="M8" s="160">
        <v>179.89810720746198</v>
      </c>
      <c r="N8" s="143">
        <f t="shared" si="0"/>
        <v>8</v>
      </c>
      <c r="P8" s="553" t="s">
        <v>517</v>
      </c>
      <c r="Q8" s="554"/>
      <c r="R8" s="554"/>
      <c r="S8" s="555"/>
      <c r="T8" s="178" t="s">
        <v>518</v>
      </c>
      <c r="AA8" s="172"/>
      <c r="AB8" s="172" t="str">
        <f>IFERROR(VALUE(RIGHT(AA8,LEN(AA8)-MIN(FIND({0;1;2;3;4;5;6;7;8;9},AA8&amp;"0123456789"))+1)),"")</f>
        <v/>
      </c>
    </row>
    <row r="9" spans="2:28" ht="13.5" thickBot="1">
      <c r="B9" s="130">
        <v>20.008358778625954</v>
      </c>
      <c r="C9" s="160">
        <v>27.517793255906934</v>
      </c>
      <c r="D9">
        <v>20.008358778625954</v>
      </c>
      <c r="E9" s="160">
        <v>-1429.9113086273385</v>
      </c>
      <c r="F9">
        <v>20.008358778625954</v>
      </c>
      <c r="G9" s="160">
        <v>809.94302137266141</v>
      </c>
      <c r="H9">
        <v>0.99672413793103443</v>
      </c>
      <c r="I9" s="160">
        <v>16.556983536736432</v>
      </c>
      <c r="J9">
        <v>0.99672413793103443</v>
      </c>
      <c r="K9" s="160">
        <v>2.2337560588166525</v>
      </c>
      <c r="L9">
        <v>18.007522900763359</v>
      </c>
      <c r="M9" s="160">
        <v>179.89760369947925</v>
      </c>
      <c r="N9" s="143">
        <f t="shared" si="0"/>
        <v>9</v>
      </c>
      <c r="P9" s="136" t="s">
        <v>499</v>
      </c>
      <c r="Q9" s="133" t="s">
        <v>376</v>
      </c>
      <c r="R9" s="133" t="s">
        <v>361</v>
      </c>
      <c r="S9" s="162" t="s">
        <v>471</v>
      </c>
      <c r="T9" s="179"/>
      <c r="V9" s="147" t="s">
        <v>519</v>
      </c>
      <c r="W9" s="145">
        <f ca="1">Q18-Q6-X9</f>
        <v>23.790896336978356</v>
      </c>
      <c r="X9" s="155">
        <f ca="1">0.5*'Script Table'!E11*COS(RADIANS(180-VLOOKUP(P18,L:M,2)))</f>
        <v>0.14032908924649345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>
      <c r="B10" s="130">
        <v>24.010030534351145</v>
      </c>
      <c r="C10" s="160">
        <v>27.524992335682157</v>
      </c>
      <c r="D10">
        <v>24.010030534351145</v>
      </c>
      <c r="E10" s="160">
        <v>-1433.9196387057868</v>
      </c>
      <c r="F10">
        <v>24.010030534351145</v>
      </c>
      <c r="G10" s="160">
        <v>805.93469129421305</v>
      </c>
      <c r="H10">
        <v>1.1960689655172414</v>
      </c>
      <c r="I10" s="160">
        <v>16.358291786872446</v>
      </c>
      <c r="J10">
        <v>1.1960689655172414</v>
      </c>
      <c r="K10" s="160">
        <v>2.2176397668818026</v>
      </c>
      <c r="L10">
        <v>22.00919465648855</v>
      </c>
      <c r="M10" s="160">
        <v>179.89709519028764</v>
      </c>
      <c r="N10" s="143">
        <f t="shared" si="0"/>
        <v>10</v>
      </c>
      <c r="P10" s="140">
        <f ca="1">IF(T10="Não",INDIRECT("B"&amp;S10),INDIRECT("H"&amp;S10))</f>
        <v>831.61900000000514</v>
      </c>
      <c r="Q10" s="141">
        <f ca="1">IF(T10="Não",INDIRECT("C"&amp;S10),INDIRECT("I"&amp;S10))</f>
        <v>29.765185642232296</v>
      </c>
      <c r="R10" s="141">
        <f ca="1">IF(T10="Não",INDIRECT("E"&amp;S10))</f>
        <v>-2239.8676042168049</v>
      </c>
      <c r="S10" s="153">
        <f ca="1">IF(T10="Não",1+MATCH(0,G1:G999,-1),MATCH(0,K1:K999,-1))</f>
        <v>492</v>
      </c>
      <c r="T10" s="163" t="str">
        <f ca="1">IF(MIN(K4:K999)&gt;0,"Não",IF(MIN(INDIRECT("G4:G"&amp;X7))&gt;0,"Sim","Não"))</f>
        <v>Não</v>
      </c>
      <c r="V10" s="166" t="s">
        <v>520</v>
      </c>
      <c r="W10" s="167">
        <f ca="1">Q10-Q14</f>
        <v>4.1902835760653829</v>
      </c>
      <c r="AA10" s="172"/>
      <c r="AB10" s="172" t="str">
        <f>IFERROR(VALUE(RIGHT(AA10,LEN(AA10)-MIN(FIND({0;1;2;3;4;5;6;7;8;9},AA10&amp;"0123456789"))+1)),"")</f>
        <v/>
      </c>
    </row>
    <row r="11" spans="2:28" ht="12.95" thickBot="1">
      <c r="B11" s="130">
        <v>28.011702290076336</v>
      </c>
      <c r="C11" s="160">
        <v>27.532227285383534</v>
      </c>
      <c r="D11">
        <v>28.011702290076336</v>
      </c>
      <c r="E11" s="160">
        <v>-1437.9279356218444</v>
      </c>
      <c r="F11">
        <v>28.011702290076336</v>
      </c>
      <c r="G11" s="160">
        <v>801.92639437815546</v>
      </c>
      <c r="H11">
        <v>1.3954137931034483</v>
      </c>
      <c r="I11" s="160">
        <v>16.159752811330836</v>
      </c>
      <c r="J11">
        <v>1.3954137931034483</v>
      </c>
      <c r="K11" s="160">
        <v>2.1997396125984778</v>
      </c>
      <c r="L11">
        <v>26.010866412213741</v>
      </c>
      <c r="M11" s="160">
        <v>179.89658160526068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6.1">
      <c r="B12" s="130">
        <v>32.013374045801527</v>
      </c>
      <c r="C12" s="160">
        <v>27.539498464852244</v>
      </c>
      <c r="D12">
        <v>32.013374045801527</v>
      </c>
      <c r="E12" s="160">
        <v>-1441.9361993745365</v>
      </c>
      <c r="F12">
        <v>32.013374045801527</v>
      </c>
      <c r="G12" s="160">
        <v>797.91813062546339</v>
      </c>
      <c r="H12">
        <v>1.5947586206896551</v>
      </c>
      <c r="I12" s="160">
        <v>15.961363843771878</v>
      </c>
      <c r="J12">
        <v>1.5947586206896551</v>
      </c>
      <c r="K12" s="160">
        <v>2.1802473049597211</v>
      </c>
      <c r="L12">
        <v>30.012538167938931</v>
      </c>
      <c r="M12" s="160">
        <v>179.89606286802513</v>
      </c>
      <c r="N12" s="143">
        <f t="shared" si="0"/>
        <v>12</v>
      </c>
      <c r="P12" s="553" t="s">
        <v>521</v>
      </c>
      <c r="Q12" s="554"/>
      <c r="R12" s="554"/>
      <c r="S12" s="555"/>
      <c r="T12" s="178" t="s">
        <v>518</v>
      </c>
      <c r="AA12" s="172"/>
      <c r="AB12" s="172" t="str">
        <f>IFERROR(VALUE(RIGHT(AA12,LEN(AA12)-MIN(FIND({0;1;2;3;4;5;6;7;8;9},AA12&amp;"0123456789"))+1)),"")</f>
        <v/>
      </c>
    </row>
    <row r="13" spans="2:28" ht="12.95">
      <c r="B13" s="130">
        <v>36.015045801526718</v>
      </c>
      <c r="C13" s="160">
        <v>27.546806239371573</v>
      </c>
      <c r="D13">
        <v>36.015045801526718</v>
      </c>
      <c r="E13" s="160">
        <v>-1445.944429962869</v>
      </c>
      <c r="F13">
        <v>36.015045801526718</v>
      </c>
      <c r="G13" s="160">
        <v>793.90990003713091</v>
      </c>
      <c r="H13">
        <v>1.794103448275862</v>
      </c>
      <c r="I13" s="160">
        <v>15.763126142279093</v>
      </c>
      <c r="J13">
        <v>1.794103448275862</v>
      </c>
      <c r="K13" s="160">
        <v>2.1592726335729822</v>
      </c>
      <c r="L13">
        <v>34.014209923664126</v>
      </c>
      <c r="M13" s="160">
        <v>179.89553890066063</v>
      </c>
      <c r="N13" s="143">
        <f t="shared" si="0"/>
        <v>13</v>
      </c>
      <c r="P13" s="136" t="s">
        <v>499</v>
      </c>
      <c r="Q13" s="133" t="s">
        <v>376</v>
      </c>
      <c r="R13" s="133" t="s">
        <v>361</v>
      </c>
      <c r="S13" s="137" t="s">
        <v>471</v>
      </c>
      <c r="T13" s="179"/>
      <c r="AA13" s="172"/>
      <c r="AB13" s="172" t="str">
        <f>IFERROR(VALUE(RIGHT(AA13,LEN(AA13)-MIN(FIND({0;1;2;3;4;5;6;7;8;9},AA13&amp;"0123456789"))+1)),"")</f>
        <v/>
      </c>
    </row>
    <row r="14" spans="2:28" ht="12.95" thickBot="1">
      <c r="B14" s="130">
        <v>40.016717557251908</v>
      </c>
      <c r="C14" s="160">
        <v>27.554150979777212</v>
      </c>
      <c r="D14">
        <v>40.016717557251908</v>
      </c>
      <c r="E14" s="160">
        <v>-1449.952627385828</v>
      </c>
      <c r="F14">
        <v>40.016717557251908</v>
      </c>
      <c r="G14" s="160">
        <v>789.90170261417188</v>
      </c>
      <c r="H14">
        <v>1.9934482758620689</v>
      </c>
      <c r="I14" s="160">
        <v>15.56504883712614</v>
      </c>
      <c r="J14">
        <v>1.9934482758620689</v>
      </c>
      <c r="K14" s="160">
        <v>2.1368339723344434</v>
      </c>
      <c r="L14">
        <v>38.01588167938931</v>
      </c>
      <c r="M14" s="160">
        <v>179.8950096236677</v>
      </c>
      <c r="N14" s="143">
        <f t="shared" si="0"/>
        <v>14</v>
      </c>
      <c r="P14" s="140">
        <f ca="1">IF(T14="Não",INDIRECT("B"&amp;S14),INDIRECT("H"&amp;S14))</f>
        <v>835.8190000000061</v>
      </c>
      <c r="Q14" s="141">
        <f ca="1">IF(T14="Não",INDIRECT("C"&amp;S14),INDIRECT("I"&amp;S14))</f>
        <v>25.574902066166914</v>
      </c>
      <c r="R14" s="141">
        <f ca="1">IF(T14="Não",INDIRECT("E"&amp;S14))</f>
        <v>-2239.8610714767128</v>
      </c>
      <c r="S14" s="153">
        <f ca="1">IF(T14="Não",S10-1+MATCH(0,INDIRECT("G"&amp;S10&amp;":G999"),1),MATCH(0,K1:K1003,1))</f>
        <v>513</v>
      </c>
      <c r="T14" s="163" t="str">
        <f>IF(MIN(K4:K999)&gt;0,"Não","Sim")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2.95" thickBot="1">
      <c r="B15" s="130">
        <v>44.018389312977099</v>
      </c>
      <c r="C15" s="160">
        <v>27.561533062570398</v>
      </c>
      <c r="D15">
        <v>44.018389312977099</v>
      </c>
      <c r="E15" s="160">
        <v>-1453.9607916423786</v>
      </c>
      <c r="F15">
        <v>44.018389312977099</v>
      </c>
      <c r="G15" s="160">
        <v>785.89353835762131</v>
      </c>
      <c r="H15">
        <v>2.1927931034482757</v>
      </c>
      <c r="I15" s="160">
        <v>15.367151063166178</v>
      </c>
      <c r="J15">
        <v>2.1927931034482757</v>
      </c>
      <c r="K15" s="160">
        <v>2.1128586161994463</v>
      </c>
      <c r="L15">
        <v>42.017553435114507</v>
      </c>
      <c r="M15" s="160">
        <v>179.89447495592677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ht="12.95">
      <c r="B16" s="130">
        <v>48.02006106870229</v>
      </c>
      <c r="C16" s="160">
        <v>27.568952870033879</v>
      </c>
      <c r="D16">
        <v>48.02006106870229</v>
      </c>
      <c r="E16" s="160">
        <v>-1457.9689227314643</v>
      </c>
      <c r="F16">
        <v>48.02006106870229</v>
      </c>
      <c r="G16" s="160">
        <v>781.88540726853557</v>
      </c>
      <c r="H16">
        <v>2.3921379310344828</v>
      </c>
      <c r="I16" s="160">
        <v>15.169265061336189</v>
      </c>
      <c r="J16">
        <v>2.3921379310344828</v>
      </c>
      <c r="K16" s="160">
        <v>2.0887865141253315</v>
      </c>
      <c r="L16">
        <v>46.019225190839691</v>
      </c>
      <c r="M16" s="160">
        <v>179.89393481465788</v>
      </c>
      <c r="N16" s="143">
        <f t="shared" si="0"/>
        <v>16</v>
      </c>
      <c r="P16" s="547" t="s">
        <v>522</v>
      </c>
      <c r="Q16" s="548"/>
      <c r="R16" s="548"/>
      <c r="S16" s="549"/>
      <c r="AA16" s="171"/>
      <c r="AB16" s="172" t="str">
        <f>IFERROR(VALUE(RIGHT(AA16,LEN(AA16)-MIN(FIND({0;1;2;3;4;5;6;7;8;9},AA16&amp;"0123456789"))+1)),"")</f>
        <v/>
      </c>
    </row>
    <row r="17" spans="2:28" ht="12.95">
      <c r="B17" s="130">
        <v>52.021732824427481</v>
      </c>
      <c r="C17" s="160">
        <v>27.576410790350906</v>
      </c>
      <c r="D17">
        <v>52.021732824427481</v>
      </c>
      <c r="E17" s="160">
        <v>-1461.9770206520075</v>
      </c>
      <c r="F17">
        <v>52.021732824427481</v>
      </c>
      <c r="G17" s="160">
        <v>777.87730934799242</v>
      </c>
      <c r="H17">
        <v>2.5914827586206899</v>
      </c>
      <c r="I17" s="160">
        <v>14.971358255465537</v>
      </c>
      <c r="J17">
        <v>2.5914827586206899</v>
      </c>
      <c r="K17" s="160">
        <v>2.0648863295205047</v>
      </c>
      <c r="L17">
        <v>50.020896946564889</v>
      </c>
      <c r="M17" s="160">
        <v>179.89338911537749</v>
      </c>
      <c r="N17" s="143">
        <f t="shared" si="0"/>
        <v>17</v>
      </c>
      <c r="P17" s="136" t="s">
        <v>499</v>
      </c>
      <c r="Q17" s="133" t="s">
        <v>376</v>
      </c>
      <c r="R17" s="133" t="s">
        <v>361</v>
      </c>
      <c r="S17" s="137" t="s">
        <v>471</v>
      </c>
      <c r="AA17" s="171"/>
      <c r="AB17" s="172" t="str">
        <f>IFERROR(VALUE(RIGHT(AA17,LEN(AA17)-MIN(FIND({0;1;2;3;4;5;6;7;8;9},AA17&amp;"0123456789"))+1)),"")</f>
        <v/>
      </c>
    </row>
    <row r="18" spans="2:28" ht="12.95" thickBot="1">
      <c r="B18" s="130">
        <v>56.023404580152672</v>
      </c>
      <c r="C18" s="160">
        <v>27.583907217727297</v>
      </c>
      <c r="D18">
        <v>56.023404580152672</v>
      </c>
      <c r="E18" s="160">
        <v>-1465.985085402908</v>
      </c>
      <c r="F18">
        <v>56.023404580152672</v>
      </c>
      <c r="G18" s="160">
        <v>773.86924459709189</v>
      </c>
      <c r="H18">
        <v>2.790827586206897</v>
      </c>
      <c r="I18" s="160">
        <v>14.773267120496264</v>
      </c>
      <c r="J18">
        <v>2.790827586206897</v>
      </c>
      <c r="K18" s="160">
        <v>2.0425659202651332</v>
      </c>
      <c r="L18">
        <v>54.022568702290073</v>
      </c>
      <c r="M18" s="160">
        <v>179.89283777185415</v>
      </c>
      <c r="N18" s="143">
        <f t="shared" si="0"/>
        <v>18</v>
      </c>
      <c r="P18" s="140">
        <f ca="1">TREND((INDIRECT("D"&amp;S18&amp;":D"&amp;S18+1)),INDIRECT("E"&amp;S18&amp;":E"&amp;(S18+1)),R18)</f>
        <v>825.7508694809294</v>
      </c>
      <c r="Q18" s="152">
        <f ca="1">TREND((INDIRECT("C"&amp;S18&amp;":C"&amp;S18+1)),INDIRECT("E"&amp;S18&amp;":E"&amp;(S18+1)),R18)</f>
        <v>33.883883079692282</v>
      </c>
      <c r="R18" s="141">
        <f>R6</f>
        <v>-2236.1900683441818</v>
      </c>
      <c r="S18" s="142">
        <f ca="1">MATCH(R18,INDIRECT("E1:E"&amp;S10),-1)</f>
        <v>462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>
      <c r="B19" s="130">
        <v>60.025076335877863</v>
      </c>
      <c r="C19" s="160">
        <v>27.591442552516678</v>
      </c>
      <c r="D19">
        <v>60.025076335877863</v>
      </c>
      <c r="E19" s="160">
        <v>-1469.9931169830425</v>
      </c>
      <c r="F19">
        <v>60.025076335877863</v>
      </c>
      <c r="G19" s="160">
        <v>769.86121301695744</v>
      </c>
      <c r="H19">
        <v>2.9901724137931041</v>
      </c>
      <c r="I19" s="160">
        <v>14.574867628416827</v>
      </c>
      <c r="J19">
        <v>2.9901724137931041</v>
      </c>
      <c r="K19" s="160">
        <v>2.0231775928241404</v>
      </c>
      <c r="L19">
        <v>58.024240458015271</v>
      </c>
      <c r="M19" s="160">
        <v>179.89228069606332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>
      <c r="B20" s="130">
        <v>64.026748091603054</v>
      </c>
      <c r="C20" s="160">
        <v>27.599017201348975</v>
      </c>
      <c r="D20">
        <v>64.026748091603054</v>
      </c>
      <c r="E20" s="160">
        <v>-1474.0011153912642</v>
      </c>
      <c r="F20">
        <v>64.026748091603054</v>
      </c>
      <c r="G20" s="160">
        <v>765.8532146087357</v>
      </c>
      <c r="H20">
        <v>3.1895172413793111</v>
      </c>
      <c r="I20" s="160">
        <v>14.376103139258742</v>
      </c>
      <c r="J20">
        <v>3.1895172413793111</v>
      </c>
      <c r="K20" s="160">
        <v>2.007982034437191</v>
      </c>
      <c r="L20">
        <v>62.025912213740455</v>
      </c>
      <c r="M20" s="160">
        <v>179.89171779814069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>
      <c r="B21" s="130">
        <v>68.028419847328252</v>
      </c>
      <c r="C21" s="160">
        <v>27.606631577262306</v>
      </c>
      <c r="D21">
        <v>68.028419847328252</v>
      </c>
      <c r="E21" s="160">
        <v>-1478.009080626402</v>
      </c>
      <c r="F21">
        <v>68.028419847328252</v>
      </c>
      <c r="G21" s="160">
        <v>761.84524937359788</v>
      </c>
      <c r="H21">
        <v>3.3888620689655182</v>
      </c>
      <c r="I21" s="160">
        <v>14.177000452915086</v>
      </c>
      <c r="J21">
        <v>3.3888620689655182</v>
      </c>
      <c r="K21" s="160">
        <v>1.9981685004217979</v>
      </c>
      <c r="L21">
        <v>66.027583969465653</v>
      </c>
      <c r="M21" s="160">
        <v>179.89114898633335</v>
      </c>
      <c r="N21" s="143">
        <f t="shared" si="0"/>
        <v>21</v>
      </c>
      <c r="P21" s="551" t="s">
        <v>523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2.95" thickBot="1">
      <c r="B22" s="130">
        <v>72.030091603053449</v>
      </c>
      <c r="C22" s="160">
        <v>27.614286099838331</v>
      </c>
      <c r="D22">
        <v>72.030091603053449</v>
      </c>
      <c r="E22" s="160">
        <v>-1482.0170126872606</v>
      </c>
      <c r="F22">
        <v>72.030091603053449</v>
      </c>
      <c r="G22" s="160">
        <v>757.83731731273929</v>
      </c>
      <c r="H22">
        <v>3.5882068965517253</v>
      </c>
      <c r="I22" s="160">
        <v>13.977683857426168</v>
      </c>
      <c r="J22">
        <v>3.5882068965517253</v>
      </c>
      <c r="K22" s="160">
        <v>1.9948463283617457</v>
      </c>
      <c r="L22">
        <v>70.029255725190851</v>
      </c>
      <c r="M22" s="160">
        <v>179.89057416695067</v>
      </c>
      <c r="N22" s="143">
        <f t="shared" si="0"/>
        <v>22</v>
      </c>
      <c r="P22" s="552"/>
      <c r="R22" s="2"/>
      <c r="AA22" s="171"/>
      <c r="AB22" s="172" t="str">
        <f>IFERROR(VALUE(RIGHT(AA22,LEN(AA22)-MIN(FIND({0;1;2;3;4;5;6;7;8;9},AA22&amp;"0123456789"))+1)),"")</f>
        <v/>
      </c>
    </row>
    <row r="23" spans="2:28">
      <c r="B23" s="130">
        <v>76.031763358778647</v>
      </c>
      <c r="C23" s="160">
        <v>27.62198119534122</v>
      </c>
      <c r="D23">
        <v>76.031763358778647</v>
      </c>
      <c r="E23" s="160">
        <v>-1486.0249115726185</v>
      </c>
      <c r="F23">
        <v>76.031763358778647</v>
      </c>
      <c r="G23" s="160">
        <v>753.82941842738137</v>
      </c>
      <c r="H23">
        <v>3.7875517241379324</v>
      </c>
      <c r="I23" s="160">
        <v>13.778383231000012</v>
      </c>
      <c r="J23">
        <v>3.7875517241379324</v>
      </c>
      <c r="K23" s="160">
        <v>1.9990129237257861</v>
      </c>
      <c r="L23">
        <v>74.030927480916048</v>
      </c>
      <c r="M23" s="160">
        <v>179.88999324431217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ht="12.95">
      <c r="B24" s="130">
        <v>80.033435114503845</v>
      </c>
      <c r="C24" s="160">
        <v>27.629717296860321</v>
      </c>
      <c r="D24">
        <v>80.033435114503845</v>
      </c>
      <c r="E24" s="160">
        <v>-1490.0327772812282</v>
      </c>
      <c r="F24">
        <v>80.033435114503845</v>
      </c>
      <c r="G24" s="160">
        <v>749.82155271877173</v>
      </c>
      <c r="H24">
        <v>3.9868965517241395</v>
      </c>
      <c r="I24" s="160">
        <v>13.579434593667546</v>
      </c>
      <c r="J24">
        <v>3.9868965517241395</v>
      </c>
      <c r="K24" s="160">
        <v>2.0115628794637814</v>
      </c>
      <c r="L24">
        <v>78.032599236641246</v>
      </c>
      <c r="M24" s="160">
        <v>179.88940612069456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2.95" thickBot="1">
      <c r="B25" s="130">
        <v>84.035106870229043</v>
      </c>
      <c r="C25" s="160">
        <v>27.637494844456626</v>
      </c>
      <c r="D25">
        <v>84.035106870229043</v>
      </c>
      <c r="E25" s="160">
        <v>-1494.0406098118165</v>
      </c>
      <c r="F25">
        <v>84.035106870229043</v>
      </c>
      <c r="G25" s="160">
        <v>745.81372018818342</v>
      </c>
      <c r="H25">
        <v>4.1862413793103466</v>
      </c>
      <c r="I25" s="160">
        <v>13.381275109899889</v>
      </c>
      <c r="J25">
        <v>4.1862413793103466</v>
      </c>
      <c r="K25" s="160">
        <v>2.033261899657191</v>
      </c>
      <c r="L25">
        <v>82.034270992366444</v>
      </c>
      <c r="M25" s="160">
        <v>179.88881269627751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ht="12.95">
      <c r="B26" s="130">
        <v>88.036778625954241</v>
      </c>
      <c r="C26" s="160">
        <v>27.645314285313248</v>
      </c>
      <c r="D26">
        <v>88.036778625954241</v>
      </c>
      <c r="E26" s="160">
        <v>-1498.0484091630806</v>
      </c>
      <c r="F26">
        <v>88.036778625954241</v>
      </c>
      <c r="G26" s="160">
        <v>741.80592083691931</v>
      </c>
      <c r="H26">
        <v>4.3855862068965532</v>
      </c>
      <c r="I26" s="160">
        <v>13.184389793149039</v>
      </c>
      <c r="J26">
        <v>4.3855862068965532</v>
      </c>
      <c r="K26" s="160">
        <v>2.0644736827694032</v>
      </c>
      <c r="L26">
        <v>86.035942748091642</v>
      </c>
      <c r="M26" s="160">
        <v>179.88821286908617</v>
      </c>
      <c r="N26" s="143">
        <f t="shared" si="0"/>
        <v>26</v>
      </c>
      <c r="P26" s="170" t="s">
        <v>524</v>
      </c>
      <c r="AA26" s="171"/>
      <c r="AB26" s="172" t="str">
        <f>IFERROR(VALUE(RIGHT(AA26,LEN(AA26)-MIN(FIND({0;1;2;3;4;5;6;7;8;9},AA26&amp;"0123456789"))+1)),"")</f>
        <v/>
      </c>
    </row>
    <row r="27" spans="2:28" ht="12.95" thickBot="1">
      <c r="B27" s="130">
        <v>92.038450381679439</v>
      </c>
      <c r="C27" s="160">
        <v>27.653176073889927</v>
      </c>
      <c r="D27">
        <v>92.038450381679439</v>
      </c>
      <c r="E27" s="160">
        <v>-1502.056175333691</v>
      </c>
      <c r="F27">
        <v>92.038450381679439</v>
      </c>
      <c r="G27" s="160">
        <v>737.79815466630885</v>
      </c>
      <c r="H27">
        <v>4.5849310344827598</v>
      </c>
      <c r="I27" s="160">
        <v>12.989235035588226</v>
      </c>
      <c r="J27">
        <v>4.5849310344827598</v>
      </c>
      <c r="K27" s="160">
        <v>2.1051259753971863</v>
      </c>
      <c r="L27">
        <v>90.03761450381684</v>
      </c>
      <c r="M27" s="160">
        <v>179.88760653493338</v>
      </c>
      <c r="N27" s="143">
        <f t="shared" si="0"/>
        <v>27</v>
      </c>
      <c r="P27" s="191">
        <v>6</v>
      </c>
      <c r="AA27" s="171"/>
      <c r="AB27" s="172" t="str">
        <f>IFERROR(VALUE(RIGHT(AA27,LEN(AA27)-MIN(FIND({0;1;2;3;4;5;6;7;8;9},AA27&amp;"0123456789"))+1)),"")</f>
        <v/>
      </c>
    </row>
    <row r="28" spans="2:28" ht="12.95">
      <c r="B28" s="130">
        <v>96.040122137404637</v>
      </c>
      <c r="C28" s="160">
        <v>27.66108067208177</v>
      </c>
      <c r="D28">
        <v>96.040122137404637</v>
      </c>
      <c r="E28" s="160">
        <v>-1506.0639083222884</v>
      </c>
      <c r="F28">
        <v>96.040122137404637</v>
      </c>
      <c r="G28" s="160">
        <v>733.79042167771149</v>
      </c>
      <c r="H28">
        <v>4.7842758620689665</v>
      </c>
      <c r="I28" s="160">
        <v>12.796263228763797</v>
      </c>
      <c r="J28">
        <v>4.7842758620689665</v>
      </c>
      <c r="K28" s="160">
        <v>2.1551246255921797</v>
      </c>
      <c r="L28">
        <v>94.039286259542038</v>
      </c>
      <c r="M28" s="160">
        <v>179.88699358735923</v>
      </c>
      <c r="N28" s="143">
        <f t="shared" si="0"/>
        <v>28</v>
      </c>
      <c r="P28" s="192" t="s">
        <v>525</v>
      </c>
      <c r="AA28" s="171"/>
      <c r="AB28" s="172" t="str">
        <f>IFERROR(VALUE(RIGHT(AA28,LEN(AA28)-MIN(FIND({0;1;2;3;4;5;6;7;8;9},AA28&amp;"0123456789"))+1)),"")</f>
        <v/>
      </c>
    </row>
    <row r="29" spans="2:28" ht="12.95" thickBot="1">
      <c r="B29" s="130">
        <v>100.04179389312984</v>
      </c>
      <c r="C29" s="160">
        <v>27.669028549382336</v>
      </c>
      <c r="D29">
        <v>100.04179389312984</v>
      </c>
      <c r="E29" s="160">
        <v>-1510.0716081274841</v>
      </c>
      <c r="F29">
        <v>100.04179389312984</v>
      </c>
      <c r="G29" s="160">
        <v>729.78272187251582</v>
      </c>
      <c r="H29">
        <v>4.9836206896551731</v>
      </c>
      <c r="I29" s="160">
        <v>12.605921712149485</v>
      </c>
      <c r="J29">
        <v>4.9836206896551731</v>
      </c>
      <c r="K29" s="160">
        <v>2.2143538007280767</v>
      </c>
      <c r="L29">
        <v>98.040958015267236</v>
      </c>
      <c r="M29" s="160">
        <v>179.88637391756865</v>
      </c>
      <c r="N29" s="143">
        <f t="shared" si="0"/>
        <v>29</v>
      </c>
      <c r="P29" s="191">
        <v>9</v>
      </c>
      <c r="AA29" s="171"/>
      <c r="AB29" s="172" t="str">
        <f>IFERROR(VALUE(RIGHT(AA29,LEN(AA29)-MIN(FIND({0;1;2;3;4;5;6;7;8;9},AA29&amp;"0123456789"))+1)),"")</f>
        <v/>
      </c>
    </row>
    <row r="30" spans="2:28" ht="12.95">
      <c r="B30" s="130">
        <v>104.04346564885503</v>
      </c>
      <c r="C30" s="160">
        <v>27.677020183051233</v>
      </c>
      <c r="D30">
        <v>104.04346564885503</v>
      </c>
      <c r="E30" s="160">
        <v>-1514.0792747478579</v>
      </c>
      <c r="F30">
        <v>104.04346564885503</v>
      </c>
      <c r="G30" s="160">
        <v>725.77505525214201</v>
      </c>
      <c r="H30">
        <v>5.1829655172413798</v>
      </c>
      <c r="I30" s="160">
        <v>12.418653945566799</v>
      </c>
      <c r="J30">
        <v>5.1829655172413798</v>
      </c>
      <c r="K30" s="160">
        <v>2.2826754489192354</v>
      </c>
      <c r="L30">
        <v>102.04262977099243</v>
      </c>
      <c r="M30" s="160">
        <v>179.8857474143669</v>
      </c>
      <c r="N30" s="143">
        <f t="shared" si="0"/>
        <v>30</v>
      </c>
      <c r="P30" s="193" t="s">
        <v>526</v>
      </c>
      <c r="AA30" s="171"/>
      <c r="AB30" s="172" t="str">
        <f>IFERROR(VALUE(RIGHT(AA30,LEN(AA30)-MIN(FIND({0;1;2;3;4;5;6;7;8;9},AA30&amp;"0123456789"))+1)),"")</f>
        <v/>
      </c>
    </row>
    <row r="31" spans="2:28" ht="12.95" thickBot="1">
      <c r="B31" s="130">
        <v>108.04513740458023</v>
      </c>
      <c r="C31" s="160">
        <v>27.685056058286335</v>
      </c>
      <c r="D31">
        <v>108.04513740458023</v>
      </c>
      <c r="E31" s="160">
        <v>-1518.0869081819585</v>
      </c>
      <c r="F31">
        <v>108.04513740458023</v>
      </c>
      <c r="G31" s="160">
        <v>721.76742181804138</v>
      </c>
      <c r="H31">
        <v>5.3823103448275864</v>
      </c>
      <c r="I31" s="160">
        <v>12.234892227485183</v>
      </c>
      <c r="J31">
        <v>5.3823103448275864</v>
      </c>
      <c r="K31" s="160">
        <v>2.3599321411611527</v>
      </c>
      <c r="L31">
        <v>106.04430152671763</v>
      </c>
      <c r="M31" s="160">
        <v>179.88511396409353</v>
      </c>
      <c r="N31" s="143">
        <f t="shared" si="0"/>
        <v>31</v>
      </c>
      <c r="P31" s="190">
        <f>SUM(AB2:AB50)</f>
        <v>0</v>
      </c>
      <c r="AA31" s="171"/>
      <c r="AB31" s="172" t="str">
        <f>IFERROR(VALUE(RIGHT(AA31,LEN(AA31)-MIN(FIND({0;1;2;3;4;5;6;7;8;9},AA31&amp;"0123456789"))+1)),"")</f>
        <v/>
      </c>
    </row>
    <row r="32" spans="2:28">
      <c r="B32" s="130">
        <v>112.04680916030543</v>
      </c>
      <c r="C32" s="160">
        <v>27.69313666840084</v>
      </c>
      <c r="D32">
        <v>112.04680916030543</v>
      </c>
      <c r="E32" s="160">
        <v>-1522.0945084283023</v>
      </c>
      <c r="F32">
        <v>112.04680916030543</v>
      </c>
      <c r="G32" s="160">
        <v>717.75982157169756</v>
      </c>
      <c r="H32">
        <v>5.5816551724137931</v>
      </c>
      <c r="I32" s="160">
        <v>12.055062721128309</v>
      </c>
      <c r="J32">
        <v>5.5816551724137931</v>
      </c>
      <c r="K32" s="160">
        <v>2.445945090996247</v>
      </c>
      <c r="L32">
        <v>110.04597328244283</v>
      </c>
      <c r="M32" s="160">
        <v>179.88447345055286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>
      <c r="B33" s="130">
        <v>116.04848091603063</v>
      </c>
      <c r="C33" s="160">
        <v>27.701262515005229</v>
      </c>
      <c r="D33">
        <v>116.04848091603063</v>
      </c>
      <c r="E33" s="160">
        <v>-1526.1020754853726</v>
      </c>
      <c r="F33">
        <v>116.04848091603063</v>
      </c>
      <c r="G33" s="160">
        <v>713.75225451462734</v>
      </c>
      <c r="H33">
        <v>5.7809999999999997</v>
      </c>
      <c r="I33" s="160">
        <v>11.879582512065774</v>
      </c>
      <c r="J33">
        <v>5.7809999999999997</v>
      </c>
      <c r="K33" s="160">
        <v>2.5405151727313751</v>
      </c>
      <c r="L33">
        <v>114.04764503816803</v>
      </c>
      <c r="M33" s="160">
        <v>179.88382575494381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>
      <c r="B34" s="130">
        <v>120.05015267175582</v>
      </c>
      <c r="C34" s="160">
        <v>27.709434108194429</v>
      </c>
      <c r="D34">
        <v>120.05015267175582</v>
      </c>
      <c r="E34" s="160">
        <v>-1530.1096093516171</v>
      </c>
      <c r="F34">
        <v>120.05015267175582</v>
      </c>
      <c r="G34" s="160">
        <v>709.74472064838278</v>
      </c>
      <c r="I34" s="160"/>
      <c r="K34" s="160"/>
      <c r="L34">
        <v>118.04931679389323</v>
      </c>
      <c r="M34" s="160">
        <v>179.88317075578573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>
      <c r="B35" s="130">
        <v>124.05182442748102</v>
      </c>
      <c r="C35" s="160">
        <v>27.717651966740224</v>
      </c>
      <c r="D35">
        <v>124.05182442748102</v>
      </c>
      <c r="E35" s="160">
        <v>-1534.1171100254494</v>
      </c>
      <c r="F35">
        <v>124.05182442748102</v>
      </c>
      <c r="G35" s="160">
        <v>705.7372199745505</v>
      </c>
      <c r="I35" s="160"/>
      <c r="K35" s="160"/>
      <c r="L35">
        <v>122.05098854961842</v>
      </c>
      <c r="M35" s="160">
        <v>179.88250832884282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>
      <c r="B36" s="130">
        <v>128.05349618320622</v>
      </c>
      <c r="C36" s="160">
        <v>27.725916618289169</v>
      </c>
      <c r="D36">
        <v>128.05349618320622</v>
      </c>
      <c r="E36" s="160">
        <v>-1538.1245775052469</v>
      </c>
      <c r="F36">
        <v>128.05349618320622</v>
      </c>
      <c r="G36" s="160">
        <v>701.72975249475303</v>
      </c>
      <c r="I36" s="160"/>
      <c r="K36" s="160"/>
      <c r="L36">
        <v>126.05266030534362</v>
      </c>
      <c r="M36" s="160">
        <v>179.88183834704552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>
      <c r="B37" s="130">
        <v>132.05516793893142</v>
      </c>
      <c r="C37" s="160">
        <v>27.734228599566205</v>
      </c>
      <c r="D37">
        <v>132.05516793893142</v>
      </c>
      <c r="E37" s="160">
        <v>-1542.1320117893486</v>
      </c>
      <c r="F37">
        <v>132.05516793893142</v>
      </c>
      <c r="G37" s="160">
        <v>697.72231821065134</v>
      </c>
      <c r="I37" s="160"/>
      <c r="K37" s="160"/>
      <c r="L37">
        <v>130.05433206106881</v>
      </c>
      <c r="M37" s="160">
        <v>179.88116068040901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>
      <c r="B38" s="130">
        <v>136.05683969465662</v>
      </c>
      <c r="C38" s="160">
        <v>27.742588456584116</v>
      </c>
      <c r="D38">
        <v>136.05683969465662</v>
      </c>
      <c r="E38" s="160">
        <v>-1546.1394128760558</v>
      </c>
      <c r="F38">
        <v>136.05683969465662</v>
      </c>
      <c r="G38" s="160">
        <v>693.71491712394413</v>
      </c>
      <c r="I38" s="160"/>
      <c r="K38" s="160"/>
      <c r="L38">
        <v>134.05600381679403</v>
      </c>
      <c r="M38" s="160">
        <v>179.88047519594937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>
      <c r="B39" s="130">
        <v>140.05851145038181</v>
      </c>
      <c r="C39" s="160">
        <v>27.750996744859052</v>
      </c>
      <c r="D39">
        <v>140.05851145038181</v>
      </c>
      <c r="E39" s="160">
        <v>-1550.1467807636304</v>
      </c>
      <c r="F39">
        <v>140.05851145038181</v>
      </c>
      <c r="G39" s="160">
        <v>689.70754923636946</v>
      </c>
      <c r="I39" s="160"/>
      <c r="K39" s="160"/>
      <c r="L39">
        <v>138.0576755725192</v>
      </c>
      <c r="M39" s="160">
        <v>179.87978175759679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>
      <c r="B40" s="130">
        <v>144.06018320610701</v>
      </c>
      <c r="C40" s="160">
        <v>27.759454029632394</v>
      </c>
      <c r="D40">
        <v>144.06018320610701</v>
      </c>
      <c r="E40" s="160">
        <v>-1554.1541154502934</v>
      </c>
      <c r="F40">
        <v>144.06018320610701</v>
      </c>
      <c r="G40" s="160">
        <v>685.70021454970652</v>
      </c>
      <c r="I40" s="160"/>
      <c r="K40" s="160"/>
      <c r="L40">
        <v>142.05934732824443</v>
      </c>
      <c r="M40" s="160">
        <v>179.87908022610475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>
      <c r="B41" s="130">
        <v>148.06185496183221</v>
      </c>
      <c r="C41" s="160">
        <v>27.767960886099068</v>
      </c>
      <c r="D41">
        <v>148.06185496183221</v>
      </c>
      <c r="E41" s="160">
        <v>-1558.1614169342238</v>
      </c>
      <c r="F41">
        <v>148.06185496183221</v>
      </c>
      <c r="G41" s="160">
        <v>681.69291306577611</v>
      </c>
      <c r="I41" s="160"/>
      <c r="K41" s="160"/>
      <c r="L41">
        <v>146.0610190839696</v>
      </c>
      <c r="M41" s="160">
        <v>179.87837045895776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>
      <c r="B42" s="130">
        <v>152.06352671755741</v>
      </c>
      <c r="C42" s="160">
        <v>27.776517899642649</v>
      </c>
      <c r="D42">
        <v>152.06352671755741</v>
      </c>
      <c r="E42" s="160">
        <v>-1562.1686852135572</v>
      </c>
      <c r="F42">
        <v>152.06352671755741</v>
      </c>
      <c r="G42" s="160">
        <v>677.68564478644271</v>
      </c>
      <c r="I42" s="160"/>
      <c r="K42" s="160"/>
      <c r="L42">
        <v>150.06269083969482</v>
      </c>
      <c r="M42" s="160">
        <v>179.8776523102741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>
      <c r="B43" s="130">
        <v>156.06519847328261</v>
      </c>
      <c r="C43" s="160">
        <v>27.785125666077416</v>
      </c>
      <c r="D43">
        <v>156.06519847328261</v>
      </c>
      <c r="E43" s="160">
        <v>-1566.1759202863857</v>
      </c>
      <c r="F43">
        <v>156.06519847328261</v>
      </c>
      <c r="G43" s="160">
        <v>673.6784097136142</v>
      </c>
      <c r="I43" s="160"/>
      <c r="K43" s="160"/>
      <c r="L43">
        <v>154.06436259541999</v>
      </c>
      <c r="M43" s="160">
        <v>179.87692563070615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>
      <c r="B44" s="130">
        <v>160.0668702290078</v>
      </c>
      <c r="C44" s="160">
        <v>27.793784791897643</v>
      </c>
      <c r="D44">
        <v>160.0668702290078</v>
      </c>
      <c r="E44" s="160">
        <v>-1570.1831221507546</v>
      </c>
      <c r="F44">
        <v>160.0668702290078</v>
      </c>
      <c r="G44" s="160">
        <v>669.67120784924532</v>
      </c>
      <c r="I44" s="160"/>
      <c r="K44" s="160"/>
      <c r="L44">
        <v>158.06603435114522</v>
      </c>
      <c r="M44" s="160">
        <v>179.87619026733711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>
      <c r="B45" s="130">
        <v>164.068541984733</v>
      </c>
      <c r="C45" s="160">
        <v>27.802495894534406</v>
      </c>
      <c r="D45">
        <v>164.068541984733</v>
      </c>
      <c r="E45" s="160">
        <v>-1574.1902908046629</v>
      </c>
      <c r="F45">
        <v>164.068541984733</v>
      </c>
      <c r="G45" s="160">
        <v>665.66403919533695</v>
      </c>
      <c r="I45" s="160"/>
      <c r="K45" s="160"/>
      <c r="L45">
        <v>162.06770610687039</v>
      </c>
      <c r="M45" s="160">
        <v>179.87544606357292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>
      <c r="B46" s="130">
        <v>168.0702137404582</v>
      </c>
      <c r="C46" s="160">
        <v>27.811259602620115</v>
      </c>
      <c r="D46">
        <v>168.0702137404582</v>
      </c>
      <c r="E46" s="160">
        <v>-1578.1974262460603</v>
      </c>
      <c r="F46">
        <v>168.0702137404582</v>
      </c>
      <c r="G46" s="160">
        <v>661.65690375393956</v>
      </c>
      <c r="I46" s="160"/>
      <c r="K46" s="160"/>
      <c r="L46">
        <v>166.06937786259562</v>
      </c>
      <c r="M46" s="160">
        <v>179.87469285903219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>
      <c r="B47" s="130">
        <v>172.0718854961834</v>
      </c>
      <c r="C47" s="160">
        <v>27.820076556261146</v>
      </c>
      <c r="D47">
        <v>172.0718854961834</v>
      </c>
      <c r="E47" s="160">
        <v>-1582.2045284728474</v>
      </c>
      <c r="F47">
        <v>172.0718854961834</v>
      </c>
      <c r="G47" s="160">
        <v>657.64980152715248</v>
      </c>
      <c r="I47" s="160"/>
      <c r="K47" s="160"/>
      <c r="L47">
        <v>170.07104961832079</v>
      </c>
      <c r="M47" s="160">
        <v>179.8739304894298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>
      <c r="B48" s="130">
        <v>176.0735572519086</v>
      </c>
      <c r="C48" s="160">
        <v>27.828947407318761</v>
      </c>
      <c r="D48">
        <v>176.0735572519086</v>
      </c>
      <c r="E48" s="160">
        <v>-1586.2115974828723</v>
      </c>
      <c r="F48">
        <v>176.0735572519086</v>
      </c>
      <c r="G48" s="160">
        <v>653.64273251712757</v>
      </c>
      <c r="I48" s="160"/>
      <c r="K48" s="160"/>
      <c r="L48">
        <v>174.07272137404601</v>
      </c>
      <c r="M48" s="160">
        <v>179.87315878645836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>
      <c r="B49" s="130">
        <v>180.07522900763379</v>
      </c>
      <c r="C49" s="160">
        <v>27.83787281969871</v>
      </c>
      <c r="D49">
        <v>180.07522900763379</v>
      </c>
      <c r="E49" s="160">
        <v>-1590.2186332739302</v>
      </c>
      <c r="F49">
        <v>180.07522900763379</v>
      </c>
      <c r="G49" s="160">
        <v>649.63569672606968</v>
      </c>
      <c r="I49" s="160"/>
      <c r="K49" s="160"/>
      <c r="L49">
        <v>178.07439312977118</v>
      </c>
      <c r="M49" s="160">
        <v>179.87237757766405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2.95" thickBot="1">
      <c r="B50" s="130">
        <v>184.07690076335899</v>
      </c>
      <c r="C50" s="160">
        <v>27.846853469649812</v>
      </c>
      <c r="D50">
        <v>184.07690076335899</v>
      </c>
      <c r="E50" s="160">
        <v>-1594.2256358437621</v>
      </c>
      <c r="F50">
        <v>184.07690076335899</v>
      </c>
      <c r="G50" s="160">
        <v>645.62869415623777</v>
      </c>
      <c r="I50" s="160"/>
      <c r="K50" s="160"/>
      <c r="L50">
        <v>182.07606488549641</v>
      </c>
      <c r="M50" s="160">
        <v>179.87158668631778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>
      <c r="B51" s="130">
        <v>188.07857251908419</v>
      </c>
      <c r="C51" s="160">
        <v>27.855890046071835</v>
      </c>
      <c r="D51">
        <v>188.07857251908419</v>
      </c>
      <c r="E51" s="160">
        <v>-1598.2326051900516</v>
      </c>
      <c r="F51">
        <v>188.07857251908419</v>
      </c>
      <c r="G51" s="160">
        <v>641.62172480994832</v>
      </c>
      <c r="I51" s="160"/>
      <c r="K51" s="160"/>
      <c r="L51">
        <v>186.07773664122158</v>
      </c>
      <c r="M51" s="160">
        <v>179.87078593128226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>
      <c r="B52" s="130">
        <v>192.08024427480939</v>
      </c>
      <c r="C52" s="160">
        <v>27.864983250833031</v>
      </c>
      <c r="D52">
        <v>192.08024427480939</v>
      </c>
      <c r="E52" s="160">
        <v>-1602.2395413104241</v>
      </c>
      <c r="F52">
        <v>192.08024427480939</v>
      </c>
      <c r="G52" s="160">
        <v>637.61478868957579</v>
      </c>
      <c r="I52" s="160"/>
      <c r="K52" s="160"/>
      <c r="L52">
        <v>190.0794083969468</v>
      </c>
      <c r="M52" s="160">
        <v>179.86997512687373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>
      <c r="B53" s="130">
        <v>196.08191603053459</v>
      </c>
      <c r="C53" s="160">
        <v>27.874133799097706</v>
      </c>
      <c r="D53">
        <v>196.08191603053459</v>
      </c>
      <c r="E53" s="160">
        <v>-1606.2464442024457</v>
      </c>
      <c r="F53">
        <v>196.08191603053459</v>
      </c>
      <c r="G53" s="160">
        <v>633.60788579755422</v>
      </c>
      <c r="I53" s="160"/>
      <c r="K53" s="160"/>
      <c r="L53">
        <v>194.08108015267197</v>
      </c>
      <c r="M53" s="160">
        <v>179.86915408271818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>
      <c r="B54" s="130">
        <v>200.08358778625978</v>
      </c>
      <c r="C54" s="160">
        <v>27.883342419664206</v>
      </c>
      <c r="D54">
        <v>200.08358778625978</v>
      </c>
      <c r="E54" s="160">
        <v>-1610.253313863619</v>
      </c>
      <c r="F54">
        <v>200.08358778625978</v>
      </c>
      <c r="G54" s="160">
        <v>629.60101613638085</v>
      </c>
      <c r="I54" s="160"/>
      <c r="K54" s="160"/>
      <c r="L54">
        <v>198.0827519083972</v>
      </c>
      <c r="M54" s="160">
        <v>179.86832260360222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>
      <c r="B55" s="130">
        <v>204.08525954198498</v>
      </c>
      <c r="C55" s="160">
        <v>27.892609855313665</v>
      </c>
      <c r="D55">
        <v>204.08525954198498</v>
      </c>
      <c r="E55" s="160">
        <v>-1614.2601502913844</v>
      </c>
      <c r="F55">
        <v>204.08525954198498</v>
      </c>
      <c r="G55" s="160">
        <v>625.59417970861546</v>
      </c>
      <c r="I55" s="160"/>
      <c r="K55" s="160"/>
      <c r="L55">
        <v>202.08442366412237</v>
      </c>
      <c r="M55" s="160">
        <v>179.86748048931918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>
      <c r="B56" s="130">
        <v>208.08693129771018</v>
      </c>
      <c r="C56" s="160">
        <v>27.901936863170064</v>
      </c>
      <c r="D56">
        <v>208.08693129771018</v>
      </c>
      <c r="E56" s="160">
        <v>-1618.2669534831143</v>
      </c>
      <c r="F56">
        <v>208.08693129771018</v>
      </c>
      <c r="G56" s="160">
        <v>621.58737651688557</v>
      </c>
      <c r="I56" s="160"/>
      <c r="K56" s="160"/>
      <c r="L56">
        <v>206.0860954198476</v>
      </c>
      <c r="M56" s="160">
        <v>179.8666275345069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>
      <c r="B57" s="130">
        <v>212.08860305343538</v>
      </c>
      <c r="C57" s="160">
        <v>27.911324215071858</v>
      </c>
      <c r="D57">
        <v>212.08860305343538</v>
      </c>
      <c r="E57" s="160">
        <v>-1622.2737234361136</v>
      </c>
      <c r="F57">
        <v>212.08860305343538</v>
      </c>
      <c r="G57" s="160">
        <v>617.58060656388625</v>
      </c>
      <c r="I57" s="160"/>
      <c r="K57" s="160"/>
      <c r="L57">
        <v>210.08776717557276</v>
      </c>
      <c r="M57" s="160">
        <v>179.8657635284822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>
      <c r="B58" s="130">
        <v>216.09027480916058</v>
      </c>
      <c r="C58" s="160">
        <v>27.92077269795579</v>
      </c>
      <c r="D58">
        <v>216.09027480916058</v>
      </c>
      <c r="E58" s="160">
        <v>-1626.2804601476171</v>
      </c>
      <c r="F58">
        <v>216.09027480916058</v>
      </c>
      <c r="G58" s="160">
        <v>613.57386985238281</v>
      </c>
      <c r="I58" s="160"/>
      <c r="K58" s="160"/>
      <c r="L58">
        <v>214.08943893129799</v>
      </c>
      <c r="M58" s="160">
        <v>179.86488825506646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>
      <c r="B59" s="130">
        <v>220.09194656488577</v>
      </c>
      <c r="C59" s="160">
        <v>27.930283114253257</v>
      </c>
      <c r="D59">
        <v>220.09194656488577</v>
      </c>
      <c r="E59" s="160">
        <v>-1630.2871636147863</v>
      </c>
      <c r="F59">
        <v>220.09194656488577</v>
      </c>
      <c r="G59" s="160">
        <v>609.56716638521357</v>
      </c>
      <c r="I59" s="160"/>
      <c r="K59" s="160"/>
      <c r="L59">
        <v>218.09111068702316</v>
      </c>
      <c r="M59" s="160">
        <v>179.86400149240581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>
      <c r="B60" s="130">
        <v>224.09361832061097</v>
      </c>
      <c r="C60" s="160">
        <v>27.939856282299797</v>
      </c>
      <c r="D60">
        <v>224.09361832061097</v>
      </c>
      <c r="E60" s="160">
        <v>-1634.2938338347069</v>
      </c>
      <c r="F60">
        <v>224.09361832061097</v>
      </c>
      <c r="G60" s="160">
        <v>605.56049616529299</v>
      </c>
      <c r="I60" s="160"/>
      <c r="K60" s="160"/>
      <c r="L60">
        <v>222.09278244274839</v>
      </c>
      <c r="M60" s="160">
        <v>179.8631030127832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>
      <c r="B61" s="130">
        <v>228.09529007633617</v>
      </c>
      <c r="C61" s="160">
        <v>27.94949303675817</v>
      </c>
      <c r="D61">
        <v>228.09529007633617</v>
      </c>
      <c r="E61" s="160">
        <v>-1638.3004708043884</v>
      </c>
      <c r="F61">
        <v>228.09529007633617</v>
      </c>
      <c r="G61" s="160">
        <v>601.55385919561149</v>
      </c>
      <c r="I61" s="160"/>
      <c r="K61" s="160"/>
      <c r="L61">
        <v>226.09445419847356</v>
      </c>
      <c r="M61" s="160">
        <v>179.86219258242397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>
      <c r="B62" s="130">
        <v>232.09696183206137</v>
      </c>
      <c r="C62" s="160">
        <v>27.959194229055633</v>
      </c>
      <c r="D62">
        <v>232.09696183206137</v>
      </c>
      <c r="E62" s="160">
        <v>-1642.3070745207579</v>
      </c>
      <c r="F62">
        <v>232.09696183206137</v>
      </c>
      <c r="G62" s="160">
        <v>597.54725547924204</v>
      </c>
      <c r="I62" s="160"/>
      <c r="K62" s="160"/>
      <c r="L62">
        <v>230.09612595419878</v>
      </c>
      <c r="M62" s="160">
        <v>179.86126996129241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>
      <c r="B63" s="130">
        <v>236.09863358778657</v>
      </c>
      <c r="C63" s="160">
        <v>27.96896072783592</v>
      </c>
      <c r="D63">
        <v>236.09863358778657</v>
      </c>
      <c r="E63" s="160">
        <v>-1646.3136449806611</v>
      </c>
      <c r="F63">
        <v>236.09863358778657</v>
      </c>
      <c r="G63" s="160">
        <v>593.54068501933875</v>
      </c>
      <c r="I63" s="160"/>
      <c r="K63" s="160"/>
      <c r="L63">
        <v>234.09779770992395</v>
      </c>
      <c r="M63" s="160">
        <v>179.86033490288128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>
      <c r="B64" s="130">
        <v>240.10030534351176</v>
      </c>
      <c r="C64" s="160">
        <v>27.978793419426569</v>
      </c>
      <c r="D64">
        <v>240.10030534351176</v>
      </c>
      <c r="E64" s="160">
        <v>-1650.3201821808568</v>
      </c>
      <c r="F64">
        <v>240.10030534351176</v>
      </c>
      <c r="G64" s="160">
        <v>589.53414781914307</v>
      </c>
      <c r="I64" s="160"/>
      <c r="K64" s="160"/>
      <c r="L64">
        <v>238.09946946564918</v>
      </c>
      <c r="M64" s="160">
        <v>179.85938715399209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>
      <c r="B65" s="130">
        <v>244.10197709923696</v>
      </c>
      <c r="C65" s="160">
        <v>27.988693208322232</v>
      </c>
      <c r="D65">
        <v>244.10197709923696</v>
      </c>
      <c r="E65" s="160">
        <v>-1654.3266861180155</v>
      </c>
      <c r="F65">
        <v>244.10197709923696</v>
      </c>
      <c r="G65" s="160">
        <v>585.52764388198443</v>
      </c>
      <c r="I65" s="160"/>
      <c r="K65" s="160"/>
      <c r="L65">
        <v>242.10114122137435</v>
      </c>
      <c r="M65" s="160">
        <v>179.85842645450626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>
      <c r="B66" s="130">
        <v>248.10364885496216</v>
      </c>
      <c r="C66" s="160">
        <v>27.998661017684576</v>
      </c>
      <c r="D66">
        <v>248.10364885496216</v>
      </c>
      <c r="E66" s="160">
        <v>-1658.3331567887151</v>
      </c>
      <c r="F66">
        <v>248.10364885496216</v>
      </c>
      <c r="G66" s="160">
        <v>581.5211732112848</v>
      </c>
      <c r="I66" s="160"/>
      <c r="K66" s="160"/>
      <c r="L66">
        <v>246.10281297709957</v>
      </c>
      <c r="M66" s="160">
        <v>179.85745253714745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>
      <c r="B67" s="130">
        <v>252.10532061068736</v>
      </c>
      <c r="C67" s="160">
        <v>28.008697789859539</v>
      </c>
      <c r="D67">
        <v>252.10532061068736</v>
      </c>
      <c r="E67" s="160">
        <v>-1662.3395941894391</v>
      </c>
      <c r="F67">
        <v>252.10532061068736</v>
      </c>
      <c r="G67" s="160">
        <v>577.51473581056075</v>
      </c>
      <c r="I67" s="160"/>
      <c r="K67" s="160"/>
      <c r="L67">
        <v>250.10448473282474</v>
      </c>
      <c r="M67" s="160">
        <v>179.85646512723324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>
      <c r="B68" s="130">
        <v>256.10699236641256</v>
      </c>
      <c r="C68" s="160">
        <v>28.018804486912586</v>
      </c>
      <c r="D68">
        <v>256.10699236641256</v>
      </c>
      <c r="E68" s="160">
        <v>-1666.3459983165721</v>
      </c>
      <c r="F68">
        <v>256.10699236641256</v>
      </c>
      <c r="G68" s="160">
        <v>573.50833168342774</v>
      </c>
      <c r="I68" s="160"/>
      <c r="K68" s="160"/>
      <c r="L68">
        <v>254.10615648854997</v>
      </c>
      <c r="M68" s="160">
        <v>179.85546394241734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>
      <c r="B69" s="130">
        <v>260.10866412213772</v>
      </c>
      <c r="C69" s="160">
        <v>28.028982091182801</v>
      </c>
      <c r="D69">
        <v>260.10866412213772</v>
      </c>
      <c r="E69" s="160">
        <v>-1670.3523691663972</v>
      </c>
      <c r="F69">
        <v>260.10866412213772</v>
      </c>
      <c r="G69" s="160">
        <v>569.50196083360265</v>
      </c>
      <c r="I69" s="160"/>
      <c r="K69" s="160"/>
      <c r="L69">
        <v>258.10782824427514</v>
      </c>
      <c r="M69" s="160">
        <v>179.85444869241979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>
      <c r="B70" s="130">
        <v>264.11033587786289</v>
      </c>
      <c r="C70" s="160">
        <v>28.039231605856543</v>
      </c>
      <c r="D70">
        <v>264.11033587786289</v>
      </c>
      <c r="E70" s="160">
        <v>-1674.3587067350907</v>
      </c>
      <c r="F70">
        <v>264.11033587786289</v>
      </c>
      <c r="G70" s="160">
        <v>565.49562326490923</v>
      </c>
      <c r="I70" s="160"/>
      <c r="K70" s="160"/>
      <c r="L70">
        <v>262.10950000000031</v>
      </c>
      <c r="M70" s="160">
        <v>179.8534190787469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>
      <c r="B71" s="130">
        <v>268.11200763358806</v>
      </c>
      <c r="C71" s="160">
        <v>28.049554055561579</v>
      </c>
      <c r="D71">
        <v>268.11200763358806</v>
      </c>
      <c r="E71" s="160">
        <v>-1678.3650110187214</v>
      </c>
      <c r="F71">
        <v>268.11200763358806</v>
      </c>
      <c r="G71" s="160">
        <v>561.48931898127853</v>
      </c>
      <c r="I71" s="160"/>
      <c r="K71" s="160"/>
      <c r="L71">
        <v>266.11117175572548</v>
      </c>
      <c r="M71" s="160">
        <v>179.8523747943982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>
      <c r="B72" s="130">
        <v>272.11367938931323</v>
      </c>
      <c r="C72" s="160">
        <v>28.059950486982487</v>
      </c>
      <c r="D72">
        <v>272.11367938931323</v>
      </c>
      <c r="E72" s="160">
        <v>-1682.3712820132432</v>
      </c>
      <c r="F72">
        <v>272.11367938931323</v>
      </c>
      <c r="G72" s="160">
        <v>557.48304798675667</v>
      </c>
      <c r="I72" s="160"/>
      <c r="K72" s="160"/>
      <c r="L72">
        <v>270.11284351145065</v>
      </c>
      <c r="M72" s="160">
        <v>179.85131552356162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>
      <c r="B73" s="130">
        <v>276.1153511450384</v>
      </c>
      <c r="C73" s="160">
        <v>28.070421969498341</v>
      </c>
      <c r="D73">
        <v>276.1153511450384</v>
      </c>
      <c r="E73" s="160">
        <v>-1686.3775197144942</v>
      </c>
      <c r="F73">
        <v>276.1153511450384</v>
      </c>
      <c r="G73" s="160">
        <v>553.47681028550574</v>
      </c>
      <c r="I73" s="160"/>
      <c r="K73" s="160"/>
      <c r="L73">
        <v>274.11451526717582</v>
      </c>
      <c r="M73" s="160">
        <v>179.85024094129474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>
      <c r="B74" s="130">
        <v>280.11702290076357</v>
      </c>
      <c r="C74" s="160">
        <v>28.080969595843584</v>
      </c>
      <c r="D74">
        <v>280.11702290076357</v>
      </c>
      <c r="E74" s="160">
        <v>-1690.3837241181891</v>
      </c>
      <c r="F74">
        <v>280.11702290076357</v>
      </c>
      <c r="G74" s="160">
        <v>549.4706058818108</v>
      </c>
      <c r="I74" s="160"/>
      <c r="K74" s="160"/>
      <c r="L74">
        <v>278.11618702290099</v>
      </c>
      <c r="M74" s="160">
        <v>179.84915071319239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>
      <c r="B75" s="130">
        <v>284.11869465648874</v>
      </c>
      <c r="C75" s="160">
        <v>28.091594482793134</v>
      </c>
      <c r="D75">
        <v>284.11869465648874</v>
      </c>
      <c r="E75" s="160">
        <v>-1694.3898952199179</v>
      </c>
      <c r="F75">
        <v>284.11869465648874</v>
      </c>
      <c r="G75" s="160">
        <v>545.464434780082</v>
      </c>
      <c r="I75" s="160"/>
      <c r="K75" s="160"/>
      <c r="L75">
        <v>282.11785877862616</v>
      </c>
      <c r="M75" s="160">
        <v>179.8480444950402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>
      <c r="B76" s="130">
        <v>288.12036641221391</v>
      </c>
      <c r="C76" s="160">
        <v>28.102297771872831</v>
      </c>
      <c r="D76">
        <v>288.12036641221391</v>
      </c>
      <c r="E76" s="160">
        <v>-1698.396033015139</v>
      </c>
      <c r="F76">
        <v>288.12036641221391</v>
      </c>
      <c r="G76" s="160">
        <v>541.45829698486091</v>
      </c>
      <c r="I76" s="160"/>
      <c r="K76" s="160"/>
      <c r="L76">
        <v>286.11953053435133</v>
      </c>
      <c r="M76" s="160">
        <v>179.84692193245124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>
      <c r="B77" s="130">
        <v>292.12203816793908</v>
      </c>
      <c r="C77" s="160">
        <v>28.113080630096245</v>
      </c>
      <c r="D77">
        <v>292.12203816793908</v>
      </c>
      <c r="E77" s="160">
        <v>-1702.4021374991753</v>
      </c>
      <c r="F77">
        <v>292.12203816793908</v>
      </c>
      <c r="G77" s="160">
        <v>537.45219250082459</v>
      </c>
      <c r="I77" s="160"/>
      <c r="K77" s="160"/>
      <c r="L77">
        <v>290.1212022900765</v>
      </c>
      <c r="M77" s="160">
        <v>179.84578266048891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>
      <c r="B78" s="130">
        <v>296.12370992366425</v>
      </c>
      <c r="C78" s="160">
        <v>28.123944250729231</v>
      </c>
      <c r="D78">
        <v>296.12370992366425</v>
      </c>
      <c r="E78" s="160">
        <v>-1706.4082086672092</v>
      </c>
      <c r="F78">
        <v>296.12370992366425</v>
      </c>
      <c r="G78" s="160">
        <v>533.44612133279065</v>
      </c>
      <c r="I78" s="160"/>
      <c r="K78" s="160"/>
      <c r="L78">
        <v>294.12287404580167</v>
      </c>
      <c r="M78" s="160">
        <v>179.84462630326962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>
      <c r="B79" s="130">
        <v>300.12538167938942</v>
      </c>
      <c r="C79" s="160">
        <v>28.134889854083227</v>
      </c>
      <c r="D79">
        <v>300.12538167938942</v>
      </c>
      <c r="E79" s="160">
        <v>-1710.4142465142761</v>
      </c>
      <c r="F79">
        <v>300.12538167938942</v>
      </c>
      <c r="G79" s="160">
        <v>529.44008348572379</v>
      </c>
      <c r="I79" s="160"/>
      <c r="K79" s="160"/>
      <c r="L79">
        <v>298.12454580152684</v>
      </c>
      <c r="M79" s="160">
        <v>179.84345247355097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>
      <c r="B80" s="130">
        <v>304.12705343511459</v>
      </c>
      <c r="C80" s="160">
        <v>28.145918688338867</v>
      </c>
      <c r="D80">
        <v>304.12705343511459</v>
      </c>
      <c r="E80" s="160">
        <v>-1714.4202510352609</v>
      </c>
      <c r="F80">
        <v>304.12705343511459</v>
      </c>
      <c r="G80" s="160">
        <v>525.434078964739</v>
      </c>
      <c r="I80" s="160"/>
      <c r="K80" s="160"/>
      <c r="L80">
        <v>302.12621755725201</v>
      </c>
      <c r="M80" s="160">
        <v>179.84226077229806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>
      <c r="B81" s="130">
        <v>308.12872519083976</v>
      </c>
      <c r="C81" s="160">
        <v>28.157032030401119</v>
      </c>
      <c r="D81">
        <v>308.12872519083976</v>
      </c>
      <c r="E81" s="160">
        <v>-1718.4262222248899</v>
      </c>
      <c r="F81">
        <v>308.12872519083976</v>
      </c>
      <c r="G81" s="160">
        <v>521.42810777510999</v>
      </c>
      <c r="I81" s="160"/>
      <c r="K81" s="160"/>
      <c r="L81">
        <v>306.12788931297717</v>
      </c>
      <c r="M81" s="160">
        <v>179.84105078823185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>
      <c r="B82" s="130">
        <v>312.13039694656493</v>
      </c>
      <c r="C82" s="160">
        <v>28.168231186787505</v>
      </c>
      <c r="D82">
        <v>312.13039694656493</v>
      </c>
      <c r="E82" s="160">
        <v>-1722.4321600777259</v>
      </c>
      <c r="F82">
        <v>312.13039694656493</v>
      </c>
      <c r="G82" s="160">
        <v>517.42216992227395</v>
      </c>
      <c r="I82" s="160"/>
      <c r="K82" s="160"/>
      <c r="L82">
        <v>310.12956106870234</v>
      </c>
      <c r="M82" s="160">
        <v>179.83982209735561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>
      <c r="B83" s="130">
        <v>316.1320687022901</v>
      </c>
      <c r="C83" s="160">
        <v>28.179517494550886</v>
      </c>
      <c r="D83">
        <v>316.1320687022901</v>
      </c>
      <c r="E83" s="160">
        <v>-1726.4380645881629</v>
      </c>
      <c r="F83">
        <v>316.1320687022901</v>
      </c>
      <c r="G83" s="160">
        <v>513.416265411837</v>
      </c>
      <c r="I83" s="160"/>
      <c r="K83" s="160"/>
      <c r="L83">
        <v>314.13123282442751</v>
      </c>
      <c r="M83" s="160">
        <v>179.83857426245987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>
      <c r="B84" s="130">
        <v>320.13374045801527</v>
      </c>
      <c r="C84" s="160">
        <v>28.190892322238525</v>
      </c>
      <c r="D84">
        <v>320.13374045801527</v>
      </c>
      <c r="E84" s="160">
        <v>-1730.4439357504154</v>
      </c>
      <c r="F84">
        <v>320.13374045801527</v>
      </c>
      <c r="G84" s="160">
        <v>509.41039424958444</v>
      </c>
      <c r="I84" s="160"/>
      <c r="K84" s="160"/>
      <c r="L84">
        <v>318.13290458015268</v>
      </c>
      <c r="M84" s="160">
        <v>179.83730683260313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>
      <c r="B85" s="130">
        <v>324.13541221374044</v>
      </c>
      <c r="C85" s="160">
        <v>28.202357070889082</v>
      </c>
      <c r="D85">
        <v>324.13541221374044</v>
      </c>
      <c r="E85" s="160">
        <v>-1734.4497735585171</v>
      </c>
      <c r="F85">
        <v>324.13541221374044</v>
      </c>
      <c r="G85" s="160">
        <v>505.40455644148278</v>
      </c>
      <c r="I85" s="160"/>
      <c r="K85" s="160"/>
      <c r="L85">
        <v>322.13457633587785</v>
      </c>
      <c r="M85" s="160">
        <v>179.83601934256873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>
      <c r="B86" s="130">
        <v>328.13708396946561</v>
      </c>
      <c r="C86" s="160">
        <v>28.21391317506934</v>
      </c>
      <c r="D86">
        <v>328.13708396946561</v>
      </c>
      <c r="E86" s="160">
        <v>-1738.4555780063083</v>
      </c>
      <c r="F86">
        <v>328.13708396946561</v>
      </c>
      <c r="G86" s="160">
        <v>501.39875199369158</v>
      </c>
      <c r="I86" s="160"/>
      <c r="K86" s="160"/>
      <c r="L86">
        <v>326.13624809160302</v>
      </c>
      <c r="M86" s="160">
        <v>179.83471131229575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>
      <c r="B87" s="130">
        <v>332.13875572519078</v>
      </c>
      <c r="C87" s="160">
        <v>28.225562103952683</v>
      </c>
      <c r="D87">
        <v>332.13875572519078</v>
      </c>
      <c r="E87" s="160">
        <v>-1742.4613490874317</v>
      </c>
      <c r="F87">
        <v>332.13875572519078</v>
      </c>
      <c r="G87" s="160">
        <v>497.39298091256819</v>
      </c>
      <c r="I87" s="160"/>
      <c r="K87" s="160"/>
      <c r="L87">
        <v>330.13791984732819</v>
      </c>
      <c r="M87" s="160">
        <v>179.8333822462815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>
      <c r="B88" s="130">
        <v>336.14042748091595</v>
      </c>
      <c r="C88" s="160">
        <v>28.237305362441219</v>
      </c>
      <c r="D88">
        <v>336.14042748091595</v>
      </c>
      <c r="E88" s="160">
        <v>-1746.4670867953223</v>
      </c>
      <c r="F88">
        <v>336.14042748091595</v>
      </c>
      <c r="G88" s="160">
        <v>493.38724320467759</v>
      </c>
      <c r="I88" s="160"/>
      <c r="K88" s="160"/>
      <c r="L88">
        <v>334.13959160305336</v>
      </c>
      <c r="M88" s="160">
        <v>179.83203163295639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>
      <c r="B89" s="130">
        <v>340.14209923664112</v>
      </c>
      <c r="C89" s="160">
        <v>28.24914449233383</v>
      </c>
      <c r="D89">
        <v>340.14209923664112</v>
      </c>
      <c r="E89" s="160">
        <v>-1750.4727911231998</v>
      </c>
      <c r="F89">
        <v>340.14209923664112</v>
      </c>
      <c r="G89" s="160">
        <v>489.38153887680005</v>
      </c>
      <c r="I89" s="160"/>
      <c r="K89" s="160"/>
      <c r="L89">
        <v>338.14126335877853</v>
      </c>
      <c r="M89" s="160">
        <v>179.83065894402634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>
      <c r="B90" s="130">
        <v>344.14377099236629</v>
      </c>
      <c r="C90" s="160">
        <v>28.261081073542286</v>
      </c>
      <c r="D90">
        <v>344.14377099236629</v>
      </c>
      <c r="E90" s="160">
        <v>-1754.4784620640601</v>
      </c>
      <c r="F90">
        <v>344.14377099236629</v>
      </c>
      <c r="G90" s="160">
        <v>485.37586793593982</v>
      </c>
      <c r="I90" s="160"/>
      <c r="K90" s="160"/>
      <c r="L90">
        <v>342.1429351145037</v>
      </c>
      <c r="M90" s="160">
        <v>179.82926363378471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>
      <c r="B91" s="130">
        <v>348.14544274809145</v>
      </c>
      <c r="C91" s="160">
        <v>28.273116725357909</v>
      </c>
      <c r="D91">
        <v>348.14544274809145</v>
      </c>
      <c r="E91" s="160">
        <v>-1758.4840996106641</v>
      </c>
      <c r="F91">
        <v>348.14544274809145</v>
      </c>
      <c r="G91" s="160">
        <v>481.3702303893358</v>
      </c>
      <c r="I91" s="160"/>
      <c r="K91" s="160"/>
      <c r="L91">
        <v>346.14460687022887</v>
      </c>
      <c r="M91" s="160">
        <v>179.82784513838834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>
      <c r="B92" s="130">
        <v>352.14711450381662</v>
      </c>
      <c r="C92" s="160">
        <v>28.285253107771297</v>
      </c>
      <c r="D92">
        <v>352.14711450381662</v>
      </c>
      <c r="E92" s="160">
        <v>-1762.4897037555306</v>
      </c>
      <c r="F92">
        <v>352.14711450381662</v>
      </c>
      <c r="G92" s="160">
        <v>477.36462624446926</v>
      </c>
      <c r="I92" s="160"/>
      <c r="K92" s="160"/>
      <c r="L92">
        <v>350.14627862595404</v>
      </c>
      <c r="M92" s="160">
        <v>179.82640287509795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>
      <c r="B93" s="130">
        <v>356.14878625954179</v>
      </c>
      <c r="C93" s="160">
        <v>28.297491922847822</v>
      </c>
      <c r="D93">
        <v>356.14878625954179</v>
      </c>
      <c r="E93" s="160">
        <v>-1766.4952744909235</v>
      </c>
      <c r="F93">
        <v>356.14878625954179</v>
      </c>
      <c r="G93" s="160">
        <v>473.35905550907637</v>
      </c>
      <c r="I93" s="160"/>
      <c r="K93" s="160"/>
      <c r="L93">
        <v>354.14795038167921</v>
      </c>
      <c r="M93" s="160">
        <v>179.82493624147949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>
      <c r="B94" s="130">
        <v>360.15045801526696</v>
      </c>
      <c r="C94" s="160">
        <v>28.309834916161691</v>
      </c>
      <c r="D94">
        <v>360.15045801526696</v>
      </c>
      <c r="E94" s="160">
        <v>-1770.5008118088419</v>
      </c>
      <c r="F94">
        <v>360.15045801526696</v>
      </c>
      <c r="G94" s="160">
        <v>469.35351819115795</v>
      </c>
      <c r="I94" s="160"/>
      <c r="K94" s="160"/>
      <c r="L94">
        <v>358.14962213740438</v>
      </c>
      <c r="M94" s="160">
        <v>179.82344461456557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>
      <c r="B95" s="130">
        <v>364.15212977099213</v>
      </c>
      <c r="C95" s="160">
        <v>28.322283878291682</v>
      </c>
      <c r="D95">
        <v>364.15212977099213</v>
      </c>
      <c r="E95" s="160">
        <v>-1774.5063157010093</v>
      </c>
      <c r="F95">
        <v>364.15212977099213</v>
      </c>
      <c r="G95" s="160">
        <v>465.34801429899062</v>
      </c>
      <c r="I95" s="160"/>
      <c r="K95" s="160"/>
      <c r="L95">
        <v>362.15129389312955</v>
      </c>
      <c r="M95" s="160">
        <v>179.82192734997241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>
      <c r="B96" s="130">
        <v>368.1538015267173</v>
      </c>
      <c r="C96" s="160">
        <v>28.334840646381654</v>
      </c>
      <c r="D96">
        <v>368.1538015267173</v>
      </c>
      <c r="E96" s="160">
        <v>-1778.5117861588606</v>
      </c>
      <c r="F96">
        <v>368.1538015267173</v>
      </c>
      <c r="G96" s="160">
        <v>461.34254384113933</v>
      </c>
      <c r="I96" s="160"/>
      <c r="K96" s="160"/>
      <c r="L96">
        <v>366.15296564885472</v>
      </c>
      <c r="M96" s="160">
        <v>179.82038378097249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>
      <c r="B97" s="130">
        <v>372.15547328244247</v>
      </c>
      <c r="C97" s="160">
        <v>28.34750710576937</v>
      </c>
      <c r="D97">
        <v>372.15547328244247</v>
      </c>
      <c r="E97" s="160">
        <v>-1782.5172231735296</v>
      </c>
      <c r="F97">
        <v>372.15547328244247</v>
      </c>
      <c r="G97" s="160">
        <v>457.33710682647029</v>
      </c>
      <c r="I97" s="160"/>
      <c r="K97" s="160"/>
      <c r="L97">
        <v>370.15463740457989</v>
      </c>
      <c r="M97" s="160">
        <v>179.81881321751615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>
      <c r="B98" s="130">
        <v>376.15714503816764</v>
      </c>
      <c r="C98" s="160">
        <v>28.360285191687097</v>
      </c>
      <c r="D98">
        <v>376.15714503816764</v>
      </c>
      <c r="E98" s="160">
        <v>-1786.5226267358364</v>
      </c>
      <c r="F98">
        <v>376.15714503816764</v>
      </c>
      <c r="G98" s="160">
        <v>453.33170326416348</v>
      </c>
      <c r="I98" s="160"/>
      <c r="K98" s="160"/>
      <c r="L98">
        <v>374.15630916030506</v>
      </c>
      <c r="M98" s="160">
        <v>179.81721494520411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>
      <c r="B99" s="130">
        <v>380.15881679389281</v>
      </c>
      <c r="C99" s="160">
        <v>28.373176891037907</v>
      </c>
      <c r="D99">
        <v>380.15881679389281</v>
      </c>
      <c r="E99" s="160">
        <v>-1790.527996836272</v>
      </c>
      <c r="F99">
        <v>380.15881679389281</v>
      </c>
      <c r="G99" s="160">
        <v>449.3263331637279</v>
      </c>
      <c r="I99" s="160"/>
      <c r="K99" s="160"/>
      <c r="L99">
        <v>378.15798091603023</v>
      </c>
      <c r="M99" s="160">
        <v>179.8155882242034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>
      <c r="B100" s="130">
        <v>384.16048854961798</v>
      </c>
      <c r="C100" s="160">
        <v>28.386184244251773</v>
      </c>
      <c r="D100">
        <v>384.16048854961798</v>
      </c>
      <c r="E100" s="160">
        <v>-1794.5333334649858</v>
      </c>
      <c r="F100">
        <v>384.16048854961798</v>
      </c>
      <c r="G100" s="160">
        <v>445.32099653501405</v>
      </c>
      <c r="I100" s="160"/>
      <c r="K100" s="160"/>
      <c r="L100">
        <v>382.1596526717554</v>
      </c>
      <c r="M100" s="160">
        <v>179.81393228810492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>
      <c r="B101" s="130">
        <v>388.16216030534315</v>
      </c>
      <c r="C101" s="160">
        <v>28.399309347225717</v>
      </c>
      <c r="D101">
        <v>388.16216030534315</v>
      </c>
      <c r="E101" s="160">
        <v>-1798.5386366117673</v>
      </c>
      <c r="F101">
        <v>388.16216030534315</v>
      </c>
      <c r="G101" s="160">
        <v>441.3156933882326</v>
      </c>
      <c r="I101" s="160"/>
      <c r="K101" s="160"/>
      <c r="L101">
        <v>386.16132442748057</v>
      </c>
      <c r="M101" s="160">
        <v>179.81224634271985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>
      <c r="B102" s="130">
        <v>392.16383206106832</v>
      </c>
      <c r="C102" s="160">
        <v>28.412554353352732</v>
      </c>
      <c r="D102">
        <v>392.16383206106832</v>
      </c>
      <c r="E102" s="160">
        <v>-1802.5439062660309</v>
      </c>
      <c r="F102">
        <v>392.16383206106832</v>
      </c>
      <c r="G102" s="160">
        <v>437.31042373396895</v>
      </c>
      <c r="I102" s="160"/>
      <c r="K102" s="160"/>
      <c r="L102">
        <v>390.16299618320573</v>
      </c>
      <c r="M102" s="160">
        <v>179.81052956480855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>
      <c r="B103" s="130">
        <v>396.16550381679349</v>
      </c>
      <c r="C103" s="160">
        <v>28.425921475644252</v>
      </c>
      <c r="D103">
        <v>396.16550381679349</v>
      </c>
      <c r="E103" s="160">
        <v>-1806.549142416799</v>
      </c>
      <c r="F103">
        <v>396.16550381679349</v>
      </c>
      <c r="G103" s="160">
        <v>433.3051875832009</v>
      </c>
      <c r="I103" s="160"/>
      <c r="K103" s="160"/>
      <c r="L103">
        <v>394.1646679389309</v>
      </c>
      <c r="M103" s="160">
        <v>179.80878110074124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>
      <c r="B104" s="130">
        <v>400.16717557251866</v>
      </c>
      <c r="C104" s="160">
        <v>28.439412988951535</v>
      </c>
      <c r="D104">
        <v>400.16717557251866</v>
      </c>
      <c r="E104" s="160">
        <v>-1810.5543450526827</v>
      </c>
      <c r="F104">
        <v>400.16717557251866</v>
      </c>
      <c r="G104" s="160">
        <v>429.29998494731717</v>
      </c>
      <c r="I104" s="160"/>
      <c r="K104" s="160"/>
      <c r="L104">
        <v>398.16633969465607</v>
      </c>
      <c r="M104" s="160">
        <v>179.80700006508144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>
      <c r="B105" s="130">
        <v>404.16884732824383</v>
      </c>
      <c r="C105" s="160">
        <v>28.453031232291494</v>
      </c>
      <c r="D105">
        <v>404.16884732824383</v>
      </c>
      <c r="E105" s="160">
        <v>-1814.5595141618626</v>
      </c>
      <c r="F105">
        <v>404.16884732824383</v>
      </c>
      <c r="G105" s="160">
        <v>425.29481583813731</v>
      </c>
      <c r="I105" s="160"/>
      <c r="K105" s="160"/>
      <c r="L105">
        <v>402.16801145038124</v>
      </c>
      <c r="M105" s="160">
        <v>179.80518553909073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>
      <c r="B106" s="130">
        <v>408.170519083969</v>
      </c>
      <c r="C106" s="160">
        <v>28.466778611282873</v>
      </c>
      <c r="D106">
        <v>408.170519083969</v>
      </c>
      <c r="E106" s="160">
        <v>-1818.5646497320697</v>
      </c>
      <c r="F106">
        <v>408.170519083969</v>
      </c>
      <c r="G106" s="160">
        <v>421.28968026793018</v>
      </c>
      <c r="I106" s="160"/>
      <c r="K106" s="160"/>
      <c r="L106">
        <v>406.16968320610641</v>
      </c>
      <c r="M106" s="160">
        <v>179.80333656914863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>
      <c r="B107" s="130">
        <v>412.17219083969417</v>
      </c>
      <c r="C107" s="160">
        <v>28.4806576006992</v>
      </c>
      <c r="D107">
        <v>412.17219083969417</v>
      </c>
      <c r="E107" s="160">
        <v>-1822.5697517505605</v>
      </c>
      <c r="F107">
        <v>412.17219083969417</v>
      </c>
      <c r="G107" s="160">
        <v>417.28457824943939</v>
      </c>
      <c r="I107" s="160"/>
      <c r="K107" s="160"/>
      <c r="L107">
        <v>410.17135496183158</v>
      </c>
      <c r="M107" s="160">
        <v>179.80145216508032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>
      <c r="B108" s="130">
        <v>416.17386259541934</v>
      </c>
      <c r="C108" s="160">
        <v>28.494670747145193</v>
      </c>
      <c r="D108">
        <v>416.17386259541934</v>
      </c>
      <c r="E108" s="160">
        <v>-1826.5748202040977</v>
      </c>
      <c r="F108">
        <v>416.17386259541934</v>
      </c>
      <c r="G108" s="160">
        <v>413.27950979590219</v>
      </c>
      <c r="I108" s="160"/>
      <c r="K108" s="160"/>
      <c r="L108">
        <v>414.17302671755675</v>
      </c>
      <c r="M108" s="160">
        <v>179.79953129838947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>
      <c r="B109" s="130">
        <v>420.17553435114451</v>
      </c>
      <c r="C109" s="160">
        <v>28.508820671864001</v>
      </c>
      <c r="D109">
        <v>420.17553435114451</v>
      </c>
      <c r="E109" s="160">
        <v>-1830.5798550789229</v>
      </c>
      <c r="F109">
        <v>420.17553435114451</v>
      </c>
      <c r="G109" s="160">
        <v>409.27447492107694</v>
      </c>
      <c r="I109" s="160"/>
      <c r="K109" s="160"/>
      <c r="L109">
        <v>418.17469847328192</v>
      </c>
      <c r="M109" s="160">
        <v>179.79757290038438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>
      <c r="B110" s="130">
        <v>424.17720610686968</v>
      </c>
      <c r="C110" s="160">
        <v>28.523110073682862</v>
      </c>
      <c r="D110">
        <v>424.17720610686968</v>
      </c>
      <c r="E110" s="160">
        <v>-1834.5848563607333</v>
      </c>
      <c r="F110">
        <v>424.17720610686968</v>
      </c>
      <c r="G110" s="160">
        <v>405.26947363926661</v>
      </c>
      <c r="I110" s="160"/>
      <c r="K110" s="160"/>
      <c r="L110">
        <v>422.17637022900709</v>
      </c>
      <c r="M110" s="160">
        <v>179.79557586019632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>
      <c r="B111" s="130">
        <v>428.17887786259485</v>
      </c>
      <c r="C111" s="160">
        <v>28.537541732105584</v>
      </c>
      <c r="D111">
        <v>428.17887786259485</v>
      </c>
      <c r="E111" s="160">
        <v>-1838.5898240346523</v>
      </c>
      <c r="F111">
        <v>428.17887786259485</v>
      </c>
      <c r="G111" s="160">
        <v>401.26450596534755</v>
      </c>
      <c r="I111" s="160"/>
      <c r="K111" s="160"/>
      <c r="L111">
        <v>426.17804198473226</v>
      </c>
      <c r="M111" s="160">
        <v>179.79353902267718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>
      <c r="B112" s="130">
        <v>432.18054961832001</v>
      </c>
      <c r="C112" s="160">
        <v>28.552118510560653</v>
      </c>
      <c r="D112">
        <v>432.18054961832001</v>
      </c>
      <c r="E112" s="160">
        <v>-1842.5947580852016</v>
      </c>
      <c r="F112">
        <v>432.18054961832001</v>
      </c>
      <c r="G112" s="160">
        <v>397.25957191479824</v>
      </c>
      <c r="I112" s="160"/>
      <c r="K112" s="160"/>
      <c r="L112">
        <v>430.17971374045743</v>
      </c>
      <c r="M112" s="160">
        <v>179.79146118617106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>
      <c r="B113" s="130">
        <v>436.18222137404518</v>
      </c>
      <c r="C113" s="160">
        <v>28.56684335981447</v>
      </c>
      <c r="D113">
        <v>436.18222137404518</v>
      </c>
      <c r="E113" s="160">
        <v>-1846.5996584962704</v>
      </c>
      <c r="F113">
        <v>436.18222137404518</v>
      </c>
      <c r="G113" s="160">
        <v>393.25467150372947</v>
      </c>
      <c r="I113" s="160"/>
      <c r="K113" s="160"/>
      <c r="L113">
        <v>434.1813854961826</v>
      </c>
      <c r="M113" s="160">
        <v>179.78934110014987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>
      <c r="B114" s="130">
        <v>440.18389312977035</v>
      </c>
      <c r="C114" s="160">
        <v>28.581719321559923</v>
      </c>
      <c r="D114">
        <v>440.18389312977035</v>
      </c>
      <c r="E114" s="160">
        <v>-1850.6045252510826</v>
      </c>
      <c r="F114">
        <v>440.18389312977035</v>
      </c>
      <c r="G114" s="160">
        <v>389.24980474891731</v>
      </c>
      <c r="I114" s="160"/>
      <c r="K114" s="160"/>
      <c r="L114">
        <v>438.18305725190777</v>
      </c>
      <c r="M114" s="160">
        <v>179.78717746270283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>
      <c r="B115" s="130">
        <v>444.18556488549552</v>
      </c>
      <c r="C115" s="160">
        <v>28.596749532191179</v>
      </c>
      <c r="D115">
        <v>444.18556488549552</v>
      </c>
      <c r="E115" s="160">
        <v>-1854.6093583321617</v>
      </c>
      <c r="F115">
        <v>444.18556488549552</v>
      </c>
      <c r="G115" s="160">
        <v>385.24497166783817</v>
      </c>
      <c r="I115" s="160"/>
      <c r="K115" s="160"/>
      <c r="L115">
        <v>442.18472900763294</v>
      </c>
      <c r="M115" s="160">
        <v>179.78496891787003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>
      <c r="B116" s="130">
        <v>448.18723664122069</v>
      </c>
      <c r="C116" s="160">
        <v>28.611937226776433</v>
      </c>
      <c r="D116">
        <v>448.18723664122069</v>
      </c>
      <c r="E116" s="160">
        <v>-1858.6141577212948</v>
      </c>
      <c r="F116">
        <v>448.18723664122069</v>
      </c>
      <c r="G116" s="160">
        <v>381.24017227870513</v>
      </c>
      <c r="I116" s="160"/>
      <c r="K116" s="160"/>
      <c r="L116">
        <v>446.18640076335811</v>
      </c>
      <c r="M116" s="160">
        <v>179.78271405280788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>
      <c r="B117" s="130">
        <v>452.18890839694586</v>
      </c>
      <c r="C117" s="160">
        <v>28.627285743241231</v>
      </c>
      <c r="D117">
        <v>452.18890839694586</v>
      </c>
      <c r="E117" s="160">
        <v>-1862.6189233994926</v>
      </c>
      <c r="F117">
        <v>452.18890839694586</v>
      </c>
      <c r="G117" s="160">
        <v>377.2354066005073</v>
      </c>
      <c r="I117" s="160"/>
      <c r="K117" s="160"/>
      <c r="L117">
        <v>450.18807251908328</v>
      </c>
      <c r="M117" s="160">
        <v>179.78041139477409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>
      <c r="B118" s="130">
        <v>456.19058015267103</v>
      </c>
      <c r="C118" s="160">
        <v>28.64279852677582</v>
      </c>
      <c r="D118">
        <v>456.19058015267103</v>
      </c>
      <c r="E118" s="160">
        <v>-1866.6236553469482</v>
      </c>
      <c r="F118">
        <v>456.19058015267103</v>
      </c>
      <c r="G118" s="160">
        <v>373.23067465305166</v>
      </c>
      <c r="I118" s="160"/>
      <c r="K118" s="160"/>
      <c r="L118">
        <v>454.18974427480845</v>
      </c>
      <c r="M118" s="160">
        <v>179.77805940791981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>
      <c r="B119" s="130">
        <v>460.1922519083962</v>
      </c>
      <c r="C119" s="160">
        <v>28.658479134481208</v>
      </c>
      <c r="D119">
        <v>460.1922519083962</v>
      </c>
      <c r="E119" s="160">
        <v>-1870.6283535429914</v>
      </c>
      <c r="F119">
        <v>460.1922519083962</v>
      </c>
      <c r="G119" s="160">
        <v>369.22597645700853</v>
      </c>
      <c r="I119" s="160"/>
      <c r="K119" s="160"/>
      <c r="L119">
        <v>458.19141603053362</v>
      </c>
      <c r="M119" s="160">
        <v>179.77565648987169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>
      <c r="B120" s="130">
        <v>464.19392366412137</v>
      </c>
      <c r="C120" s="160">
        <v>28.674331240269478</v>
      </c>
      <c r="D120">
        <v>464.19392366412137</v>
      </c>
      <c r="E120" s="160">
        <v>-1874.6330179660429</v>
      </c>
      <c r="F120">
        <v>464.19392366412137</v>
      </c>
      <c r="G120" s="160">
        <v>365.22131203395702</v>
      </c>
      <c r="I120" s="160"/>
      <c r="K120" s="160"/>
      <c r="L120">
        <v>462.19308778625879</v>
      </c>
      <c r="M120" s="160">
        <v>179.77320096809123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>
      <c r="B121" s="130">
        <v>468.19559541984654</v>
      </c>
      <c r="C121" s="160">
        <v>28.690358640035377</v>
      </c>
      <c r="D121">
        <v>468.19559541984654</v>
      </c>
      <c r="E121" s="160">
        <v>-1878.6376485935623</v>
      </c>
      <c r="F121">
        <v>468.19559541984654</v>
      </c>
      <c r="G121" s="160">
        <v>361.2166814064376</v>
      </c>
      <c r="I121" s="160"/>
      <c r="K121" s="160"/>
      <c r="L121">
        <v>466.19475954198396</v>
      </c>
      <c r="M121" s="160">
        <v>179.77069109599043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>
      <c r="B122" s="130">
        <v>472.19726717557171</v>
      </c>
      <c r="C122" s="160">
        <v>28.706565257117269</v>
      </c>
      <c r="D122">
        <v>472.19726717557171</v>
      </c>
      <c r="E122" s="160">
        <v>-1882.6422454019951</v>
      </c>
      <c r="F122">
        <v>472.19726717557171</v>
      </c>
      <c r="G122" s="160">
        <v>357.21208459800482</v>
      </c>
      <c r="I122" s="160"/>
      <c r="K122" s="160"/>
      <c r="L122">
        <v>470.19643129770913</v>
      </c>
      <c r="M122" s="160">
        <v>179.7681250487887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>
      <c r="B123" s="130">
        <v>476.19893893129688</v>
      </c>
      <c r="C123" s="160">
        <v>28.722955148067246</v>
      </c>
      <c r="D123">
        <v>476.19893893129688</v>
      </c>
      <c r="E123" s="160">
        <v>-1886.6468083667137</v>
      </c>
      <c r="F123">
        <v>476.19893893129688</v>
      </c>
      <c r="G123" s="160">
        <v>353.20752163328621</v>
      </c>
      <c r="I123" s="160"/>
      <c r="K123" s="160"/>
      <c r="L123">
        <v>474.19810305343429</v>
      </c>
      <c r="M123" s="160">
        <v>179.76550091908578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>
      <c r="B124" s="130">
        <v>480.20061068702205</v>
      </c>
      <c r="C124" s="160">
        <v>28.739532508751498</v>
      </c>
      <c r="D124">
        <v>480.20061068702205</v>
      </c>
      <c r="E124" s="160">
        <v>-1890.6513374619572</v>
      </c>
      <c r="F124">
        <v>480.20061068702205</v>
      </c>
      <c r="G124" s="160">
        <v>349.20299253804274</v>
      </c>
      <c r="I124" s="160"/>
      <c r="K124" s="160"/>
      <c r="L124">
        <v>478.19977480915946</v>
      </c>
      <c r="M124" s="160">
        <v>179.76281671213303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>
      <c r="B125" s="130">
        <v>484.20228244274722</v>
      </c>
      <c r="C125" s="160">
        <v>28.756301680804004</v>
      </c>
      <c r="D125">
        <v>484.20228244274722</v>
      </c>
      <c r="E125" s="160">
        <v>-1894.6558326607642</v>
      </c>
      <c r="F125">
        <v>484.20228244274722</v>
      </c>
      <c r="G125" s="160">
        <v>345.1984973392357</v>
      </c>
      <c r="I125" s="160"/>
      <c r="K125" s="160"/>
      <c r="L125">
        <v>482.20144656488463</v>
      </c>
      <c r="M125" s="160">
        <v>179.76007034077429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>
      <c r="B126" s="130">
        <v>488.20395419847239</v>
      </c>
      <c r="C126" s="160">
        <v>28.773267158458339</v>
      </c>
      <c r="D126">
        <v>488.20395419847239</v>
      </c>
      <c r="E126" s="160">
        <v>-1898.6602939349023</v>
      </c>
      <c r="F126">
        <v>488.20395419847239</v>
      </c>
      <c r="G126" s="160">
        <v>341.19403606509763</v>
      </c>
      <c r="I126" s="160"/>
      <c r="K126" s="160"/>
      <c r="L126">
        <v>486.2031183206098</v>
      </c>
      <c r="M126" s="160">
        <v>179.75725962003165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>
      <c r="B127" s="130">
        <v>492.20562595419756</v>
      </c>
      <c r="C127" s="160">
        <v>28.790433595784485</v>
      </c>
      <c r="D127">
        <v>492.20562595419756</v>
      </c>
      <c r="E127" s="160">
        <v>-1902.6647212547925</v>
      </c>
      <c r="F127">
        <v>492.20562595419756</v>
      </c>
      <c r="G127" s="160">
        <v>337.18960874520735</v>
      </c>
      <c r="I127" s="160"/>
      <c r="K127" s="160"/>
      <c r="L127">
        <v>490.20479007633497</v>
      </c>
      <c r="M127" s="160">
        <v>179.75438226130629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>
      <c r="B128" s="130">
        <v>496.20729770992273</v>
      </c>
      <c r="C128" s="160">
        <v>28.807805814359885</v>
      </c>
      <c r="D128">
        <v>496.20729770992273</v>
      </c>
      <c r="E128" s="160">
        <v>-1906.6691145894285</v>
      </c>
      <c r="F128">
        <v>496.20729770992273</v>
      </c>
      <c r="G128" s="160">
        <v>333.18521541057135</v>
      </c>
      <c r="I128" s="160"/>
      <c r="K128" s="160"/>
      <c r="L128">
        <v>494.20646183206014</v>
      </c>
      <c r="M128" s="160">
        <v>179.7514358661607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>
      <c r="B129" s="130">
        <v>500.2089694656479</v>
      </c>
      <c r="C129" s="160">
        <v>28.825388811406249</v>
      </c>
      <c r="D129">
        <v>500.2089694656479</v>
      </c>
      <c r="E129" s="160">
        <v>-1910.6734739062881</v>
      </c>
      <c r="F129">
        <v>500.2089694656479</v>
      </c>
      <c r="G129" s="160">
        <v>329.18085609371178</v>
      </c>
      <c r="I129" s="160"/>
      <c r="K129" s="160"/>
      <c r="L129">
        <v>498.20813358778531</v>
      </c>
      <c r="M129" s="160">
        <v>179.74841791964943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>
      <c r="B130" s="130">
        <v>504.21064122137307</v>
      </c>
      <c r="C130" s="160">
        <v>28.843187768426624</v>
      </c>
      <c r="D130">
        <v>504.21064122137307</v>
      </c>
      <c r="E130" s="160">
        <v>-1914.6777991712404</v>
      </c>
      <c r="F130">
        <v>504.21064122137307</v>
      </c>
      <c r="G130" s="160">
        <v>325.1765308287595</v>
      </c>
      <c r="I130" s="160"/>
      <c r="K130" s="160"/>
      <c r="L130">
        <v>502.20980534351048</v>
      </c>
      <c r="M130" s="160">
        <v>179.74532578315618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>
      <c r="B131" s="130">
        <v>508.21231297709824</v>
      </c>
      <c r="C131" s="160">
        <v>28.861208060379308</v>
      </c>
      <c r="D131">
        <v>508.21231297709824</v>
      </c>
      <c r="E131" s="160">
        <v>-1918.6820903484459</v>
      </c>
      <c r="F131">
        <v>508.21231297709824</v>
      </c>
      <c r="G131" s="160">
        <v>321.17223965155404</v>
      </c>
      <c r="I131" s="160"/>
      <c r="K131" s="160"/>
      <c r="L131">
        <v>506.21147709923565</v>
      </c>
      <c r="M131" s="160">
        <v>179.74215668670649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>
      <c r="B132" s="130">
        <v>512.21398473282341</v>
      </c>
      <c r="C132" s="160">
        <v>28.879455265420372</v>
      </c>
      <c r="D132">
        <v>512.21398473282341</v>
      </c>
      <c r="E132" s="160">
        <v>-1922.6863474002462</v>
      </c>
      <c r="F132">
        <v>512.21398473282341</v>
      </c>
      <c r="G132" s="160">
        <v>317.16798259975371</v>
      </c>
      <c r="I132" s="160"/>
      <c r="K132" s="160"/>
      <c r="L132">
        <v>510.21314885496082</v>
      </c>
      <c r="M132" s="160">
        <v>179.73890772082589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>
      <c r="B133" s="130">
        <v>516.21565648854857</v>
      </c>
      <c r="C133" s="160">
        <v>28.897935175120121</v>
      </c>
      <c r="D133">
        <v>516.21565648854857</v>
      </c>
      <c r="E133" s="160">
        <v>-1926.690570287049</v>
      </c>
      <c r="F133">
        <v>516.21565648854857</v>
      </c>
      <c r="G133" s="160">
        <v>313.16375971295088</v>
      </c>
      <c r="I133" s="160"/>
      <c r="K133" s="160"/>
      <c r="L133">
        <v>514.21482061068605</v>
      </c>
      <c r="M133" s="160">
        <v>179.73557582975209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>
      <c r="B134" s="130">
        <v>520.21732824427374</v>
      </c>
      <c r="C134" s="160">
        <v>28.916653803099312</v>
      </c>
      <c r="D134">
        <v>520.21732824427374</v>
      </c>
      <c r="E134" s="160">
        <v>-1930.6947589672145</v>
      </c>
      <c r="F134">
        <v>520.21732824427374</v>
      </c>
      <c r="G134" s="160">
        <v>309.15957103278538</v>
      </c>
      <c r="I134" s="160"/>
      <c r="K134" s="160"/>
      <c r="L134">
        <v>518.2164923664111</v>
      </c>
      <c r="M134" s="160">
        <v>179.73215783404004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>
      <c r="B135" s="130">
        <v>524.21899999999891</v>
      </c>
      <c r="C135" s="160">
        <v>28.935617360661006</v>
      </c>
      <c r="D135">
        <v>524.21899999999891</v>
      </c>
      <c r="E135" s="160">
        <v>-1934.6989133970897</v>
      </c>
      <c r="F135">
        <v>524.21899999999891</v>
      </c>
      <c r="G135" s="160">
        <v>305.15541660291024</v>
      </c>
      <c r="I135" s="160"/>
      <c r="K135" s="160"/>
      <c r="L135">
        <v>522.21816412213639</v>
      </c>
      <c r="M135" s="160">
        <v>179.72865090281832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>
      <c r="B136" s="130">
        <v>526.21899999999891</v>
      </c>
      <c r="C136" s="160">
        <v>28.945189181882981</v>
      </c>
      <c r="D136">
        <v>526.21899999999891</v>
      </c>
      <c r="E136" s="160">
        <v>-1936.7001413634061</v>
      </c>
      <c r="F136">
        <v>526.21899999999891</v>
      </c>
      <c r="G136" s="160">
        <v>303.15418863659374</v>
      </c>
      <c r="I136" s="160"/>
      <c r="K136" s="160"/>
      <c r="L136">
        <v>525.21899999999891</v>
      </c>
      <c r="M136" s="160">
        <v>179.72595786912615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>
      <c r="B137" s="130">
        <v>528.21899999999891</v>
      </c>
      <c r="C137" s="160">
        <v>28.954824620915733</v>
      </c>
      <c r="D137">
        <v>528.21899999999891</v>
      </c>
      <c r="E137" s="160">
        <v>-1938.7013607568886</v>
      </c>
      <c r="F137">
        <v>528.21899999999891</v>
      </c>
      <c r="G137" s="160">
        <v>301.15296924311133</v>
      </c>
      <c r="I137" s="160"/>
      <c r="K137" s="160"/>
      <c r="L137">
        <v>527.21899999999891</v>
      </c>
      <c r="M137" s="160">
        <v>179.7241353316212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>
      <c r="B138" s="130">
        <v>530.21899999999891</v>
      </c>
      <c r="C138" s="160">
        <v>28.964524556563937</v>
      </c>
      <c r="D138">
        <v>530.21899999999891</v>
      </c>
      <c r="E138" s="160">
        <v>-1940.7025715712543</v>
      </c>
      <c r="F138">
        <v>530.21899999999891</v>
      </c>
      <c r="G138" s="160">
        <v>299.15175842874555</v>
      </c>
      <c r="I138" s="160"/>
      <c r="K138" s="160"/>
      <c r="L138">
        <v>529.21899999999891</v>
      </c>
      <c r="M138" s="160">
        <v>179.72228761811201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>
      <c r="B139" s="130">
        <v>532.21899999999891</v>
      </c>
      <c r="C139" s="160">
        <v>28.974289864087662</v>
      </c>
      <c r="D139">
        <v>532.21899999999891</v>
      </c>
      <c r="E139" s="160">
        <v>-1942.7037738001522</v>
      </c>
      <c r="F139">
        <v>532.21899999999891</v>
      </c>
      <c r="G139" s="160">
        <v>297.15055619984764</v>
      </c>
      <c r="I139" s="160"/>
      <c r="K139" s="160"/>
      <c r="L139">
        <v>531.21899999999891</v>
      </c>
      <c r="M139" s="160">
        <v>179.72041482975712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>
      <c r="B140" s="130">
        <v>534.21899999999891</v>
      </c>
      <c r="C140" s="160">
        <v>28.984121432306665</v>
      </c>
      <c r="D140">
        <v>534.21899999999891</v>
      </c>
      <c r="E140" s="160">
        <v>-1944.7049674370792</v>
      </c>
      <c r="F140">
        <v>534.21899999999891</v>
      </c>
      <c r="G140" s="160">
        <v>295.14936256292071</v>
      </c>
      <c r="I140" s="160"/>
      <c r="K140" s="160"/>
      <c r="L140">
        <v>533.21899999999891</v>
      </c>
      <c r="M140" s="160">
        <v>179.71851657800727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>
      <c r="B141" s="130">
        <v>536.21899999999891</v>
      </c>
      <c r="C141" s="160">
        <v>28.994020167412529</v>
      </c>
      <c r="D141">
        <v>536.21899999999891</v>
      </c>
      <c r="E141" s="160">
        <v>-1946.7061524753574</v>
      </c>
      <c r="F141">
        <v>536.21899999999891</v>
      </c>
      <c r="G141" s="160">
        <v>293.14817752464251</v>
      </c>
      <c r="I141" s="160"/>
      <c r="K141" s="160"/>
      <c r="L141">
        <v>535.21899999999891</v>
      </c>
      <c r="M141" s="160">
        <v>179.71659236516078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>
      <c r="B142" s="130">
        <v>538.21899999999891</v>
      </c>
      <c r="C142" s="160">
        <v>29.003986994138621</v>
      </c>
      <c r="D142">
        <v>538.21899999999891</v>
      </c>
      <c r="E142" s="160">
        <v>-1948.7073289081263</v>
      </c>
      <c r="F142">
        <v>538.21899999999891</v>
      </c>
      <c r="G142" s="160">
        <v>291.14700109187356</v>
      </c>
      <c r="I142" s="160"/>
      <c r="K142" s="160"/>
      <c r="L142">
        <v>537.21899999999891</v>
      </c>
      <c r="M142" s="160">
        <v>179.7146416600103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>
      <c r="B143" s="130">
        <v>540.21899999999891</v>
      </c>
      <c r="C143" s="160">
        <v>29.014022856413856</v>
      </c>
      <c r="D143">
        <v>540.21899999999891</v>
      </c>
      <c r="E143" s="160">
        <v>-1950.7084967283331</v>
      </c>
      <c r="F143">
        <v>540.21899999999891</v>
      </c>
      <c r="G143" s="160">
        <v>289.14583327166679</v>
      </c>
      <c r="I143" s="160"/>
      <c r="K143" s="160"/>
      <c r="L143">
        <v>539.21899999999891</v>
      </c>
      <c r="M143" s="160">
        <v>179.7126639126206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>
      <c r="B144" s="130">
        <v>542.21899999999891</v>
      </c>
      <c r="C144" s="160">
        <v>29.024128717927049</v>
      </c>
      <c r="D144">
        <v>542.21899999999891</v>
      </c>
      <c r="E144" s="160">
        <v>-1952.7096559287295</v>
      </c>
      <c r="F144">
        <v>542.21899999999891</v>
      </c>
      <c r="G144" s="160">
        <v>287.1446740712704</v>
      </c>
      <c r="I144" s="160"/>
      <c r="K144" s="160"/>
      <c r="L144">
        <v>541.21899999999891</v>
      </c>
      <c r="M144" s="160">
        <v>179.71065855688889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>
      <c r="B145" s="130">
        <v>544.21899999999891</v>
      </c>
      <c r="C145" s="160">
        <v>29.034305562688377</v>
      </c>
      <c r="D145">
        <v>544.21899999999891</v>
      </c>
      <c r="E145" s="160">
        <v>-1954.7108065018606</v>
      </c>
      <c r="F145">
        <v>544.21899999999891</v>
      </c>
      <c r="G145" s="160">
        <v>285.1435234981393</v>
      </c>
      <c r="I145" s="160"/>
      <c r="K145" s="160"/>
      <c r="L145">
        <v>543.21899999999891</v>
      </c>
      <c r="M145" s="160">
        <v>179.70862501062626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>
      <c r="B146" s="130">
        <v>546.21899999999891</v>
      </c>
      <c r="C146" s="160">
        <v>29.044554395606074</v>
      </c>
      <c r="D146">
        <v>546.21899999999891</v>
      </c>
      <c r="E146" s="160">
        <v>-1956.7119484400607</v>
      </c>
      <c r="F146">
        <v>546.21899999999891</v>
      </c>
      <c r="G146" s="160">
        <v>283.14238155993917</v>
      </c>
      <c r="I146" s="160"/>
      <c r="K146" s="160"/>
      <c r="L146">
        <v>545.21899999999891</v>
      </c>
      <c r="M146" s="160">
        <v>179.70656267512217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>
      <c r="B147" s="130">
        <v>548.21899999999891</v>
      </c>
      <c r="C147" s="160">
        <v>29.054876243082774</v>
      </c>
      <c r="D147">
        <v>548.21899999999891</v>
      </c>
      <c r="E147" s="160">
        <v>-1958.7130817354448</v>
      </c>
      <c r="F147">
        <v>548.21899999999891</v>
      </c>
      <c r="G147" s="160">
        <v>281.14124826455509</v>
      </c>
      <c r="I147" s="160"/>
      <c r="K147" s="160"/>
      <c r="L147">
        <v>547.21899999999891</v>
      </c>
      <c r="M147" s="160">
        <v>179.70447093458074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>
      <c r="B148" s="130">
        <v>550.21899999999891</v>
      </c>
      <c r="C148" s="160">
        <v>29.065272153633057</v>
      </c>
      <c r="D148">
        <v>550.21899999999891</v>
      </c>
      <c r="E148" s="160">
        <v>-1960.7142063799008</v>
      </c>
      <c r="F148">
        <v>550.21899999999891</v>
      </c>
      <c r="G148" s="160">
        <v>279.14012362009908</v>
      </c>
      <c r="I148" s="160"/>
      <c r="K148" s="160"/>
      <c r="L148">
        <v>549.21899999999891</v>
      </c>
      <c r="M148" s="160">
        <v>179.70234915551364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>
      <c r="B149" s="130">
        <v>552.21899999999891</v>
      </c>
      <c r="C149" s="160">
        <v>29.075743198523313</v>
      </c>
      <c r="D149">
        <v>552.21899999999891</v>
      </c>
      <c r="E149" s="160">
        <v>-1962.7153223650803</v>
      </c>
      <c r="F149">
        <v>552.21899999999891</v>
      </c>
      <c r="G149" s="160">
        <v>277.13900763491961</v>
      </c>
      <c r="I149" s="160"/>
      <c r="K149" s="160"/>
      <c r="L149">
        <v>551.21899999999891</v>
      </c>
      <c r="M149" s="160">
        <v>179.70019668610047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>
      <c r="B150" s="130">
        <v>554.21899999999891</v>
      </c>
      <c r="C150" s="160">
        <v>29.086290472434907</v>
      </c>
      <c r="D150">
        <v>554.21899999999891</v>
      </c>
      <c r="E150" s="160">
        <v>-1964.716429682391</v>
      </c>
      <c r="F150">
        <v>554.21899999999891</v>
      </c>
      <c r="G150" s="160">
        <v>275.13790031760891</v>
      </c>
      <c r="I150" s="160"/>
      <c r="K150" s="160"/>
      <c r="L150">
        <v>553.21899999999891</v>
      </c>
      <c r="M150" s="160">
        <v>179.69801285552143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>
      <c r="B151" s="130">
        <v>556.21899999999891</v>
      </c>
      <c r="C151" s="160">
        <v>29.096915094151694</v>
      </c>
      <c r="D151">
        <v>556.21899999999891</v>
      </c>
      <c r="E151" s="160">
        <v>-1966.7175283229878</v>
      </c>
      <c r="F151">
        <v>556.21899999999891</v>
      </c>
      <c r="G151" s="160">
        <v>273.13680167701204</v>
      </c>
      <c r="I151" s="160"/>
      <c r="K151" s="160"/>
      <c r="L151">
        <v>555.21899999999891</v>
      </c>
      <c r="M151" s="160">
        <v>179.69579697325946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>
      <c r="B152" s="130">
        <v>558.21899999999891</v>
      </c>
      <c r="C152" s="160">
        <v>29.107618207272939</v>
      </c>
      <c r="D152">
        <v>558.21899999999891</v>
      </c>
      <c r="E152" s="160">
        <v>-1968.718618277763</v>
      </c>
      <c r="F152">
        <v>558.21899999999891</v>
      </c>
      <c r="G152" s="160">
        <v>271.13571172223692</v>
      </c>
      <c r="I152" s="160"/>
      <c r="K152" s="160"/>
      <c r="L152">
        <v>557.21899999999891</v>
      </c>
      <c r="M152" s="160">
        <v>179.69354832837234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>
      <c r="B153" s="130">
        <v>560.21899999999891</v>
      </c>
      <c r="C153" s="160">
        <v>29.118400980952828</v>
      </c>
      <c r="D153">
        <v>560.21899999999891</v>
      </c>
      <c r="E153" s="160">
        <v>-1970.7196995373361</v>
      </c>
      <c r="F153">
        <v>560.21899999999891</v>
      </c>
      <c r="G153" s="160">
        <v>269.13463046266384</v>
      </c>
      <c r="I153" s="160"/>
      <c r="K153" s="160"/>
      <c r="L153">
        <v>559.21899999999891</v>
      </c>
      <c r="M153" s="160">
        <v>179.69126618873108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>
      <c r="B154" s="130">
        <v>562.21899999999891</v>
      </c>
      <c r="C154" s="160">
        <v>29.129264610667718</v>
      </c>
      <c r="D154">
        <v>562.21899999999891</v>
      </c>
      <c r="E154" s="160">
        <v>-1972.7207720920444</v>
      </c>
      <c r="F154">
        <v>562.21899999999891</v>
      </c>
      <c r="G154" s="160">
        <v>267.13355790795549</v>
      </c>
      <c r="I154" s="160"/>
      <c r="K154" s="160"/>
      <c r="L154">
        <v>561.21899999999891</v>
      </c>
      <c r="M154" s="160">
        <v>179.68894980022495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>
      <c r="B155" s="130">
        <v>564.21899999999891</v>
      </c>
      <c r="C155" s="160">
        <v>29.140210319012414</v>
      </c>
      <c r="D155">
        <v>564.21899999999891</v>
      </c>
      <c r="E155" s="160">
        <v>-1974.7218359319318</v>
      </c>
      <c r="F155">
        <v>564.21899999999891</v>
      </c>
      <c r="G155" s="160">
        <v>265.13249406806813</v>
      </c>
      <c r="I155" s="160"/>
      <c r="K155" s="160"/>
      <c r="L155">
        <v>563.21899999999891</v>
      </c>
      <c r="M155" s="160">
        <v>179.68659838592993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>
      <c r="B156" s="130">
        <v>566.21899999999891</v>
      </c>
      <c r="C156" s="160">
        <v>29.151239356526784</v>
      </c>
      <c r="D156">
        <v>566.21899999999891</v>
      </c>
      <c r="E156" s="160">
        <v>-1976.7228910467377</v>
      </c>
      <c r="F156">
        <v>566.21899999999891</v>
      </c>
      <c r="G156" s="160">
        <v>263.1314389532622</v>
      </c>
      <c r="I156" s="160"/>
      <c r="K156" s="160"/>
      <c r="L156">
        <v>565.21899999999891</v>
      </c>
      <c r="M156" s="160">
        <v>179.68421114523957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>
      <c r="B157" s="130">
        <v>568.21899999999891</v>
      </c>
      <c r="C157" s="160">
        <v>29.162353002554138</v>
      </c>
      <c r="D157">
        <v>568.21899999999891</v>
      </c>
      <c r="E157" s="160">
        <v>-1978.723937425885</v>
      </c>
      <c r="F157">
        <v>568.21899999999891</v>
      </c>
      <c r="G157" s="160">
        <v>261.13039257411492</v>
      </c>
      <c r="I157" s="160"/>
      <c r="K157" s="160"/>
      <c r="L157">
        <v>567.21899999999891</v>
      </c>
      <c r="M157" s="160">
        <v>179.68178725295462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>
      <c r="B158" s="130">
        <v>570.21899999999891</v>
      </c>
      <c r="C158" s="160">
        <v>29.173552566132813</v>
      </c>
      <c r="D158">
        <v>570.21899999999891</v>
      </c>
      <c r="E158" s="160">
        <v>-1980.7249750584681</v>
      </c>
      <c r="F158">
        <v>570.21899999999891</v>
      </c>
      <c r="G158" s="160">
        <v>259.1293549415318</v>
      </c>
      <c r="I158" s="160"/>
      <c r="K158" s="160"/>
      <c r="L158">
        <v>569.21899999999891</v>
      </c>
      <c r="M158" s="160">
        <v>179.67932585833211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>
      <c r="B159" s="130">
        <v>572.21899999999891</v>
      </c>
      <c r="C159" s="160">
        <v>29.184839386922526</v>
      </c>
      <c r="D159">
        <v>572.21899999999891</v>
      </c>
      <c r="E159" s="160">
        <v>-1982.72600393324</v>
      </c>
      <c r="F159">
        <v>572.21899999999891</v>
      </c>
      <c r="G159" s="160">
        <v>257.12832606675988</v>
      </c>
      <c r="I159" s="160"/>
      <c r="K159" s="160"/>
      <c r="L159">
        <v>571.21899999999891</v>
      </c>
      <c r="M159" s="160">
        <v>179.67682608408884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>
      <c r="B160" s="130">
        <v>574.21899999999891</v>
      </c>
      <c r="C160" s="160">
        <v>29.196214836167169</v>
      </c>
      <c r="D160">
        <v>574.21899999999891</v>
      </c>
      <c r="E160" s="160">
        <v>-1984.7270240385988</v>
      </c>
      <c r="F160">
        <v>574.21899999999891</v>
      </c>
      <c r="G160" s="160">
        <v>255.12730596140113</v>
      </c>
      <c r="I160" s="160"/>
      <c r="K160" s="160"/>
      <c r="L160">
        <v>573.21899999999891</v>
      </c>
      <c r="M160" s="160">
        <v>179.6742870253575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>
      <c r="B161" s="130">
        <v>576.21899999999891</v>
      </c>
      <c r="C161" s="160">
        <v>29.207680317695726</v>
      </c>
      <c r="D161">
        <v>576.21899999999891</v>
      </c>
      <c r="E161" s="160">
        <v>-1986.7280353625736</v>
      </c>
      <c r="F161">
        <v>576.21899999999891</v>
      </c>
      <c r="G161" s="160">
        <v>253.12629463742633</v>
      </c>
      <c r="I161" s="160"/>
      <c r="K161" s="160"/>
      <c r="L161">
        <v>575.21899999999891</v>
      </c>
      <c r="M161" s="160">
        <v>179.67170774859429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>
      <c r="B162" s="130">
        <v>578.21899999999891</v>
      </c>
      <c r="C162" s="160">
        <v>29.219237268963187</v>
      </c>
      <c r="D162">
        <v>578.21899999999891</v>
      </c>
      <c r="E162" s="160">
        <v>-1988.7290378928096</v>
      </c>
      <c r="F162">
        <v>578.21899999999891</v>
      </c>
      <c r="G162" s="160">
        <v>251.12529210719026</v>
      </c>
      <c r="I162" s="160"/>
      <c r="K162" s="160"/>
      <c r="L162">
        <v>577.21899999999891</v>
      </c>
      <c r="M162" s="160">
        <v>179.66908729043297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>
      <c r="B163" s="130">
        <v>580.21899999999891</v>
      </c>
      <c r="C163" s="160">
        <v>29.230887162133364</v>
      </c>
      <c r="D163">
        <v>580.21899999999891</v>
      </c>
      <c r="E163" s="160">
        <v>-1990.7300316165531</v>
      </c>
      <c r="F163">
        <v>580.21899999999891</v>
      </c>
      <c r="G163" s="160">
        <v>249.12429838344679</v>
      </c>
      <c r="I163" s="160"/>
      <c r="K163" s="160"/>
      <c r="L163">
        <v>579.21899999999891</v>
      </c>
      <c r="M163" s="160">
        <v>179.66642465648459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>
      <c r="B164" s="130">
        <v>582.21899999999891</v>
      </c>
      <c r="C164" s="160">
        <v>29.242631505205662</v>
      </c>
      <c r="D164">
        <v>582.21899999999891</v>
      </c>
      <c r="E164" s="160">
        <v>-1992.7310165206341</v>
      </c>
      <c r="F164">
        <v>582.21899999999891</v>
      </c>
      <c r="G164" s="160">
        <v>247.12331347936583</v>
      </c>
      <c r="I164" s="160"/>
      <c r="K164" s="160"/>
      <c r="L164">
        <v>581.21899999999891</v>
      </c>
      <c r="M164" s="160">
        <v>179.66371882007758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>
      <c r="B165" s="130">
        <v>584.21899999999891</v>
      </c>
      <c r="C165" s="160">
        <v>29.254471843187947</v>
      </c>
      <c r="D165">
        <v>584.21899999999891</v>
      </c>
      <c r="E165" s="160">
        <v>-1994.7319925914503</v>
      </c>
      <c r="F165">
        <v>584.21899999999891</v>
      </c>
      <c r="G165" s="160">
        <v>245.12233740854958</v>
      </c>
      <c r="I165" s="160"/>
      <c r="K165" s="160"/>
      <c r="L165">
        <v>583.21899999999891</v>
      </c>
      <c r="M165" s="160">
        <v>179.66096872093763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>
      <c r="B166" s="130">
        <v>586.21899999999891</v>
      </c>
      <c r="C166" s="160">
        <v>29.266409759317835</v>
      </c>
      <c r="D166">
        <v>586.21899999999891</v>
      </c>
      <c r="E166" s="160">
        <v>-1996.7329598149493</v>
      </c>
      <c r="F166">
        <v>586.21899999999891</v>
      </c>
      <c r="G166" s="160">
        <v>243.12137018505064</v>
      </c>
      <c r="I166" s="160"/>
      <c r="K166" s="160"/>
      <c r="L166">
        <v>585.21899999999891</v>
      </c>
      <c r="M166" s="160">
        <v>179.65817326379997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>
      <c r="B167" s="130">
        <v>588.21899999999891</v>
      </c>
      <c r="C167" s="160">
        <v>29.278446876334765</v>
      </c>
      <c r="D167">
        <v>588.21899999999891</v>
      </c>
      <c r="E167" s="160">
        <v>-1998.7339181766083</v>
      </c>
      <c r="F167">
        <v>588.21899999999891</v>
      </c>
      <c r="G167" s="160">
        <v>241.12041182339158</v>
      </c>
      <c r="I167" s="160"/>
      <c r="K167" s="160"/>
      <c r="L167">
        <v>587.21899999999891</v>
      </c>
      <c r="M167" s="160">
        <v>179.65533131695437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>
      <c r="B168" s="130">
        <v>590.21899999999891</v>
      </c>
      <c r="C168" s="160">
        <v>29.290584857805474</v>
      </c>
      <c r="D168">
        <v>590.21899999999891</v>
      </c>
      <c r="E168" s="160">
        <v>-2000.7348676614165</v>
      </c>
      <c r="F168">
        <v>590.21899999999891</v>
      </c>
      <c r="G168" s="160">
        <v>239.11946233858339</v>
      </c>
      <c r="I168" s="160"/>
      <c r="K168" s="160"/>
      <c r="L168">
        <v>589.21899999999891</v>
      </c>
      <c r="M168" s="160">
        <v>179.65244171071544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>
      <c r="B169" s="130">
        <v>592.21899999999891</v>
      </c>
      <c r="C169" s="160">
        <v>29.302825409505513</v>
      </c>
      <c r="D169">
        <v>592.21899999999891</v>
      </c>
      <c r="E169" s="160">
        <v>-2002.7358082538522</v>
      </c>
      <c r="F169">
        <v>592.21899999999891</v>
      </c>
      <c r="G169" s="160">
        <v>237.11852174614774</v>
      </c>
      <c r="I169" s="160"/>
      <c r="K169" s="160"/>
      <c r="L169">
        <v>591.21899999999891</v>
      </c>
      <c r="M169" s="160">
        <v>179.64950323581627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>
      <c r="B170" s="130">
        <v>594.21899999999891</v>
      </c>
      <c r="C170" s="160">
        <v>29.315170280859761</v>
      </c>
      <c r="D170">
        <v>594.21899999999891</v>
      </c>
      <c r="E170" s="160">
        <v>-2004.7367399378625</v>
      </c>
      <c r="F170">
        <v>594.21899999999891</v>
      </c>
      <c r="G170" s="160">
        <v>235.11759006213742</v>
      </c>
      <c r="I170" s="160"/>
      <c r="K170" s="160"/>
      <c r="L170">
        <v>593.21899999999891</v>
      </c>
      <c r="M170" s="160">
        <v>179.64651464171888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>
      <c r="B171" s="130">
        <v>596.21899999999891</v>
      </c>
      <c r="C171" s="160">
        <v>29.327621266444908</v>
      </c>
      <c r="D171">
        <v>596.21899999999891</v>
      </c>
      <c r="E171" s="160">
        <v>-2006.7376626968396</v>
      </c>
      <c r="F171">
        <v>596.21899999999891</v>
      </c>
      <c r="G171" s="160">
        <v>233.11666730316028</v>
      </c>
      <c r="I171" s="160"/>
      <c r="K171" s="160"/>
      <c r="L171">
        <v>595.21899999999891</v>
      </c>
      <c r="M171" s="160">
        <v>179.64347463483816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>
      <c r="B172" s="130">
        <v>598.21899999999891</v>
      </c>
      <c r="C172" s="160">
        <v>29.340180207557172</v>
      </c>
      <c r="D172">
        <v>598.21899999999891</v>
      </c>
      <c r="E172" s="160">
        <v>-2008.7385765135971</v>
      </c>
      <c r="F172">
        <v>598.21899999999891</v>
      </c>
      <c r="G172" s="160">
        <v>231.11575348640281</v>
      </c>
      <c r="I172" s="160"/>
      <c r="K172" s="160"/>
      <c r="L172">
        <v>597.21899999999891</v>
      </c>
      <c r="M172" s="160">
        <v>179.64038187667299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>
      <c r="B173" s="130">
        <v>600.21899999999891</v>
      </c>
      <c r="C173" s="160">
        <v>29.352848993848724</v>
      </c>
      <c r="D173">
        <v>600.21899999999891</v>
      </c>
      <c r="E173" s="160">
        <v>-2010.7394813703434</v>
      </c>
      <c r="F173">
        <v>600.21899999999891</v>
      </c>
      <c r="G173" s="160">
        <v>229.11484862965654</v>
      </c>
      <c r="I173" s="160"/>
      <c r="K173" s="160"/>
      <c r="L173">
        <v>599.21899999999891</v>
      </c>
      <c r="M173" s="160">
        <v>179.63723498183751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>
      <c r="B174" s="130">
        <v>602.21899999999891</v>
      </c>
      <c r="C174" s="160">
        <v>29.365629565036329</v>
      </c>
      <c r="D174">
        <v>602.21899999999891</v>
      </c>
      <c r="E174" s="160">
        <v>-2012.7403772486566</v>
      </c>
      <c r="F174">
        <v>602.21899999999891</v>
      </c>
      <c r="G174" s="160">
        <v>227.11395275134328</v>
      </c>
      <c r="I174" s="160"/>
      <c r="K174" s="160"/>
      <c r="L174">
        <v>601.21899999999891</v>
      </c>
      <c r="M174" s="160">
        <v>179.63403251599232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>
      <c r="B175" s="130">
        <v>604.21899999999891</v>
      </c>
      <c r="C175" s="160">
        <v>29.378523912686259</v>
      </c>
      <c r="D175">
        <v>604.21899999999891</v>
      </c>
      <c r="E175" s="160">
        <v>-2014.7412641294552</v>
      </c>
      <c r="F175">
        <v>604.21899999999891</v>
      </c>
      <c r="G175" s="160">
        <v>225.11306587054469</v>
      </c>
      <c r="I175" s="160"/>
      <c r="K175" s="160"/>
      <c r="L175">
        <v>603.21899999999891</v>
      </c>
      <c r="M175" s="160">
        <v>179.6307729936587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>
      <c r="B176" s="130">
        <v>606.21899999999891</v>
      </c>
      <c r="C176" s="160">
        <v>29.391534082079414</v>
      </c>
      <c r="D176">
        <v>606.21899999999891</v>
      </c>
      <c r="E176" s="160">
        <v>-2016.7421419929685</v>
      </c>
      <c r="F176">
        <v>606.21899999999891</v>
      </c>
      <c r="G176" s="160">
        <v>223.11218800703136</v>
      </c>
      <c r="I176" s="160"/>
      <c r="K176" s="160"/>
      <c r="L176">
        <v>605.21899999999891</v>
      </c>
      <c r="M176" s="160">
        <v>179.6274548759209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>
      <c r="B177" s="130">
        <v>608.21899999999891</v>
      </c>
      <c r="C177" s="160">
        <v>29.404662174161153</v>
      </c>
      <c r="D177">
        <v>608.21899999999891</v>
      </c>
      <c r="E177" s="160">
        <v>-2018.743010818705</v>
      </c>
      <c r="F177">
        <v>608.21899999999891</v>
      </c>
      <c r="G177" s="160">
        <v>221.1113191812949</v>
      </c>
      <c r="I177" s="160"/>
      <c r="K177" s="160"/>
      <c r="L177">
        <v>607.21899999999891</v>
      </c>
      <c r="M177" s="160">
        <v>179.62407656799869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>
      <c r="B178" s="130">
        <v>610.21899999999891</v>
      </c>
      <c r="C178" s="160">
        <v>29.41791034758042</v>
      </c>
      <c r="D178">
        <v>610.21899999999891</v>
      </c>
      <c r="E178" s="160">
        <v>-2020.743870585419</v>
      </c>
      <c r="F178">
        <v>610.21899999999891</v>
      </c>
      <c r="G178" s="160">
        <v>219.11045941458087</v>
      </c>
      <c r="I178" s="160"/>
      <c r="K178" s="160"/>
      <c r="L178">
        <v>609.21899999999891</v>
      </c>
      <c r="M178" s="160">
        <v>179.62063641668905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>
      <c r="B179" s="130">
        <v>612.21899999999891</v>
      </c>
      <c r="C179" s="160">
        <v>29.431280820823154</v>
      </c>
      <c r="D179">
        <v>612.21899999999891</v>
      </c>
      <c r="E179" s="160">
        <v>-2022.7447212710777</v>
      </c>
      <c r="F179">
        <v>612.21899999999891</v>
      </c>
      <c r="G179" s="160">
        <v>217.10960872892224</v>
      </c>
      <c r="I179" s="160"/>
      <c r="K179" s="160"/>
      <c r="L179">
        <v>611.21899999999891</v>
      </c>
      <c r="M179" s="160">
        <v>179.61713270766512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>
      <c r="B180" s="130">
        <v>614.21899999999891</v>
      </c>
      <c r="C180" s="160">
        <v>29.44477587444527</v>
      </c>
      <c r="D180">
        <v>614.21899999999891</v>
      </c>
      <c r="E180" s="160">
        <v>-2024.7455628528212</v>
      </c>
      <c r="F180">
        <v>614.21899999999891</v>
      </c>
      <c r="G180" s="160">
        <v>215.1087671471787</v>
      </c>
      <c r="I180" s="160"/>
      <c r="K180" s="160"/>
      <c r="L180">
        <v>613.21899999999891</v>
      </c>
      <c r="M180" s="160">
        <v>179.61356366262228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>
      <c r="B181" s="130">
        <v>616.21899999999891</v>
      </c>
      <c r="C181" s="160">
        <v>29.458397853410784</v>
      </c>
      <c r="D181">
        <v>616.21899999999891</v>
      </c>
      <c r="E181" s="160">
        <v>-2026.7463953069253</v>
      </c>
      <c r="F181">
        <v>616.21899999999891</v>
      </c>
      <c r="G181" s="160">
        <v>213.10793469307464</v>
      </c>
      <c r="I181" s="160"/>
      <c r="K181" s="160"/>
      <c r="L181">
        <v>615.21899999999891</v>
      </c>
      <c r="M181" s="160">
        <v>179.60992743626645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>
      <c r="B182" s="130">
        <v>618.21899999999891</v>
      </c>
      <c r="C182" s="160">
        <v>29.472149169541201</v>
      </c>
      <c r="D182">
        <v>618.21899999999891</v>
      </c>
      <c r="E182" s="160">
        <v>-2028.7472186087596</v>
      </c>
      <c r="F182">
        <v>618.21899999999891</v>
      </c>
      <c r="G182" s="160">
        <v>211.10711139124032</v>
      </c>
      <c r="I182" s="160"/>
      <c r="K182" s="160"/>
      <c r="L182">
        <v>617.21899999999891</v>
      </c>
      <c r="M182" s="160">
        <v>179.60622211312568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>
      <c r="B183" s="130">
        <v>620.21899999999891</v>
      </c>
      <c r="C183" s="160">
        <v>29.486032304082435</v>
      </c>
      <c r="D183">
        <v>620.21899999999891</v>
      </c>
      <c r="E183" s="160">
        <v>-2030.7480327327448</v>
      </c>
      <c r="F183">
        <v>620.21899999999891</v>
      </c>
      <c r="G183" s="160">
        <v>209.10629726725506</v>
      </c>
      <c r="I183" s="160"/>
      <c r="K183" s="160"/>
      <c r="L183">
        <v>619.21899999999891</v>
      </c>
      <c r="M183" s="160">
        <v>179.60244570418294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>
      <c r="B184" s="130">
        <v>622.21899999999891</v>
      </c>
      <c r="C184" s="160">
        <v>29.500049810396241</v>
      </c>
      <c r="D184">
        <v>622.21899999999891</v>
      </c>
      <c r="E184" s="160">
        <v>-2032.7488376523047</v>
      </c>
      <c r="F184">
        <v>622.21899999999891</v>
      </c>
      <c r="G184" s="160">
        <v>207.10549234769519</v>
      </c>
      <c r="I184" s="160"/>
      <c r="K184" s="160"/>
      <c r="L184">
        <v>621.21899999999891</v>
      </c>
      <c r="M184" s="160">
        <v>179.59859614330796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>
      <c r="B185" s="130">
        <v>624.21899999999891</v>
      </c>
      <c r="C185" s="160">
        <v>29.514204316783363</v>
      </c>
      <c r="D185">
        <v>624.21899999999891</v>
      </c>
      <c r="E185" s="160">
        <v>-2034.749633339819</v>
      </c>
      <c r="F185">
        <v>624.21899999999891</v>
      </c>
      <c r="G185" s="160">
        <v>205.10469666018093</v>
      </c>
      <c r="I185" s="160"/>
      <c r="K185" s="160"/>
      <c r="L185">
        <v>623.21899999999891</v>
      </c>
      <c r="M185" s="160">
        <v>179.59467128348379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>
      <c r="B186" s="130">
        <v>626.21899999999891</v>
      </c>
      <c r="C186" s="160">
        <v>29.528498529446313</v>
      </c>
      <c r="D186">
        <v>626.21899999999891</v>
      </c>
      <c r="E186" s="160">
        <v>-2036.7504197665701</v>
      </c>
      <c r="F186">
        <v>626.21899999999891</v>
      </c>
      <c r="G186" s="160">
        <v>203.10391023342981</v>
      </c>
      <c r="I186" s="160"/>
      <c r="K186" s="160"/>
      <c r="L186">
        <v>625.21899999999891</v>
      </c>
      <c r="M186" s="160">
        <v>179.59066889280567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>
      <c r="B187" s="130">
        <v>628.21899999999891</v>
      </c>
      <c r="C187" s="160">
        <v>29.542935235600069</v>
      </c>
      <c r="D187">
        <v>628.21899999999891</v>
      </c>
      <c r="E187" s="160">
        <v>-2038.7511969026893</v>
      </c>
      <c r="F187">
        <v>628.21899999999891</v>
      </c>
      <c r="G187" s="160">
        <v>201.10313309731055</v>
      </c>
      <c r="I187" s="160"/>
      <c r="K187" s="160"/>
      <c r="L187">
        <v>627.21899999999891</v>
      </c>
      <c r="M187" s="160">
        <v>179.58658665024282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>
      <c r="B188" s="130">
        <v>630.21899999999891</v>
      </c>
      <c r="C188" s="160">
        <v>29.557517306739708</v>
      </c>
      <c r="D188">
        <v>630.21899999999891</v>
      </c>
      <c r="E188" s="160">
        <v>-2040.7519647170977</v>
      </c>
      <c r="F188">
        <v>630.21899999999891</v>
      </c>
      <c r="G188" s="160">
        <v>199.10236528290216</v>
      </c>
      <c r="I188" s="160"/>
      <c r="K188" s="160"/>
      <c r="L188">
        <v>629.21899999999891</v>
      </c>
      <c r="M188" s="160">
        <v>179.58242214114182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>
      <c r="B189" s="130">
        <v>632.21899999999891</v>
      </c>
      <c r="C189" s="160">
        <v>29.572247702074588</v>
      </c>
      <c r="D189">
        <v>632.21899999999891</v>
      </c>
      <c r="E189" s="160">
        <v>-2042.7527231774436</v>
      </c>
      <c r="F189">
        <v>632.21899999999891</v>
      </c>
      <c r="G189" s="160">
        <v>197.10160682255628</v>
      </c>
      <c r="I189" s="160"/>
      <c r="K189" s="160"/>
      <c r="L189">
        <v>631.21899999999891</v>
      </c>
      <c r="M189" s="160">
        <v>179.57817285245423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>
      <c r="B190" s="130">
        <v>634.21899999999891</v>
      </c>
      <c r="C190" s="160">
        <v>29.587129472139313</v>
      </c>
      <c r="D190">
        <v>634.21899999999891</v>
      </c>
      <c r="E190" s="160">
        <v>-2044.7534722500388</v>
      </c>
      <c r="F190">
        <v>634.21899999999891</v>
      </c>
      <c r="G190" s="160">
        <v>195.10085774996105</v>
      </c>
      <c r="I190" s="160"/>
      <c r="K190" s="160"/>
      <c r="L190">
        <v>633.21899999999891</v>
      </c>
      <c r="M190" s="160">
        <v>179.5738361676718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>
      <c r="B191" s="130">
        <v>636.21899999999891</v>
      </c>
      <c r="C191" s="160">
        <v>29.602165762592545</v>
      </c>
      <c r="D191">
        <v>636.21899999999891</v>
      </c>
      <c r="E191" s="160">
        <v>-2046.7542118997867</v>
      </c>
      <c r="F191">
        <v>636.21899999999891</v>
      </c>
      <c r="G191" s="160">
        <v>193.10011810021319</v>
      </c>
      <c r="I191" s="160"/>
      <c r="K191" s="160"/>
      <c r="L191">
        <v>635.21899999999891</v>
      </c>
      <c r="M191" s="160">
        <v>179.56940936144335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>
      <c r="B192" s="130">
        <v>638.21899999999891</v>
      </c>
      <c r="C192" s="160">
        <v>29.617359818215608</v>
      </c>
      <c r="D192">
        <v>638.21899999999891</v>
      </c>
      <c r="E192" s="160">
        <v>-2048.7549420901091</v>
      </c>
      <c r="F192">
        <v>638.21899999999891</v>
      </c>
      <c r="G192" s="160">
        <v>191.09938790989099</v>
      </c>
      <c r="I192" s="160"/>
      <c r="K192" s="160"/>
      <c r="L192">
        <v>637.21899999999891</v>
      </c>
      <c r="M192" s="160">
        <v>179.56488959385052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>
      <c r="B193" s="130">
        <v>640.21899999999891</v>
      </c>
      <c r="C193" s="160">
        <v>29.632714987123475</v>
      </c>
      <c r="D193">
        <v>640.21899999999891</v>
      </c>
      <c r="E193" s="160">
        <v>-2050.7556627828662</v>
      </c>
      <c r="F193">
        <v>640.21899999999891</v>
      </c>
      <c r="G193" s="160">
        <v>189.09866721713388</v>
      </c>
      <c r="I193" s="160"/>
      <c r="K193" s="160"/>
      <c r="L193">
        <v>639.21899999999891</v>
      </c>
      <c r="M193" s="160">
        <v>179.56027390432192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>
      <c r="B194" s="130">
        <v>642.21899999999891</v>
      </c>
      <c r="C194" s="160">
        <v>29.648234725202016</v>
      </c>
      <c r="D194">
        <v>642.21899999999891</v>
      </c>
      <c r="E194" s="160">
        <v>-2052.7563739382736</v>
      </c>
      <c r="F194">
        <v>642.21899999999891</v>
      </c>
      <c r="G194" s="160">
        <v>187.09795606172656</v>
      </c>
      <c r="I194" s="160"/>
      <c r="K194" s="160"/>
      <c r="L194">
        <v>641.21899999999891</v>
      </c>
      <c r="M194" s="160">
        <v>179.55555920515039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>
      <c r="B195" s="130">
        <v>644.21899999999891</v>
      </c>
      <c r="C195" s="160">
        <v>29.66392260078608</v>
      </c>
      <c r="D195">
        <v>644.21899999999891</v>
      </c>
      <c r="E195" s="160">
        <v>-2054.7570755148122</v>
      </c>
      <c r="F195">
        <v>644.21899999999891</v>
      </c>
      <c r="G195" s="160">
        <v>185.09725448518793</v>
      </c>
      <c r="I195" s="160"/>
      <c r="K195" s="160"/>
      <c r="L195">
        <v>643.21899999999891</v>
      </c>
      <c r="M195" s="160">
        <v>179.55074227459198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>
      <c r="B196" s="130">
        <v>646.21899999999891</v>
      </c>
      <c r="C196" s="160">
        <v>29.679782299594425</v>
      </c>
      <c r="D196">
        <v>646.21899999999891</v>
      </c>
      <c r="E196" s="160">
        <v>-2056.7577674691315</v>
      </c>
      <c r="F196">
        <v>646.21899999999891</v>
      </c>
      <c r="G196" s="160">
        <v>183.0965625308686</v>
      </c>
      <c r="I196" s="160"/>
      <c r="K196" s="160"/>
      <c r="L196">
        <v>645.21899999999891</v>
      </c>
      <c r="M196" s="160">
        <v>179.54581974950588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>
      <c r="B197" s="130">
        <v>648.21899999999891</v>
      </c>
      <c r="C197" s="160">
        <v>29.695817629938563</v>
      </c>
      <c r="D197">
        <v>648.21899999999891</v>
      </c>
      <c r="E197" s="160">
        <v>-2058.7584497559483</v>
      </c>
      <c r="F197">
        <v>648.21899999999891</v>
      </c>
      <c r="G197" s="160">
        <v>181.09588024405184</v>
      </c>
      <c r="I197" s="160"/>
      <c r="K197" s="160"/>
      <c r="L197">
        <v>647.21899999999891</v>
      </c>
      <c r="M197" s="160">
        <v>179.54078811750625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>
      <c r="B198" s="130">
        <v>650.21899999999891</v>
      </c>
      <c r="C198" s="160">
        <v>29.712032528223986</v>
      </c>
      <c r="D198">
        <v>650.21899999999891</v>
      </c>
      <c r="E198" s="160">
        <v>-2060.7591223279392</v>
      </c>
      <c r="F198">
        <v>650.21899999999891</v>
      </c>
      <c r="G198" s="160">
        <v>179.09520767206095</v>
      </c>
      <c r="I198" s="160"/>
      <c r="K198" s="160"/>
      <c r="L198">
        <v>649.21899999999891</v>
      </c>
      <c r="M198" s="160">
        <v>179.53564370858456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>
      <c r="B199" s="130">
        <v>652.21899999999891</v>
      </c>
      <c r="C199" s="160">
        <v>29.728431064763718</v>
      </c>
      <c r="D199">
        <v>652.21899999999891</v>
      </c>
      <c r="E199" s="160">
        <v>-2062.7597851356213</v>
      </c>
      <c r="F199">
        <v>652.21899999999891</v>
      </c>
      <c r="G199" s="160">
        <v>177.0945448643788</v>
      </c>
      <c r="I199" s="160"/>
      <c r="K199" s="160"/>
      <c r="L199">
        <v>651.21899999999891</v>
      </c>
      <c r="M199" s="160">
        <v>179.53038268615879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>
      <c r="B200" s="130">
        <v>654.21899999999891</v>
      </c>
      <c r="C200" s="160">
        <v>29.745017449925712</v>
      </c>
      <c r="D200">
        <v>654.21899999999891</v>
      </c>
      <c r="E200" s="160">
        <v>-2064.7604381272304</v>
      </c>
      <c r="F200">
        <v>654.21899999999891</v>
      </c>
      <c r="G200" s="160">
        <v>175.09389187276975</v>
      </c>
      <c r="I200" s="160"/>
      <c r="K200" s="160"/>
      <c r="L200">
        <v>653.21899999999891</v>
      </c>
      <c r="M200" s="160">
        <v>179.52500103750901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>
      <c r="B201" s="130">
        <v>656.21899999999891</v>
      </c>
      <c r="C201" s="160">
        <v>29.761796040637442</v>
      </c>
      <c r="D201">
        <v>656.21899999999891</v>
      </c>
      <c r="E201" s="160">
        <v>-2066.7610812485855</v>
      </c>
      <c r="F201">
        <v>656.21899999999891</v>
      </c>
      <c r="G201" s="160">
        <v>173.09324875141465</v>
      </c>
      <c r="I201" s="160"/>
      <c r="K201" s="160"/>
      <c r="L201">
        <v>655.21899999999891</v>
      </c>
      <c r="M201" s="160">
        <v>179.51949456354072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>
      <c r="B202" s="130">
        <v>658.21899999999891</v>
      </c>
      <c r="C202" s="160">
        <v>29.778771347272865</v>
      </c>
      <c r="D202">
        <v>658.21899999999891</v>
      </c>
      <c r="E202" s="160">
        <v>-2068.7617144429478</v>
      </c>
      <c r="F202">
        <v>658.21899999999891</v>
      </c>
      <c r="G202" s="160">
        <v>171.09261555705234</v>
      </c>
      <c r="I202" s="160"/>
      <c r="K202" s="160"/>
      <c r="L202">
        <v>657.21899999999891</v>
      </c>
      <c r="M202" s="160">
        <v>179.51385886782919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>
      <c r="B203" s="130">
        <v>660.21899999999891</v>
      </c>
      <c r="C203" s="160">
        <v>29.795948040949035</v>
      </c>
      <c r="D203">
        <v>660.21899999999891</v>
      </c>
      <c r="E203" s="160">
        <v>-2070.7623376508682</v>
      </c>
      <c r="F203">
        <v>660.21899999999891</v>
      </c>
      <c r="G203" s="160">
        <v>169.09199234913194</v>
      </c>
      <c r="I203" s="160"/>
      <c r="K203" s="160"/>
      <c r="L203">
        <v>659.21899999999891</v>
      </c>
      <c r="M203" s="160">
        <v>179.50808934488063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>
      <c r="B204" s="130">
        <v>662.21899999999891</v>
      </c>
      <c r="C204" s="160">
        <v>29.813330961262078</v>
      </c>
      <c r="D204">
        <v>662.21899999999891</v>
      </c>
      <c r="E204" s="160">
        <v>-2072.7629508100208</v>
      </c>
      <c r="F204">
        <v>662.21899999999891</v>
      </c>
      <c r="G204" s="160">
        <v>167.09137918997931</v>
      </c>
      <c r="I204" s="160"/>
      <c r="K204" s="160"/>
      <c r="L204">
        <v>661.21899999999891</v>
      </c>
      <c r="M204" s="160">
        <v>179.50218116754149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>
      <c r="B205" s="130">
        <v>664.21899999999891</v>
      </c>
      <c r="C205" s="160">
        <v>29.830925124494417</v>
      </c>
      <c r="D205">
        <v>664.21899999999891</v>
      </c>
      <c r="E205" s="160">
        <v>-2074.7635538550298</v>
      </c>
      <c r="F205">
        <v>664.21899999999891</v>
      </c>
      <c r="G205" s="160">
        <v>165.09077614497028</v>
      </c>
      <c r="I205" s="160"/>
      <c r="K205" s="160"/>
      <c r="L205">
        <v>663.21899999999891</v>
      </c>
      <c r="M205" s="160">
        <v>179.49612927349639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>
      <c r="B206" s="130">
        <v>666.21899999999891</v>
      </c>
      <c r="C206" s="160">
        <v>29.848735732327846</v>
      </c>
      <c r="D206">
        <v>666.21899999999891</v>
      </c>
      <c r="E206" s="160">
        <v>-2076.7641467172789</v>
      </c>
      <c r="F206">
        <v>666.21899999999891</v>
      </c>
      <c r="G206" s="160">
        <v>163.09018328272123</v>
      </c>
      <c r="I206" s="160"/>
      <c r="K206" s="160"/>
      <c r="L206">
        <v>665.21899999999891</v>
      </c>
      <c r="M206" s="160">
        <v>179.48992835077132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>
      <c r="B207" s="130">
        <v>668.21899999999891</v>
      </c>
      <c r="C207" s="160">
        <v>29.866768181098873</v>
      </c>
      <c r="D207">
        <v>668.21899999999891</v>
      </c>
      <c r="E207" s="160">
        <v>-2078.7647293247082</v>
      </c>
      <c r="F207">
        <v>668.21899999999891</v>
      </c>
      <c r="G207" s="160">
        <v>161.08960067529188</v>
      </c>
      <c r="I207" s="160"/>
      <c r="K207" s="160"/>
      <c r="L207">
        <v>667.21899999999891</v>
      </c>
      <c r="M207" s="160">
        <v>179.48357282219541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>
      <c r="B208" s="130">
        <v>670.21899999999891</v>
      </c>
      <c r="C208" s="160">
        <v>29.885028071632568</v>
      </c>
      <c r="D208">
        <v>670.21899999999891</v>
      </c>
      <c r="E208" s="160">
        <v>-2080.7653016015938</v>
      </c>
      <c r="F208">
        <v>670.21899999999891</v>
      </c>
      <c r="G208" s="160">
        <v>159.0890283984063</v>
      </c>
      <c r="I208" s="160"/>
      <c r="K208" s="160"/>
      <c r="L208">
        <v>669.21899999999891</v>
      </c>
      <c r="M208" s="160">
        <v>179.47705682882273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>
      <c r="B209" s="130">
        <v>672.21899999999891</v>
      </c>
      <c r="C209" s="160">
        <v>29.903521219682773</v>
      </c>
      <c r="D209">
        <v>672.21899999999891</v>
      </c>
      <c r="E209" s="160">
        <v>-2082.7658634683175</v>
      </c>
      <c r="F209">
        <v>672.21899999999891</v>
      </c>
      <c r="G209" s="160">
        <v>157.08846653168257</v>
      </c>
      <c r="I209" s="160"/>
      <c r="K209" s="160"/>
      <c r="L209">
        <v>671.21899999999891</v>
      </c>
      <c r="M209" s="160">
        <v>179.4703742125578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>
      <c r="B210" s="130">
        <v>674.21899999999891</v>
      </c>
      <c r="C210" s="160">
        <v>29.922253666971073</v>
      </c>
      <c r="D210">
        <v>674.21899999999891</v>
      </c>
      <c r="E210" s="160">
        <v>-2084.7664148411068</v>
      </c>
      <c r="F210">
        <v>674.21899999999891</v>
      </c>
      <c r="G210" s="160">
        <v>155.08791515889334</v>
      </c>
      <c r="I210" s="160"/>
      <c r="K210" s="160"/>
      <c r="L210">
        <v>673.21899999999891</v>
      </c>
      <c r="M210" s="160">
        <v>179.46351849899298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>
      <c r="B211" s="130">
        <v>676.21899999999891</v>
      </c>
      <c r="C211" s="160">
        <v>29.941231692691915</v>
      </c>
      <c r="D211">
        <v>676.21899999999891</v>
      </c>
      <c r="E211" s="160">
        <v>-2086.7669556317683</v>
      </c>
      <c r="F211">
        <v>676.21899999999891</v>
      </c>
      <c r="G211" s="160">
        <v>153.08737436823185</v>
      </c>
      <c r="I211" s="160"/>
      <c r="K211" s="160"/>
      <c r="L211">
        <v>675.21899999999891</v>
      </c>
      <c r="M211" s="160">
        <v>179.45648288404942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>
      <c r="B212" s="130">
        <v>678.21899999999891</v>
      </c>
      <c r="C212" s="160">
        <v>29.96046182493653</v>
      </c>
      <c r="D212">
        <v>678.21899999999891</v>
      </c>
      <c r="E212" s="160">
        <v>-2088.7674857474026</v>
      </c>
      <c r="F212">
        <v>678.21899999999891</v>
      </c>
      <c r="G212" s="160">
        <v>151.08684425259753</v>
      </c>
      <c r="I212" s="160"/>
      <c r="K212" s="160"/>
      <c r="L212">
        <v>677.21899999999891</v>
      </c>
      <c r="M212" s="160">
        <v>179.44926023628804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>
      <c r="B213" s="130">
        <v>680.21899999999891</v>
      </c>
      <c r="C213" s="160">
        <v>29.97995085014286</v>
      </c>
      <c r="D213">
        <v>680.21899999999891</v>
      </c>
      <c r="E213" s="160">
        <v>-2090.7680050901258</v>
      </c>
      <c r="F213">
        <v>680.21899999999891</v>
      </c>
      <c r="G213" s="160">
        <v>149.08632490987429</v>
      </c>
      <c r="I213" s="160"/>
      <c r="K213" s="160"/>
      <c r="L213">
        <v>679.21899999999891</v>
      </c>
      <c r="M213" s="160">
        <v>179.44184315343395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>
      <c r="B214" s="130">
        <v>682.21899999999891</v>
      </c>
      <c r="C214" s="160">
        <v>29.999705814369811</v>
      </c>
      <c r="D214">
        <v>682.21899999999891</v>
      </c>
      <c r="E214" s="160">
        <v>-2092.7685135568518</v>
      </c>
      <c r="F214">
        <v>682.21899999999891</v>
      </c>
      <c r="G214" s="160">
        <v>147.08581644314836</v>
      </c>
      <c r="I214" s="160"/>
      <c r="K214" s="160"/>
      <c r="L214">
        <v>681.21899999999891</v>
      </c>
      <c r="M214" s="160">
        <v>179.4342241965187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>
      <c r="B215" s="130">
        <v>684.21899999999891</v>
      </c>
      <c r="C215" s="160">
        <v>30.019733996523254</v>
      </c>
      <c r="D215">
        <v>684.21899999999891</v>
      </c>
      <c r="E215" s="160">
        <v>-2094.7690110393542</v>
      </c>
      <c r="F215">
        <v>684.21899999999891</v>
      </c>
      <c r="G215" s="160">
        <v>145.08531896064596</v>
      </c>
      <c r="I215" s="160"/>
      <c r="K215" s="160"/>
      <c r="L215">
        <v>683.21899999999891</v>
      </c>
      <c r="M215" s="160">
        <v>179.42639669320073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>
      <c r="B216" s="130">
        <v>685.21899999999891</v>
      </c>
      <c r="C216" s="160">
        <v>30.029853317216109</v>
      </c>
      <c r="D216">
        <v>685.21899999999891</v>
      </c>
      <c r="E216" s="160">
        <v>-2095.7692556212237</v>
      </c>
      <c r="F216">
        <v>685.21899999999891</v>
      </c>
      <c r="G216" s="160">
        <v>144.08507437877643</v>
      </c>
      <c r="I216" s="160"/>
      <c r="K216" s="160"/>
      <c r="L216">
        <v>684.71899999999891</v>
      </c>
      <c r="M216" s="160">
        <v>179.42036717998718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>
      <c r="B217" s="130">
        <v>686.21899999999891</v>
      </c>
      <c r="C217" s="160">
        <v>30.040043827014095</v>
      </c>
      <c r="D217">
        <v>686.21899999999891</v>
      </c>
      <c r="E217" s="160">
        <v>-2096.7694974134647</v>
      </c>
      <c r="F217">
        <v>686.21899999999891</v>
      </c>
      <c r="G217" s="160">
        <v>143.08483258653541</v>
      </c>
      <c r="I217" s="160"/>
      <c r="K217" s="160"/>
      <c r="L217">
        <v>685.71899999999891</v>
      </c>
      <c r="M217" s="160">
        <v>179.41628813452138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>
      <c r="B218" s="130">
        <v>687.21899999999891</v>
      </c>
      <c r="C218" s="160">
        <v>30.05030656220238</v>
      </c>
      <c r="D218">
        <v>687.21899999999891</v>
      </c>
      <c r="E218" s="160">
        <v>-2097.7697364003761</v>
      </c>
      <c r="F218">
        <v>687.21899999999891</v>
      </c>
      <c r="G218" s="160">
        <v>142.08459359962399</v>
      </c>
      <c r="I218" s="160"/>
      <c r="K218" s="160"/>
      <c r="L218">
        <v>686.71899999999891</v>
      </c>
      <c r="M218" s="160">
        <v>179.41214970866193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>
      <c r="B219" s="130">
        <v>688.21899999999891</v>
      </c>
      <c r="C219" s="160">
        <v>30.060642569428641</v>
      </c>
      <c r="D219">
        <v>688.21899999999891</v>
      </c>
      <c r="E219" s="160">
        <v>-2098.7699725659259</v>
      </c>
      <c r="F219">
        <v>688.21899999999891</v>
      </c>
      <c r="G219" s="160">
        <v>141.08435743407426</v>
      </c>
      <c r="I219" s="160"/>
      <c r="K219" s="160"/>
      <c r="L219">
        <v>687.71899999999891</v>
      </c>
      <c r="M219" s="160">
        <v>179.4079513083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>
      <c r="B220" s="130">
        <v>689.21899999999891</v>
      </c>
      <c r="C220" s="160">
        <v>30.071052911514048</v>
      </c>
      <c r="D220">
        <v>689.21899999999891</v>
      </c>
      <c r="E220" s="160">
        <v>-2099.7702058936834</v>
      </c>
      <c r="F220">
        <v>689.21899999999891</v>
      </c>
      <c r="G220" s="160">
        <v>140.08412410631672</v>
      </c>
      <c r="I220" s="160"/>
      <c r="K220" s="160"/>
      <c r="L220">
        <v>688.71899999999891</v>
      </c>
      <c r="M220" s="160">
        <v>179.40369200644898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>
      <c r="B221" s="130">
        <v>690.21899999999891</v>
      </c>
      <c r="C221" s="160">
        <v>30.081538670912469</v>
      </c>
      <c r="D221">
        <v>690.21899999999891</v>
      </c>
      <c r="E221" s="160">
        <v>-2100.7704363667744</v>
      </c>
      <c r="F221">
        <v>690.21899999999891</v>
      </c>
      <c r="G221" s="160">
        <v>139.08389363322567</v>
      </c>
      <c r="I221" s="160"/>
      <c r="K221" s="160"/>
      <c r="L221">
        <v>689.71899999999891</v>
      </c>
      <c r="M221" s="160">
        <v>179.39937067795495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>
      <c r="B222" s="130">
        <v>691.21899999999891</v>
      </c>
      <c r="C222" s="160">
        <v>30.092100951909583</v>
      </c>
      <c r="D222">
        <v>691.21899999999891</v>
      </c>
      <c r="E222" s="160">
        <v>-2101.7706639678509</v>
      </c>
      <c r="F222">
        <v>691.21899999999891</v>
      </c>
      <c r="G222" s="160">
        <v>138.08366603214927</v>
      </c>
      <c r="I222" s="160"/>
      <c r="K222" s="160"/>
      <c r="L222">
        <v>690.71899999999891</v>
      </c>
      <c r="M222" s="160">
        <v>179.39498607167729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>
      <c r="B223" s="130">
        <v>692.21899999999891</v>
      </c>
      <c r="C223" s="160">
        <v>30.102740882151434</v>
      </c>
      <c r="D223">
        <v>692.21899999999891</v>
      </c>
      <c r="E223" s="160">
        <v>-2102.7708886790597</v>
      </c>
      <c r="F223">
        <v>692.21899999999891</v>
      </c>
      <c r="G223" s="160">
        <v>137.08344132094044</v>
      </c>
      <c r="I223" s="160"/>
      <c r="K223" s="160"/>
      <c r="L223">
        <v>691.71899999999891</v>
      </c>
      <c r="M223" s="160">
        <v>179.39053684889402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>
      <c r="B224" s="130">
        <v>693.21899999999891</v>
      </c>
      <c r="C224" s="160">
        <v>30.113459613821384</v>
      </c>
      <c r="D224">
        <v>693.21899999999891</v>
      </c>
      <c r="E224" s="160">
        <v>-2103.7711104820251</v>
      </c>
      <c r="F224">
        <v>693.21899999999891</v>
      </c>
      <c r="G224" s="160">
        <v>136.08321951797507</v>
      </c>
      <c r="I224" s="160"/>
      <c r="K224" s="160"/>
      <c r="L224">
        <v>692.71899999999891</v>
      </c>
      <c r="M224" s="160">
        <v>179.38602160344692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>
      <c r="B225" s="130">
        <v>694.21899999999891</v>
      </c>
      <c r="C225" s="160">
        <v>30.124258324638951</v>
      </c>
      <c r="D225">
        <v>694.21899999999891</v>
      </c>
      <c r="E225" s="160">
        <v>-2104.7713293578217</v>
      </c>
      <c r="F225">
        <v>694.21899999999891</v>
      </c>
      <c r="G225" s="160">
        <v>135.08300064217838</v>
      </c>
      <c r="I225" s="160"/>
      <c r="K225" s="160"/>
      <c r="L225">
        <v>693.71899999999891</v>
      </c>
      <c r="M225" s="160">
        <v>179.38143887193763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>
      <c r="B226" s="130">
        <v>695.21899999999891</v>
      </c>
      <c r="C226" s="160">
        <v>30.135138218775161</v>
      </c>
      <c r="D226">
        <v>695.21899999999891</v>
      </c>
      <c r="E226" s="160">
        <v>-2105.7715452869538</v>
      </c>
      <c r="F226">
        <v>695.21899999999891</v>
      </c>
      <c r="G226" s="160">
        <v>134.08278471304629</v>
      </c>
      <c r="I226" s="160"/>
      <c r="K226" s="160"/>
      <c r="L226">
        <v>694.71899999999891</v>
      </c>
      <c r="M226" s="160">
        <v>179.3767871385117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>
      <c r="B227" s="130">
        <v>696.21899999999891</v>
      </c>
      <c r="C227" s="160">
        <v>30.146100527736483</v>
      </c>
      <c r="D227">
        <v>696.21899999999891</v>
      </c>
      <c r="E227" s="160">
        <v>-2106.7717582493337</v>
      </c>
      <c r="F227">
        <v>696.21899999999891</v>
      </c>
      <c r="G227" s="160">
        <v>133.08257175066638</v>
      </c>
      <c r="I227" s="160"/>
      <c r="K227" s="160"/>
      <c r="L227">
        <v>695.71899999999891</v>
      </c>
      <c r="M227" s="160">
        <v>179.37206483665727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>
      <c r="B228" s="130">
        <v>697.21899999999891</v>
      </c>
      <c r="C228" s="160">
        <v>30.157146511246424</v>
      </c>
      <c r="D228">
        <v>697.21899999999891</v>
      </c>
      <c r="E228" s="160">
        <v>-2107.7719682242559</v>
      </c>
      <c r="F228">
        <v>697.21899999999891</v>
      </c>
      <c r="G228" s="160">
        <v>132.08236177574418</v>
      </c>
      <c r="I228" s="160"/>
      <c r="K228" s="160"/>
      <c r="L228">
        <v>696.71899999999891</v>
      </c>
      <c r="M228" s="160">
        <v>179.36727034933554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>
      <c r="B229" s="130">
        <v>698.21899999999891</v>
      </c>
      <c r="C229" s="160">
        <v>30.168277458141361</v>
      </c>
      <c r="D229">
        <v>698.21899999999891</v>
      </c>
      <c r="E229" s="160">
        <v>-2108.7721751903764</v>
      </c>
      <c r="F229">
        <v>698.21899999999891</v>
      </c>
      <c r="G229" s="160">
        <v>131.08215480962372</v>
      </c>
      <c r="I229" s="160"/>
      <c r="K229" s="160"/>
      <c r="L229">
        <v>697.71899999999891</v>
      </c>
      <c r="M229" s="160">
        <v>179.36240200816792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>
      <c r="B230" s="130">
        <v>699.21899999999891</v>
      </c>
      <c r="C230" s="160">
        <v>30.179494687290319</v>
      </c>
      <c r="D230">
        <v>699.21899999999891</v>
      </c>
      <c r="E230" s="160">
        <v>-2109.772379125684</v>
      </c>
      <c r="F230">
        <v>699.21899999999891</v>
      </c>
      <c r="G230" s="160">
        <v>130.08195087431614</v>
      </c>
      <c r="I230" s="160"/>
      <c r="K230" s="160"/>
      <c r="L230">
        <v>698.71899999999891</v>
      </c>
      <c r="M230" s="160">
        <v>179.35745809205864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>
      <c r="B231" s="130">
        <v>700.21899999999891</v>
      </c>
      <c r="C231" s="160">
        <v>30.190799548544895</v>
      </c>
      <c r="D231">
        <v>700.21899999999891</v>
      </c>
      <c r="E231" s="160">
        <v>-2110.7725800074772</v>
      </c>
      <c r="F231">
        <v>700.21899999999891</v>
      </c>
      <c r="G231" s="160">
        <v>129.08174999252287</v>
      </c>
      <c r="I231" s="160"/>
      <c r="K231" s="160"/>
      <c r="L231">
        <v>699.71899999999891</v>
      </c>
      <c r="M231" s="160">
        <v>179.35243682547068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>
      <c r="B232" s="130">
        <v>701.21899999999891</v>
      </c>
      <c r="C232" s="160">
        <v>30.2021934237235</v>
      </c>
      <c r="D232">
        <v>701.21899999999891</v>
      </c>
      <c r="E232" s="160">
        <v>-2111.7727778123349</v>
      </c>
      <c r="F232">
        <v>701.21899999999891</v>
      </c>
      <c r="G232" s="160">
        <v>128.08155218766524</v>
      </c>
      <c r="I232" s="160"/>
      <c r="K232" s="160"/>
      <c r="L232">
        <v>700.71899999999891</v>
      </c>
      <c r="M232" s="160">
        <v>179.34733637645533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>
      <c r="B233" s="130">
        <v>702.21899999999891</v>
      </c>
      <c r="C233" s="160">
        <v>30.21367772763309</v>
      </c>
      <c r="D233">
        <v>702.21899999999891</v>
      </c>
      <c r="E233" s="160">
        <v>-2112.7729725160884</v>
      </c>
      <c r="F233">
        <v>702.21899999999891</v>
      </c>
      <c r="G233" s="160">
        <v>127.08135748391169</v>
      </c>
      <c r="I233" s="160"/>
      <c r="K233" s="160"/>
      <c r="L233">
        <v>701.71899999999891</v>
      </c>
      <c r="M233" s="160">
        <v>179.34215485450551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>
      <c r="B234" s="130">
        <v>703.21899999999891</v>
      </c>
      <c r="C234" s="160">
        <v>30.225253909130984</v>
      </c>
      <c r="D234">
        <v>703.21899999999891</v>
      </c>
      <c r="E234" s="160">
        <v>-2113.7731640937905</v>
      </c>
      <c r="F234">
        <v>703.21899999999891</v>
      </c>
      <c r="G234" s="160">
        <v>126.08116590620966</v>
      </c>
      <c r="I234" s="160"/>
      <c r="K234" s="160"/>
      <c r="L234">
        <v>702.71899999999891</v>
      </c>
      <c r="M234" s="160">
        <v>179.33689030825579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>
      <c r="B235" s="130">
        <v>704.21899999999891</v>
      </c>
      <c r="C235" s="160">
        <v>30.236923452229302</v>
      </c>
      <c r="D235">
        <v>704.21899999999891</v>
      </c>
      <c r="E235" s="160">
        <v>-2114.7733525196845</v>
      </c>
      <c r="F235">
        <v>704.21899999999891</v>
      </c>
      <c r="G235" s="160">
        <v>125.0809774803156</v>
      </c>
      <c r="I235" s="160"/>
      <c r="K235" s="160"/>
      <c r="L235">
        <v>703.71899999999891</v>
      </c>
      <c r="M235" s="160">
        <v>179.33154072304146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>
      <c r="B236" s="130">
        <v>705.21899999999891</v>
      </c>
      <c r="C236" s="160">
        <v>30.248687877244237</v>
      </c>
      <c r="D236">
        <v>705.21899999999891</v>
      </c>
      <c r="E236" s="160">
        <v>-2115.7735377671715</v>
      </c>
      <c r="F236">
        <v>705.21899999999891</v>
      </c>
      <c r="G236" s="160">
        <v>124.08079223282857</v>
      </c>
      <c r="I236" s="160"/>
      <c r="K236" s="160"/>
      <c r="L236">
        <v>704.71899999999891</v>
      </c>
      <c r="M236" s="160">
        <v>179.32610401832727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>
      <c r="B237" s="130">
        <v>706.21899999999891</v>
      </c>
      <c r="C237" s="160">
        <v>30.260548741992679</v>
      </c>
      <c r="D237">
        <v>706.21899999999891</v>
      </c>
      <c r="E237" s="160">
        <v>-2116.7737198087743</v>
      </c>
      <c r="F237">
        <v>706.21899999999891</v>
      </c>
      <c r="G237" s="160">
        <v>123.08061019122579</v>
      </c>
      <c r="I237" s="160"/>
      <c r="K237" s="160"/>
      <c r="L237">
        <v>705.71899999999891</v>
      </c>
      <c r="M237" s="160">
        <v>179.32057804499277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>
      <c r="B238" s="130">
        <v>707.21899999999891</v>
      </c>
      <c r="C238" s="160">
        <v>30.272507643038516</v>
      </c>
      <c r="D238">
        <v>707.21899999999891</v>
      </c>
      <c r="E238" s="160">
        <v>-2117.7738986161016</v>
      </c>
      <c r="F238">
        <v>707.21899999999891</v>
      </c>
      <c r="G238" s="160">
        <v>122.08043138389849</v>
      </c>
      <c r="I238" s="160"/>
      <c r="K238" s="160"/>
      <c r="L238">
        <v>706.71899999999891</v>
      </c>
      <c r="M238" s="160">
        <v>179.31496058248584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>
      <c r="B239" s="130">
        <v>708.21899999999891</v>
      </c>
      <c r="C239" s="160">
        <v>30.284566216991248</v>
      </c>
      <c r="D239">
        <v>708.21899999999891</v>
      </c>
      <c r="E239" s="160">
        <v>-2118.7740741598104</v>
      </c>
      <c r="F239">
        <v>708.21899999999891</v>
      </c>
      <c r="G239" s="160">
        <v>121.08025584018969</v>
      </c>
      <c r="I239" s="160"/>
      <c r="K239" s="160"/>
      <c r="L239">
        <v>707.71899999999891</v>
      </c>
      <c r="M239" s="160">
        <v>179.30924933582361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>
      <c r="B240" s="130">
        <v>709.21899999999891</v>
      </c>
      <c r="C240" s="160">
        <v>30.296726141859558</v>
      </c>
      <c r="D240">
        <v>709.21899999999891</v>
      </c>
      <c r="E240" s="160">
        <v>-2119.7742464095641</v>
      </c>
      <c r="F240">
        <v>709.21899999999891</v>
      </c>
      <c r="G240" s="160">
        <v>120.08008359043606</v>
      </c>
      <c r="I240" s="160"/>
      <c r="K240" s="160"/>
      <c r="L240">
        <v>708.71899999999891</v>
      </c>
      <c r="M240" s="160">
        <v>179.30344193244088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>
      <c r="B241" s="130">
        <v>710.21899999999891</v>
      </c>
      <c r="C241" s="160">
        <v>30.308989138462735</v>
      </c>
      <c r="D241">
        <v>710.21899999999891</v>
      </c>
      <c r="E241" s="160">
        <v>-2120.7744153339909</v>
      </c>
      <c r="F241">
        <v>710.21899999999891</v>
      </c>
      <c r="G241" s="160">
        <v>119.07991466600924</v>
      </c>
      <c r="I241" s="160"/>
      <c r="K241" s="160"/>
      <c r="L241">
        <v>709.71899999999891</v>
      </c>
      <c r="M241" s="160">
        <v>179.29753591887555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>
      <c r="B242" s="130">
        <v>711.21899999999891</v>
      </c>
      <c r="C242" s="160">
        <v>30.32135697190289</v>
      </c>
      <c r="D242">
        <v>711.21899999999891</v>
      </c>
      <c r="E242" s="160">
        <v>-2121.7745809006392</v>
      </c>
      <c r="F242">
        <v>711.21899999999891</v>
      </c>
      <c r="G242" s="160">
        <v>118.07974909936092</v>
      </c>
      <c r="I242" s="160"/>
      <c r="K242" s="160"/>
      <c r="L242">
        <v>710.71899999999891</v>
      </c>
      <c r="M242" s="160">
        <v>179.29152875728229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>
      <c r="B243" s="130">
        <v>712.21899999999891</v>
      </c>
      <c r="C243" s="160">
        <v>30.333831453101219</v>
      </c>
      <c r="D243">
        <v>712.21899999999891</v>
      </c>
      <c r="E243" s="160">
        <v>-2122.7747430759314</v>
      </c>
      <c r="F243">
        <v>712.21899999999891</v>
      </c>
      <c r="G243" s="160">
        <v>117.07958692406874</v>
      </c>
      <c r="I243" s="160"/>
      <c r="K243" s="160"/>
      <c r="L243">
        <v>711.71899999999891</v>
      </c>
      <c r="M243" s="160">
        <v>179.28541782176279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>
      <c r="B244" s="130">
        <v>713.21899999999891</v>
      </c>
      <c r="C244" s="160">
        <v>30.346414440401642</v>
      </c>
      <c r="D244">
        <v>713.21899999999891</v>
      </c>
      <c r="E244" s="160">
        <v>-2123.7749018251116</v>
      </c>
      <c r="F244">
        <v>713.21899999999891</v>
      </c>
      <c r="G244" s="160">
        <v>116.07942817488856</v>
      </c>
      <c r="I244" s="160"/>
      <c r="K244" s="160"/>
      <c r="L244">
        <v>712.71899999999891</v>
      </c>
      <c r="M244" s="160">
        <v>179.27920039449964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>
      <c r="B245" s="130">
        <v>714.21899999999891</v>
      </c>
      <c r="C245" s="160">
        <v>30.359107841245454</v>
      </c>
      <c r="D245">
        <v>714.21899999999891</v>
      </c>
      <c r="E245" s="160">
        <v>-2124.7750571121987</v>
      </c>
      <c r="F245">
        <v>714.21899999999891</v>
      </c>
      <c r="G245" s="160">
        <v>115.07927288780138</v>
      </c>
      <c r="I245" s="160"/>
      <c r="K245" s="160"/>
      <c r="L245">
        <v>713.71899999999891</v>
      </c>
      <c r="M245" s="160">
        <v>179.27287366169216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>
      <c r="B246" s="130">
        <v>715.21899999999891</v>
      </c>
      <c r="C246" s="160">
        <v>30.371913613920782</v>
      </c>
      <c r="D246">
        <v>715.21899999999891</v>
      </c>
      <c r="E246" s="160">
        <v>-2125.7752088999264</v>
      </c>
      <c r="F246">
        <v>715.21899999999891</v>
      </c>
      <c r="G246" s="160">
        <v>114.07912110007373</v>
      </c>
      <c r="I246" s="160"/>
      <c r="K246" s="160"/>
      <c r="L246">
        <v>714.71899999999891</v>
      </c>
      <c r="M246" s="160">
        <v>179.26643470925961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>
      <c r="B247" s="130">
        <v>716.21899999999891</v>
      </c>
      <c r="C247" s="160">
        <v>30.384833769390941</v>
      </c>
      <c r="D247">
        <v>716.21899999999891</v>
      </c>
      <c r="E247" s="160">
        <v>-2126.7753571496874</v>
      </c>
      <c r="F247">
        <v>716.21899999999891</v>
      </c>
      <c r="G247" s="160">
        <v>113.07897285031277</v>
      </c>
      <c r="I247" s="160"/>
      <c r="K247" s="160"/>
      <c r="L247">
        <v>715.71899999999891</v>
      </c>
      <c r="M247" s="160">
        <v>179.25988051832456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>
      <c r="B248" s="130">
        <v>717.21899999999891</v>
      </c>
      <c r="C248" s="160">
        <v>30.397870373205972</v>
      </c>
      <c r="D248">
        <v>717.21899999999891</v>
      </c>
      <c r="E248" s="160">
        <v>-2127.7755018214739</v>
      </c>
      <c r="F248">
        <v>717.21899999999891</v>
      </c>
      <c r="G248" s="160">
        <v>112.07882817852624</v>
      </c>
      <c r="I248" s="160"/>
      <c r="K248" s="160"/>
      <c r="L248">
        <v>716.71899999999891</v>
      </c>
      <c r="M248" s="160">
        <v>179.25320796044261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>
      <c r="B249" s="130">
        <v>718.21899999999891</v>
      </c>
      <c r="C249" s="160">
        <v>30.41102554750201</v>
      </c>
      <c r="D249">
        <v>718.21899999999891</v>
      </c>
      <c r="E249" s="160">
        <v>-2128.7756428738112</v>
      </c>
      <c r="F249">
        <v>718.21899999999891</v>
      </c>
      <c r="G249" s="160">
        <v>111.07868712618892</v>
      </c>
      <c r="I249" s="160"/>
      <c r="K249" s="160"/>
      <c r="L249">
        <v>717.71899999999891</v>
      </c>
      <c r="M249" s="160">
        <v>179.24641379256531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>
      <c r="B250" s="130">
        <v>719.21899999999891</v>
      </c>
      <c r="C250" s="160">
        <v>30.42430147309334</v>
      </c>
      <c r="D250">
        <v>719.21899999999891</v>
      </c>
      <c r="E250" s="160">
        <v>-2129.7757802636906</v>
      </c>
      <c r="F250">
        <v>719.21899999999891</v>
      </c>
      <c r="G250" s="160">
        <v>110.07854973630947</v>
      </c>
      <c r="I250" s="160"/>
      <c r="K250" s="160"/>
      <c r="L250">
        <v>718.71899999999891</v>
      </c>
      <c r="M250" s="160">
        <v>179.23949465172859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>
      <c r="B251" s="130">
        <v>720.21899999999891</v>
      </c>
      <c r="C251" s="160">
        <v>30.437700391662439</v>
      </c>
      <c r="D251">
        <v>720.21899999999891</v>
      </c>
      <c r="E251" s="160">
        <v>-2130.7759139464979</v>
      </c>
      <c r="F251">
        <v>720.21899999999891</v>
      </c>
      <c r="G251" s="160">
        <v>109.07841605350222</v>
      </c>
      <c r="I251" s="160"/>
      <c r="K251" s="160"/>
      <c r="L251">
        <v>719.71899999999891</v>
      </c>
      <c r="M251" s="160">
        <v>179.23244704943446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>
      <c r="B252" s="130">
        <v>721.21899999999891</v>
      </c>
      <c r="C252" s="160">
        <v>30.451224608053518</v>
      </c>
      <c r="D252">
        <v>721.21899999999891</v>
      </c>
      <c r="E252" s="160">
        <v>-2131.7760438759374</v>
      </c>
      <c r="F252">
        <v>721.21899999999891</v>
      </c>
      <c r="G252" s="160">
        <v>108.07828612406274</v>
      </c>
      <c r="I252" s="160"/>
      <c r="K252" s="160"/>
      <c r="L252">
        <v>720.71899999999891</v>
      </c>
      <c r="M252" s="160">
        <v>179.22526736571746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>
      <c r="B253" s="130">
        <v>722.21899999999891</v>
      </c>
      <c r="C253" s="160">
        <v>30.464876492675558</v>
      </c>
      <c r="D253">
        <v>722.21899999999891</v>
      </c>
      <c r="E253" s="160">
        <v>-2132.7761700039518</v>
      </c>
      <c r="F253">
        <v>722.21899999999891</v>
      </c>
      <c r="G253" s="160">
        <v>107.07815999604827</v>
      </c>
      <c r="I253" s="160"/>
      <c r="K253" s="160"/>
      <c r="L253">
        <v>721.71899999999891</v>
      </c>
      <c r="M253" s="160">
        <v>179.21795184286734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>
      <c r="B254" s="130">
        <v>723.21899999999891</v>
      </c>
      <c r="C254" s="160">
        <v>30.478658484021175</v>
      </c>
      <c r="D254">
        <v>723.21899999999891</v>
      </c>
      <c r="E254" s="160">
        <v>-2133.7762922806364</v>
      </c>
      <c r="F254">
        <v>723.21899999999891</v>
      </c>
      <c r="G254" s="160">
        <v>106.07803771936369</v>
      </c>
      <c r="I254" s="160"/>
      <c r="K254" s="160"/>
      <c r="L254">
        <v>722.71899999999891</v>
      </c>
      <c r="M254" s="160">
        <v>179.2104965787868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>
      <c r="B255" s="130">
        <v>724.21899999999891</v>
      </c>
      <c r="C255" s="160">
        <v>30.492573091308156</v>
      </c>
      <c r="D255">
        <v>724.21899999999891</v>
      </c>
      <c r="E255" s="160">
        <v>-2134.7764106541517</v>
      </c>
      <c r="F255">
        <v>724.21899999999891</v>
      </c>
      <c r="G255" s="160">
        <v>105.07791934584839</v>
      </c>
      <c r="I255" s="160"/>
      <c r="K255" s="160"/>
      <c r="L255">
        <v>723.71899999999891</v>
      </c>
      <c r="M255" s="160">
        <v>179.20289751996273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>
      <c r="B256" s="130">
        <v>725.21899999999891</v>
      </c>
      <c r="C256" s="160">
        <v>30.506622897250903</v>
      </c>
      <c r="D256">
        <v>725.21899999999891</v>
      </c>
      <c r="E256" s="160">
        <v>-2135.7765250706261</v>
      </c>
      <c r="F256">
        <v>725.21899999999891</v>
      </c>
      <c r="G256" s="160">
        <v>104.077804929374</v>
      </c>
      <c r="I256" s="160"/>
      <c r="K256" s="160"/>
      <c r="L256">
        <v>724.71899999999891</v>
      </c>
      <c r="M256" s="160">
        <v>179.19515045401306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>
      <c r="B257" s="130">
        <v>726.21899999999891</v>
      </c>
      <c r="C257" s="160">
        <v>30.520810560969601</v>
      </c>
      <c r="D257">
        <v>726.21899999999891</v>
      </c>
      <c r="E257" s="160">
        <v>-2136.7766354740565</v>
      </c>
      <c r="F257">
        <v>726.21899999999891</v>
      </c>
      <c r="G257" s="160">
        <v>103.07769452594357</v>
      </c>
      <c r="I257" s="160"/>
      <c r="K257" s="160"/>
      <c r="L257">
        <v>725.71899999999891</v>
      </c>
      <c r="M257" s="160">
        <v>179.18725100179432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>
      <c r="B258" s="130">
        <v>727.21899999999891</v>
      </c>
      <c r="C258" s="160">
        <v>30.535138821045393</v>
      </c>
      <c r="D258">
        <v>727.21899999999891</v>
      </c>
      <c r="E258" s="160">
        <v>-2137.7767418062017</v>
      </c>
      <c r="F258">
        <v>727.21899999999891</v>
      </c>
      <c r="G258" s="160">
        <v>102.07758819379842</v>
      </c>
      <c r="I258" s="160"/>
      <c r="K258" s="160"/>
      <c r="L258">
        <v>726.71899999999891</v>
      </c>
      <c r="M258" s="160">
        <v>179.17919460902877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>
      <c r="B259" s="130">
        <v>728.21899999999891</v>
      </c>
      <c r="C259" s="160">
        <v>30.549610498730583</v>
      </c>
      <c r="D259">
        <v>728.21899999999891</v>
      </c>
      <c r="E259" s="160">
        <v>-2138.7768440064674</v>
      </c>
      <c r="F259">
        <v>728.21899999999891</v>
      </c>
      <c r="G259" s="160">
        <v>101.07748599353272</v>
      </c>
      <c r="I259" s="160"/>
      <c r="K259" s="160"/>
      <c r="L259">
        <v>727.71899999999891</v>
      </c>
      <c r="M259" s="160">
        <v>179.1709765374155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>
      <c r="B260" s="130">
        <v>729.21899999999891</v>
      </c>
      <c r="C260" s="160">
        <v>30.564228501323399</v>
      </c>
      <c r="D260">
        <v>729.21899999999891</v>
      </c>
      <c r="E260" s="160">
        <v>-2139.7769420117893</v>
      </c>
      <c r="F260">
        <v>729.21899999999891</v>
      </c>
      <c r="G260" s="160">
        <v>100.07738798821083</v>
      </c>
      <c r="I260" s="160"/>
      <c r="K260" s="160"/>
      <c r="L260">
        <v>728.71899999999891</v>
      </c>
      <c r="M260" s="160">
        <v>179.162591855198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>
      <c r="B261" s="130">
        <v>730.21899999999891</v>
      </c>
      <c r="C261" s="160">
        <v>30.578995825717598</v>
      </c>
      <c r="D261">
        <v>730.21899999999891</v>
      </c>
      <c r="E261" s="160">
        <v>-2140.7770357565005</v>
      </c>
      <c r="F261">
        <v>730.21899999999891</v>
      </c>
      <c r="G261" s="160">
        <v>99.077294243499637</v>
      </c>
      <c r="I261" s="160"/>
      <c r="K261" s="160"/>
      <c r="L261">
        <v>729.71899999999891</v>
      </c>
      <c r="M261" s="160">
        <v>179.15403542713349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>
      <c r="B262" s="130">
        <v>731.21899999999891</v>
      </c>
      <c r="C262" s="160">
        <v>30.593915562138015</v>
      </c>
      <c r="D262">
        <v>731.21899999999891</v>
      </c>
      <c r="E262" s="160">
        <v>-2141.7771251722015</v>
      </c>
      <c r="F262">
        <v>731.21899999999891</v>
      </c>
      <c r="G262" s="160">
        <v>98.077204827798596</v>
      </c>
      <c r="I262" s="160"/>
      <c r="K262" s="160"/>
      <c r="L262">
        <v>730.71899999999891</v>
      </c>
      <c r="M262" s="160">
        <v>179.14530190384014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>
      <c r="B263" s="130">
        <v>732.21899999999891</v>
      </c>
      <c r="C263" s="160">
        <v>30.608990898073923</v>
      </c>
      <c r="D263">
        <v>732.21899999999891</v>
      </c>
      <c r="E263" s="160">
        <v>-2142.7772101876112</v>
      </c>
      <c r="F263">
        <v>732.21899999999891</v>
      </c>
      <c r="G263" s="160">
        <v>97.077119812388901</v>
      </c>
      <c r="I263" s="160"/>
      <c r="K263" s="160"/>
      <c r="L263">
        <v>731.71899999999891</v>
      </c>
      <c r="M263" s="160">
        <v>179.13638571044569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>
      <c r="B264" s="130">
        <v>733.21899999999891</v>
      </c>
      <c r="C264" s="160">
        <v>30.624225122422953</v>
      </c>
      <c r="D264">
        <v>733.21899999999891</v>
      </c>
      <c r="E264" s="160">
        <v>-2143.7772907284161</v>
      </c>
      <c r="F264">
        <v>733.21899999999891</v>
      </c>
      <c r="G264" s="160">
        <v>96.077039271583999</v>
      </c>
      <c r="I264" s="160"/>
      <c r="K264" s="160"/>
      <c r="L264">
        <v>732.71899999999891</v>
      </c>
      <c r="M264" s="160">
        <v>179.12728103452125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>
      <c r="B265" s="130">
        <v>734.21899999999891</v>
      </c>
      <c r="C265" s="160">
        <v>30.639621629859452</v>
      </c>
      <c r="D265">
        <v>734.21899999999891</v>
      </c>
      <c r="E265" s="160">
        <v>-2144.777366717105</v>
      </c>
      <c r="F265">
        <v>734.21899999999891</v>
      </c>
      <c r="G265" s="160">
        <v>95.076963282895122</v>
      </c>
      <c r="I265" s="160"/>
      <c r="K265" s="160"/>
      <c r="L265">
        <v>733.71899999999891</v>
      </c>
      <c r="M265" s="160">
        <v>179.11798181320745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>
      <c r="B266" s="130">
        <v>735.21899999999891</v>
      </c>
      <c r="C266" s="160">
        <v>30.655183925442</v>
      </c>
      <c r="D266">
        <v>735.21899999999891</v>
      </c>
      <c r="E266" s="160">
        <v>-2145.777438072796</v>
      </c>
      <c r="F266">
        <v>735.21899999999891</v>
      </c>
      <c r="G266" s="160">
        <v>94.076891927204088</v>
      </c>
      <c r="I266" s="160"/>
      <c r="K266" s="160"/>
      <c r="L266">
        <v>734.71899999999891</v>
      </c>
      <c r="M266" s="160">
        <v>179.1084817195042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>
      <c r="B267" s="130">
        <v>736.21899999999891</v>
      </c>
      <c r="C267" s="160">
        <v>30.67091562947618</v>
      </c>
      <c r="D267">
        <v>736.21899999999891</v>
      </c>
      <c r="E267" s="160">
        <v>-2146.7775047110508</v>
      </c>
      <c r="F267">
        <v>736.21899999999891</v>
      </c>
      <c r="G267" s="160">
        <v>93.076825288949294</v>
      </c>
      <c r="I267" s="160"/>
      <c r="K267" s="160"/>
      <c r="L267">
        <v>735.71899999999891</v>
      </c>
      <c r="M267" s="160">
        <v>179.09877414763227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>
      <c r="B268" s="130">
        <v>737.21899999999891</v>
      </c>
      <c r="C268" s="160">
        <v>30.68682048264991</v>
      </c>
      <c r="D268">
        <v>737.21899999999891</v>
      </c>
      <c r="E268" s="160">
        <v>-2147.7775665436752</v>
      </c>
      <c r="F268">
        <v>737.21899999999891</v>
      </c>
      <c r="G268" s="160">
        <v>92.076763456324898</v>
      </c>
      <c r="I268" s="160"/>
      <c r="K268" s="160"/>
      <c r="L268">
        <v>736.71899999999891</v>
      </c>
      <c r="M268" s="160">
        <v>179.08885219740381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>
      <c r="B269" s="130">
        <v>738.21899999999891</v>
      </c>
      <c r="C269" s="160">
        <v>30.70290235145994</v>
      </c>
      <c r="D269">
        <v>738.21899999999891</v>
      </c>
      <c r="E269" s="160">
        <v>-2148.7776234785065</v>
      </c>
      <c r="F269">
        <v>738.21899999999891</v>
      </c>
      <c r="G269" s="160">
        <v>91.076706521493634</v>
      </c>
      <c r="I269" s="160"/>
      <c r="K269" s="160"/>
      <c r="L269">
        <v>737.71899999999891</v>
      </c>
      <c r="M269" s="160">
        <v>179.07870865752486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>
      <c r="B270" s="130">
        <v>739.21899999999891</v>
      </c>
      <c r="C270" s="160">
        <v>30.719165233949816</v>
      </c>
      <c r="D270">
        <v>739.21899999999891</v>
      </c>
      <c r="E270" s="160">
        <v>-2149.7776754191909</v>
      </c>
      <c r="F270">
        <v>739.21899999999891</v>
      </c>
      <c r="G270" s="160">
        <v>90.076654580809191</v>
      </c>
      <c r="I270" s="160"/>
      <c r="K270" s="160"/>
      <c r="L270">
        <v>738.71899999999891</v>
      </c>
      <c r="M270" s="160">
        <v>179.0683359877398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>
      <c r="B271" s="130">
        <v>740.21899999999891</v>
      </c>
      <c r="C271" s="160">
        <v>30.735613265781172</v>
      </c>
      <c r="D271">
        <v>740.21899999999891</v>
      </c>
      <c r="E271" s="160">
        <v>-2150.777722264937</v>
      </c>
      <c r="F271">
        <v>740.21899999999891</v>
      </c>
      <c r="G271" s="160">
        <v>89.076607735063135</v>
      </c>
      <c r="I271" s="160"/>
      <c r="K271" s="160"/>
      <c r="L271">
        <v>739.71899999999891</v>
      </c>
      <c r="M271" s="160">
        <v>179.05772629970789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>
      <c r="B272" s="130">
        <v>741.21899999999891</v>
      </c>
      <c r="C272" s="160">
        <v>30.752250726662076</v>
      </c>
      <c r="D272">
        <v>741.21899999999891</v>
      </c>
      <c r="E272" s="160">
        <v>-2151.7777639102596</v>
      </c>
      <c r="F272">
        <v>741.21899999999891</v>
      </c>
      <c r="G272" s="160">
        <v>88.076566089740481</v>
      </c>
      <c r="I272" s="160"/>
      <c r="K272" s="160"/>
      <c r="L272">
        <v>740.71899999999891</v>
      </c>
      <c r="M272" s="160">
        <v>179.04687133653528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>
      <c r="B273" s="130">
        <v>742.21899999999891</v>
      </c>
      <c r="C273" s="160">
        <v>30.769082047158175</v>
      </c>
      <c r="D273">
        <v>742.21899999999891</v>
      </c>
      <c r="E273" s="160">
        <v>-2152.7778002447003</v>
      </c>
      <c r="F273">
        <v>742.21899999999891</v>
      </c>
      <c r="G273" s="160">
        <v>87.076529755299816</v>
      </c>
      <c r="I273" s="160"/>
      <c r="K273" s="160"/>
      <c r="L273">
        <v>741.71899999999891</v>
      </c>
      <c r="M273" s="160">
        <v>179.03576245081672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>
      <c r="B274" s="130">
        <v>743.21899999999891</v>
      </c>
      <c r="C274" s="160">
        <v>30.786111815914641</v>
      </c>
      <c r="D274">
        <v>743.21899999999891</v>
      </c>
      <c r="E274" s="160">
        <v>-2153.7778311525312</v>
      </c>
      <c r="F274">
        <v>743.21899999999891</v>
      </c>
      <c r="G274" s="160">
        <v>86.076498847468883</v>
      </c>
      <c r="I274" s="160"/>
      <c r="K274" s="160"/>
      <c r="L274">
        <v>742.71899999999891</v>
      </c>
      <c r="M274" s="160">
        <v>179.02439058108064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>
      <c r="B275" s="130">
        <v>744.21899999999891</v>
      </c>
      <c r="C275" s="160">
        <v>30.803344787319269</v>
      </c>
      <c r="D275">
        <v>744.21899999999891</v>
      </c>
      <c r="E275" s="160">
        <v>-2154.7778565124345</v>
      </c>
      <c r="F275">
        <v>744.21899999999891</v>
      </c>
      <c r="G275" s="160">
        <v>85.076473487565636</v>
      </c>
      <c r="I275" s="160"/>
      <c r="K275" s="160"/>
      <c r="L275">
        <v>743.71899999999891</v>
      </c>
      <c r="M275" s="160">
        <v>179.01274622648555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>
      <c r="B276" s="130">
        <v>745.21899999999891</v>
      </c>
      <c r="C276" s="160">
        <v>30.820785889639929</v>
      </c>
      <c r="D276">
        <v>745.21899999999891</v>
      </c>
      <c r="E276" s="160">
        <v>-2155.7778761971604</v>
      </c>
      <c r="F276">
        <v>745.21899999999891</v>
      </c>
      <c r="G276" s="160">
        <v>84.076453802839751</v>
      </c>
      <c r="I276" s="160"/>
      <c r="K276" s="160"/>
      <c r="L276">
        <v>744.71899999999891</v>
      </c>
      <c r="M276" s="160">
        <v>179.00081941961835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>
      <c r="B277" s="130">
        <v>746.21899999999891</v>
      </c>
      <c r="C277" s="160">
        <v>30.838440233672358</v>
      </c>
      <c r="D277">
        <v>746.21899999999891</v>
      </c>
      <c r="E277" s="160">
        <v>-2156.7778900731564</v>
      </c>
      <c r="F277">
        <v>746.21899999999891</v>
      </c>
      <c r="G277" s="160">
        <v>83.076439926843705</v>
      </c>
      <c r="I277" s="160"/>
      <c r="K277" s="160"/>
      <c r="L277">
        <v>745.71899999999891</v>
      </c>
      <c r="M277" s="160">
        <v>178.98859969722105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>
      <c r="B278" s="130">
        <v>747.21899999999891</v>
      </c>
      <c r="C278" s="160">
        <v>30.856313121937752</v>
      </c>
      <c r="D278">
        <v>747.21899999999891</v>
      </c>
      <c r="E278" s="160">
        <v>-2157.7778980001731</v>
      </c>
      <c r="F278">
        <v>747.21899999999891</v>
      </c>
      <c r="G278" s="160">
        <v>82.076431999827037</v>
      </c>
      <c r="I278" s="160"/>
      <c r="K278" s="160"/>
      <c r="L278">
        <v>746.71899999999891</v>
      </c>
      <c r="M278" s="160">
        <v>178.97607606866245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>
      <c r="B279" s="130">
        <v>748.21899999999891</v>
      </c>
      <c r="C279" s="160">
        <v>30.87441005847316</v>
      </c>
      <c r="D279">
        <v>748.21899999999891</v>
      </c>
      <c r="E279" s="160">
        <v>-2158.7778998308349</v>
      </c>
      <c r="F279">
        <v>748.21899999999891</v>
      </c>
      <c r="G279" s="160">
        <v>81.076430169165178</v>
      </c>
      <c r="I279" s="160"/>
      <c r="K279" s="160"/>
      <c r="L279">
        <v>747.71899999999891</v>
      </c>
      <c r="M279" s="160">
        <v>178.96323698193373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>
      <c r="B280" s="130">
        <v>749.21899999999891</v>
      </c>
      <c r="C280" s="160">
        <v>30.892736759261769</v>
      </c>
      <c r="D280">
        <v>749.21899999999891</v>
      </c>
      <c r="E280" s="160">
        <v>-2159.7778954101805</v>
      </c>
      <c r="F280">
        <v>749.21899999999891</v>
      </c>
      <c r="G280" s="160">
        <v>80.076434589819655</v>
      </c>
      <c r="I280" s="160"/>
      <c r="K280" s="160"/>
      <c r="L280">
        <v>748.71899999999891</v>
      </c>
      <c r="M280" s="160">
        <v>178.95007028694806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>
      <c r="B281" s="130">
        <v>750.21899999999891</v>
      </c>
      <c r="C281" s="160">
        <v>30.911299163354652</v>
      </c>
      <c r="D281">
        <v>750.21899999999891</v>
      </c>
      <c r="E281" s="160">
        <v>-2160.777884575165</v>
      </c>
      <c r="F281">
        <v>750.21899999999891</v>
      </c>
      <c r="G281" s="160">
        <v>79.076445424835129</v>
      </c>
      <c r="I281" s="160"/>
      <c r="K281" s="160"/>
      <c r="L281">
        <v>749.71899999999891</v>
      </c>
      <c r="M281" s="160">
        <v>178.93656319588013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>
      <c r="B282" s="130">
        <v>751.21899999999891</v>
      </c>
      <c r="C282" s="160">
        <v>30.930103444740588</v>
      </c>
      <c r="D282">
        <v>751.21899999999891</v>
      </c>
      <c r="E282" s="160">
        <v>-2161.7778671541232</v>
      </c>
      <c r="F282">
        <v>751.21899999999891</v>
      </c>
      <c r="G282" s="160">
        <v>78.076462845876904</v>
      </c>
      <c r="I282" s="160"/>
      <c r="K282" s="160"/>
      <c r="L282">
        <v>750.71899999999891</v>
      </c>
      <c r="M282" s="160">
        <v>178.92270224025518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>
      <c r="B283" s="130">
        <v>752.21899999999891</v>
      </c>
      <c r="C283" s="160">
        <v>30.94915602502611</v>
      </c>
      <c r="D283">
        <v>752.21899999999891</v>
      </c>
      <c r="E283" s="160">
        <v>-2162.7778429661885</v>
      </c>
      <c r="F283">
        <v>752.21899999999891</v>
      </c>
      <c r="G283" s="160">
        <v>77.076487033811645</v>
      </c>
      <c r="I283" s="160"/>
      <c r="K283" s="160"/>
      <c r="L283">
        <v>751.71899999999891</v>
      </c>
      <c r="M283" s="160">
        <v>178.90847322447493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>
      <c r="B284" s="130">
        <v>753.21899999999891</v>
      </c>
      <c r="C284" s="160">
        <v>30.96846358699424</v>
      </c>
      <c r="D284">
        <v>753.21899999999891</v>
      </c>
      <c r="E284" s="160">
        <v>-2163.7778118206656</v>
      </c>
      <c r="F284">
        <v>753.21899999999891</v>
      </c>
      <c r="G284" s="160">
        <v>76.076518179334471</v>
      </c>
      <c r="I284" s="160"/>
      <c r="K284" s="160"/>
      <c r="L284">
        <v>752.71899999999891</v>
      </c>
      <c r="M284" s="160">
        <v>178.89386117541466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>
      <c r="B285" s="130">
        <v>754.21899999999891</v>
      </c>
      <c r="C285" s="160">
        <v>30.988033089117266</v>
      </c>
      <c r="D285">
        <v>754.21899999999891</v>
      </c>
      <c r="E285" s="160">
        <v>-2164.7777735163472</v>
      </c>
      <c r="F285">
        <v>754.21899999999891</v>
      </c>
      <c r="G285" s="160">
        <v>75.076556483652894</v>
      </c>
      <c r="I285" s="160"/>
      <c r="K285" s="160"/>
      <c r="L285">
        <v>753.71899999999891</v>
      </c>
      <c r="M285" s="160">
        <v>178.87885028769125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>
      <c r="B286" s="130">
        <v>755.21899999999891</v>
      </c>
      <c r="C286" s="160">
        <v>31.007871781106832</v>
      </c>
      <c r="D286">
        <v>755.21899999999891</v>
      </c>
      <c r="E286" s="160">
        <v>-2165.7777278407766</v>
      </c>
      <c r="F286">
        <v>755.21899999999891</v>
      </c>
      <c r="G286" s="160">
        <v>74.076602159223512</v>
      </c>
      <c r="I286" s="160"/>
      <c r="K286" s="160"/>
      <c r="L286">
        <v>754.71899999999891</v>
      </c>
      <c r="M286" s="160">
        <v>178.86342386416192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>
      <c r="B287" s="130">
        <v>756.21899999999891</v>
      </c>
      <c r="C287" s="160">
        <v>31.027987220593428</v>
      </c>
      <c r="D287">
        <v>756.21899999999891</v>
      </c>
      <c r="E287" s="160">
        <v>-2166.7776745694428</v>
      </c>
      <c r="F287">
        <v>756.21899999999891</v>
      </c>
      <c r="G287" s="160">
        <v>73.076655430557366</v>
      </c>
      <c r="I287" s="160"/>
      <c r="K287" s="160"/>
      <c r="L287">
        <v>755.71899999999891</v>
      </c>
      <c r="M287" s="160">
        <v>178.84756425112781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>
      <c r="B288" s="130">
        <v>757.21899999999891</v>
      </c>
      <c r="C288" s="160">
        <v>31.048387291037141</v>
      </c>
      <c r="D288">
        <v>757.21899999999891</v>
      </c>
      <c r="E288" s="160">
        <v>-2167.7776134649084</v>
      </c>
      <c r="F288">
        <v>757.21899999999891</v>
      </c>
      <c r="G288" s="160">
        <v>72.076716535091691</v>
      </c>
      <c r="I288" s="160"/>
      <c r="K288" s="160"/>
      <c r="L288">
        <v>756.71899999999891</v>
      </c>
      <c r="M288" s="160">
        <v>178.8312527677015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>
      <c r="B289" s="130">
        <v>758.21899999999891</v>
      </c>
      <c r="C289" s="160">
        <v>31.069080220982915</v>
      </c>
      <c r="D289">
        <v>758.21899999999891</v>
      </c>
      <c r="E289" s="160">
        <v>-2168.7775442758566</v>
      </c>
      <c r="F289">
        <v>758.21899999999891</v>
      </c>
      <c r="G289" s="160">
        <v>71.076785724143519</v>
      </c>
      <c r="I289" s="160"/>
      <c r="K289" s="160"/>
      <c r="L289">
        <v>757.71899999999891</v>
      </c>
      <c r="M289" s="160">
        <v>178.81446962866636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>
      <c r="B290" s="130">
        <v>759.21899999999891</v>
      </c>
      <c r="C290" s="160">
        <v>31.090074604786043</v>
      </c>
      <c r="D290">
        <v>759.21899999999891</v>
      </c>
      <c r="E290" s="160">
        <v>-2169.7774667360568</v>
      </c>
      <c r="F290">
        <v>759.21899999999891</v>
      </c>
      <c r="G290" s="160">
        <v>70.076863263943324</v>
      </c>
      <c r="I290" s="160"/>
      <c r="K290" s="160"/>
      <c r="L290">
        <v>758.71899999999891</v>
      </c>
      <c r="M290" s="160">
        <v>178.79719386013093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>
      <c r="B291" s="130">
        <v>760.21899999999891</v>
      </c>
      <c r="C291" s="160">
        <v>31.111379424948019</v>
      </c>
      <c r="D291">
        <v>760.21899999999891</v>
      </c>
      <c r="E291" s="160">
        <v>-2170.7773805632269</v>
      </c>
      <c r="F291">
        <v>760.21899999999891</v>
      </c>
      <c r="G291" s="160">
        <v>69.076949436773248</v>
      </c>
      <c r="I291" s="160"/>
      <c r="K291" s="160"/>
      <c r="L291">
        <v>759.71899999999891</v>
      </c>
      <c r="M291" s="160">
        <v>178.77940320712352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>
      <c r="B292" s="130">
        <v>761.21899999999891</v>
      </c>
      <c r="C292" s="160">
        <v>31.133004076219084</v>
      </c>
      <c r="D292">
        <v>761.21899999999891</v>
      </c>
      <c r="E292" s="160">
        <v>-2171.7772854577966</v>
      </c>
      <c r="F292">
        <v>761.21899999999891</v>
      </c>
      <c r="G292" s="160">
        <v>68.077044542203566</v>
      </c>
      <c r="I292" s="160"/>
      <c r="K292" s="160"/>
      <c r="L292">
        <v>760.71899999999891</v>
      </c>
      <c r="M292" s="160">
        <v>178.7610740322333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>
      <c r="B293" s="130">
        <v>762.21899999999891</v>
      </c>
      <c r="C293" s="160">
        <v>31.154958391642328</v>
      </c>
      <c r="D293">
        <v>762.21899999999891</v>
      </c>
      <c r="E293" s="160">
        <v>-2172.7771811015509</v>
      </c>
      <c r="F293">
        <v>762.21899999999891</v>
      </c>
      <c r="G293" s="160">
        <v>67.077148898449195</v>
      </c>
      <c r="I293" s="160"/>
      <c r="K293" s="160"/>
      <c r="L293">
        <v>761.71899999999891</v>
      </c>
      <c r="M293" s="160">
        <v>178.74218120420178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>
      <c r="B294" s="130">
        <v>763.21899999999891</v>
      </c>
      <c r="C294" s="160">
        <v>31.17725267073514</v>
      </c>
      <c r="D294">
        <v>763.21899999999891</v>
      </c>
      <c r="E294" s="160">
        <v>-2173.7770671561398</v>
      </c>
      <c r="F294">
        <v>763.21899999999891</v>
      </c>
      <c r="G294" s="160">
        <v>66.077262843860353</v>
      </c>
      <c r="I294" s="160"/>
      <c r="K294" s="160"/>
      <c r="L294">
        <v>762.71899999999891</v>
      </c>
      <c r="M294" s="160">
        <v>178.72269797527531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>
      <c r="B295" s="130">
        <v>764.21899999999891</v>
      </c>
      <c r="C295" s="160">
        <v>31.199897710027876</v>
      </c>
      <c r="D295">
        <v>764.21899999999891</v>
      </c>
      <c r="E295" s="160">
        <v>-2174.77694326144</v>
      </c>
      <c r="F295">
        <v>764.21899999999891</v>
      </c>
      <c r="G295" s="160">
        <v>65.077386738560108</v>
      </c>
      <c r="I295" s="160"/>
      <c r="K295" s="160"/>
      <c r="L295">
        <v>763.71899999999891</v>
      </c>
      <c r="M295" s="160">
        <v>178.70259584593765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>
      <c r="B296" s="130">
        <v>765.21899999999891</v>
      </c>
      <c r="C296" s="160">
        <v>31.222904836206922</v>
      </c>
      <c r="D296">
        <v>765.21899999999891</v>
      </c>
      <c r="E296" s="160">
        <v>-2175.7768090337599</v>
      </c>
      <c r="F296">
        <v>765.21899999999891</v>
      </c>
      <c r="G296" s="160">
        <v>64.077520966240172</v>
      </c>
      <c r="I296" s="160"/>
      <c r="K296" s="160"/>
      <c r="L296">
        <v>764.71899999999891</v>
      </c>
      <c r="M296" s="160">
        <v>178.68184441546151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>
      <c r="B297" s="130">
        <v>766.21899999999891</v>
      </c>
      <c r="C297" s="160">
        <v>31.246285942140656</v>
      </c>
      <c r="D297">
        <v>766.21899999999891</v>
      </c>
      <c r="E297" s="160">
        <v>-2176.7766640638511</v>
      </c>
      <c r="F297">
        <v>766.21899999999891</v>
      </c>
      <c r="G297" s="160">
        <v>63.07766593614906</v>
      </c>
      <c r="I297" s="160"/>
      <c r="K297" s="160"/>
      <c r="L297">
        <v>765.71899999999891</v>
      </c>
      <c r="M297" s="160">
        <v>178.66041121645074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>
      <c r="B298" s="130">
        <v>767.21899999999891</v>
      </c>
      <c r="C298" s="160">
        <v>31.270053526102362</v>
      </c>
      <c r="D298">
        <v>767.21899999999891</v>
      </c>
      <c r="E298" s="160">
        <v>-2177.7765079147152</v>
      </c>
      <c r="F298">
        <v>767.21899999999891</v>
      </c>
      <c r="G298" s="160">
        <v>62.077822085284879</v>
      </c>
      <c r="I298" s="160"/>
      <c r="K298" s="160"/>
      <c r="L298">
        <v>766.71899999999891</v>
      </c>
      <c r="M298" s="160">
        <v>178.63826153136594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>
      <c r="B299" s="130">
        <v>768.21899999999891</v>
      </c>
      <c r="C299" s="160">
        <v>31.294220734545256</v>
      </c>
      <c r="D299">
        <v>768.21899999999891</v>
      </c>
      <c r="E299" s="160">
        <v>-2178.7763401191801</v>
      </c>
      <c r="F299">
        <v>768.21899999999891</v>
      </c>
      <c r="G299" s="160">
        <v>61.077989880820041</v>
      </c>
      <c r="I299" s="160"/>
      <c r="K299" s="160"/>
      <c r="L299">
        <v>767.71899999999891</v>
      </c>
      <c r="M299" s="160">
        <v>178.61535818865539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>
      <c r="B300" s="130">
        <v>769.21899999999891</v>
      </c>
      <c r="C300" s="160">
        <v>31.318801408831018</v>
      </c>
      <c r="D300">
        <v>769.21899999999891</v>
      </c>
      <c r="E300" s="160">
        <v>-2179.7761601772099</v>
      </c>
      <c r="F300">
        <v>769.21899999999891</v>
      </c>
      <c r="G300" s="160">
        <v>60.078169822790187</v>
      </c>
      <c r="I300" s="160"/>
      <c r="K300" s="160"/>
      <c r="L300">
        <v>768.71899999999891</v>
      </c>
      <c r="M300" s="160">
        <v>178.59166133583264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>
      <c r="B301" s="130">
        <v>770.21899999999891</v>
      </c>
      <c r="C301" s="160">
        <v>31.343810136366493</v>
      </c>
      <c r="D301">
        <v>770.21899999999891</v>
      </c>
      <c r="E301" s="160">
        <v>-2180.7759675529205</v>
      </c>
      <c r="F301">
        <v>770.21899999999891</v>
      </c>
      <c r="G301" s="160">
        <v>59.078362447079598</v>
      </c>
      <c r="I301" s="160"/>
      <c r="K301" s="160"/>
      <c r="L301">
        <v>769.71899999999891</v>
      </c>
      <c r="M301" s="160">
        <v>178.56712818644931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>
      <c r="B302" s="130">
        <v>771.21899999999891</v>
      </c>
      <c r="C302" s="160">
        <v>31.369262306663305</v>
      </c>
      <c r="D302">
        <v>771.21899999999891</v>
      </c>
      <c r="E302" s="160">
        <v>-2181.7757616712511</v>
      </c>
      <c r="F302">
        <v>771.21899999999891</v>
      </c>
      <c r="G302" s="160">
        <v>58.078568328749043</v>
      </c>
      <c r="I302" s="160"/>
      <c r="K302" s="160"/>
      <c r="L302">
        <v>770.71899999999891</v>
      </c>
      <c r="M302" s="160">
        <v>178.54171273749515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>
      <c r="B303" s="130">
        <v>772.21899999999891</v>
      </c>
      <c r="C303" s="160">
        <v>31.395174172903456</v>
      </c>
      <c r="D303">
        <v>772.21899999999891</v>
      </c>
      <c r="E303" s="160">
        <v>-2182.7755419142577</v>
      </c>
      <c r="F303">
        <v>772.21899999999891</v>
      </c>
      <c r="G303" s="160">
        <v>57.078788085742417</v>
      </c>
      <c r="I303" s="160"/>
      <c r="K303" s="160"/>
      <c r="L303">
        <v>771.71899999999891</v>
      </c>
      <c r="M303" s="160">
        <v>178.51536545332283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>
      <c r="B304" s="130">
        <v>773.21899999999891</v>
      </c>
      <c r="C304" s="160">
        <v>31.421562919670272</v>
      </c>
      <c r="D304">
        <v>773.21899999999891</v>
      </c>
      <c r="E304" s="160">
        <v>-2183.7753076169688</v>
      </c>
      <c r="F304">
        <v>773.21899999999891</v>
      </c>
      <c r="G304" s="160">
        <v>56.079022383031315</v>
      </c>
      <c r="I304" s="160"/>
      <c r="K304" s="160"/>
      <c r="L304">
        <v>772.71899999999891</v>
      </c>
      <c r="M304" s="160">
        <v>178.48803291168829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>
      <c r="B305" s="130">
        <v>774.21899999999891</v>
      </c>
      <c r="C305" s="160">
        <v>31.448446737589972</v>
      </c>
      <c r="D305">
        <v>774.21899999999891</v>
      </c>
      <c r="E305" s="160">
        <v>-2184.7750580627417</v>
      </c>
      <c r="F305">
        <v>774.21899999999891</v>
      </c>
      <c r="G305" s="160">
        <v>55.079271937258454</v>
      </c>
      <c r="I305" s="160"/>
      <c r="K305" s="160"/>
      <c r="L305">
        <v>773.71899999999891</v>
      </c>
      <c r="M305" s="160">
        <v>178.45965740697801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>
      <c r="B306" s="130">
        <v>775.21899999999891</v>
      </c>
      <c r="C306" s="160">
        <v>31.475844905723111</v>
      </c>
      <c r="D306">
        <v>775.21899999999891</v>
      </c>
      <c r="E306" s="160">
        <v>-2185.7747924780492</v>
      </c>
      <c r="F306">
        <v>775.21899999999891</v>
      </c>
      <c r="G306" s="160">
        <v>54.079537521950897</v>
      </c>
      <c r="I306" s="160"/>
      <c r="K306" s="160"/>
      <c r="L306">
        <v>774.71899999999891</v>
      </c>
      <c r="M306" s="160">
        <v>178.43017650521435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>
      <c r="B307" s="130">
        <v>776.21899999999891</v>
      </c>
      <c r="C307" s="160">
        <v>31.503777882648279</v>
      </c>
      <c r="D307">
        <v>776.21899999999891</v>
      </c>
      <c r="E307" s="160">
        <v>-2186.7745100266166</v>
      </c>
      <c r="F307">
        <v>776.21899999999891</v>
      </c>
      <c r="G307" s="160">
        <v>53.079819973383565</v>
      </c>
      <c r="I307" s="160"/>
      <c r="K307" s="160"/>
      <c r="L307">
        <v>775.71899999999891</v>
      </c>
      <c r="M307" s="160">
        <v>178.39952254491135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>
      <c r="B308" s="130">
        <v>777.21899999999891</v>
      </c>
      <c r="C308" s="160">
        <v>31.53226740729016</v>
      </c>
      <c r="D308">
        <v>777.21899999999891</v>
      </c>
      <c r="E308" s="160">
        <v>-2187.7742098028061</v>
      </c>
      <c r="F308">
        <v>777.21899999999891</v>
      </c>
      <c r="G308" s="160">
        <v>52.080120197193992</v>
      </c>
      <c r="I308" s="160"/>
      <c r="K308" s="160"/>
      <c r="L308">
        <v>776.71899999999891</v>
      </c>
      <c r="M308" s="160">
        <v>178.36762207744985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>
      <c r="B309" s="130">
        <v>778.21899999999891</v>
      </c>
      <c r="C309" s="160">
        <v>31.561336610658362</v>
      </c>
      <c r="D309">
        <v>778.21899999999891</v>
      </c>
      <c r="E309" s="160">
        <v>-2188.7738908241477</v>
      </c>
      <c r="F309">
        <v>778.21899999999891</v>
      </c>
      <c r="G309" s="160">
        <v>51.080439175852462</v>
      </c>
      <c r="I309" s="160"/>
      <c r="K309" s="160"/>
      <c r="L309">
        <v>777.71899999999891</v>
      </c>
      <c r="M309" s="160">
        <v>178.33439524040679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>
      <c r="B310" s="130">
        <v>779.21899999999891</v>
      </c>
      <c r="C310" s="160">
        <v>31.591010139778135</v>
      </c>
      <c r="D310">
        <v>779.21899999999891</v>
      </c>
      <c r="E310" s="160">
        <v>-2189.7735520228798</v>
      </c>
      <c r="F310">
        <v>779.21899999999891</v>
      </c>
      <c r="G310" s="160">
        <v>50.080777977120306</v>
      </c>
      <c r="I310" s="160"/>
      <c r="K310" s="160"/>
      <c r="L310">
        <v>778.71899999999891</v>
      </c>
      <c r="M310" s="160">
        <v>178.29975505720543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>
      <c r="B311" s="130">
        <v>780.21899999999891</v>
      </c>
      <c r="C311" s="160">
        <v>31.621314295202037</v>
      </c>
      <c r="D311">
        <v>780.21899999999891</v>
      </c>
      <c r="E311" s="160">
        <v>-2190.7731922363519</v>
      </c>
      <c r="F311">
        <v>780.21899999999891</v>
      </c>
      <c r="G311" s="160">
        <v>49.081137763648258</v>
      </c>
      <c r="I311" s="160"/>
      <c r="K311" s="160"/>
      <c r="L311">
        <v>779.71899999999891</v>
      </c>
      <c r="M311" s="160">
        <v>178.26360665684848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>
      <c r="B312" s="130">
        <v>781.21899999999891</v>
      </c>
      <c r="C312" s="160">
        <v>31.652277183583323</v>
      </c>
      <c r="D312">
        <v>781.21899999999891</v>
      </c>
      <c r="E312" s="160">
        <v>-2191.7728101961261</v>
      </c>
      <c r="F312">
        <v>781.21899999999891</v>
      </c>
      <c r="G312" s="160">
        <v>48.081519803874016</v>
      </c>
      <c r="I312" s="160"/>
      <c r="K312" s="160"/>
      <c r="L312">
        <v>780.71899999999891</v>
      </c>
      <c r="M312" s="160">
        <v>178.22584640844437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>
      <c r="B313" s="130">
        <v>782.21899999999891</v>
      </c>
      <c r="C313" s="160">
        <v>31.683928886853071</v>
      </c>
      <c r="D313">
        <v>782.21899999999891</v>
      </c>
      <c r="E313" s="160">
        <v>-2192.7724045155701</v>
      </c>
      <c r="F313">
        <v>782.21899999999891</v>
      </c>
      <c r="G313" s="160">
        <v>47.08192548443003</v>
      </c>
      <c r="I313" s="160"/>
      <c r="K313" s="160"/>
      <c r="L313">
        <v>781.71899999999891</v>
      </c>
      <c r="M313" s="160">
        <v>178.18636096689539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>
      <c r="B314" s="130">
        <v>783.21899999999891</v>
      </c>
      <c r="C314" s="160">
        <v>31.716301649553387</v>
      </c>
      <c r="D314">
        <v>783.21899999999891</v>
      </c>
      <c r="E314" s="160">
        <v>-2193.7719736757285</v>
      </c>
      <c r="F314">
        <v>783.21899999999891</v>
      </c>
      <c r="G314" s="160">
        <v>46.082356324271586</v>
      </c>
      <c r="I314" s="160"/>
      <c r="K314" s="160"/>
      <c r="L314">
        <v>782.71899999999891</v>
      </c>
      <c r="M314" s="160">
        <v>178.14502622911618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>
      <c r="B315" s="130">
        <v>784.21899999999891</v>
      </c>
      <c r="C315" s="160">
        <v>31.749430085812129</v>
      </c>
      <c r="D315">
        <v>784.21899999999891</v>
      </c>
      <c r="E315" s="160">
        <v>-2194.7715160092198</v>
      </c>
      <c r="F315">
        <v>784.21899999999891</v>
      </c>
      <c r="G315" s="160">
        <v>45.082813990780323</v>
      </c>
      <c r="I315" s="160"/>
      <c r="K315" s="160"/>
      <c r="L315">
        <v>783.71899999999891</v>
      </c>
      <c r="M315" s="160">
        <v>178.1017062044817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>
      <c r="B316" s="130">
        <v>784.71899999999891</v>
      </c>
      <c r="C316" s="160">
        <v>31.766291637033092</v>
      </c>
      <c r="D316">
        <v>784.71899999999891</v>
      </c>
      <c r="E316" s="160">
        <v>-2195.2712764576295</v>
      </c>
      <c r="F316">
        <v>784.71899999999891</v>
      </c>
      <c r="G316" s="160">
        <v>44.583053542370635</v>
      </c>
      <c r="I316" s="160"/>
      <c r="K316" s="160"/>
      <c r="L316">
        <v>784.46899999999891</v>
      </c>
      <c r="M316" s="160">
        <v>178.06761540844511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>
      <c r="B317" s="130">
        <v>785.21899999999891</v>
      </c>
      <c r="C317" s="160">
        <v>31.783356377044289</v>
      </c>
      <c r="D317">
        <v>785.21899999999891</v>
      </c>
      <c r="E317" s="160">
        <v>-2195.7710294925137</v>
      </c>
      <c r="F317">
        <v>785.21899999999891</v>
      </c>
      <c r="G317" s="160">
        <v>44.083300507486456</v>
      </c>
      <c r="I317" s="160"/>
      <c r="K317" s="160"/>
      <c r="L317">
        <v>784.96899999999891</v>
      </c>
      <c r="M317" s="160">
        <v>178.04431834657532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>
      <c r="B318" s="130">
        <v>785.71899999999891</v>
      </c>
      <c r="C318" s="160">
        <v>31.800629461142254</v>
      </c>
      <c r="D318">
        <v>785.71899999999891</v>
      </c>
      <c r="E318" s="160">
        <v>-2196.2707748529974</v>
      </c>
      <c r="F318">
        <v>785.71899999999891</v>
      </c>
      <c r="G318" s="160">
        <v>43.583555147002699</v>
      </c>
      <c r="I318" s="160"/>
      <c r="K318" s="160"/>
      <c r="L318">
        <v>785.46899999999891</v>
      </c>
      <c r="M318" s="160">
        <v>178.02042985877398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>
      <c r="B319" s="130">
        <v>786.21899999999891</v>
      </c>
      <c r="C319" s="160">
        <v>31.818116242624594</v>
      </c>
      <c r="D319">
        <v>786.21899999999891</v>
      </c>
      <c r="E319" s="160">
        <v>-2196.7705122648163</v>
      </c>
      <c r="F319">
        <v>786.21899999999891</v>
      </c>
      <c r="G319" s="160">
        <v>43.083817735183857</v>
      </c>
      <c r="I319" s="160"/>
      <c r="K319" s="160"/>
      <c r="L319">
        <v>785.96899999999891</v>
      </c>
      <c r="M319" s="160">
        <v>177.99592721246057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>
      <c r="B320" s="130">
        <v>786.71899999999891</v>
      </c>
      <c r="C320" s="160">
        <v>31.835822283357484</v>
      </c>
      <c r="D320">
        <v>786.71899999999891</v>
      </c>
      <c r="E320" s="160">
        <v>-2197.2702414394357</v>
      </c>
      <c r="F320">
        <v>786.71899999999891</v>
      </c>
      <c r="G320" s="160">
        <v>42.584088560564396</v>
      </c>
      <c r="I320" s="160"/>
      <c r="K320" s="160"/>
      <c r="L320">
        <v>786.46899999999891</v>
      </c>
      <c r="M320" s="160">
        <v>177.97078646069778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>
      <c r="B321" s="130">
        <v>787.21899999999891</v>
      </c>
      <c r="C321" s="160">
        <v>31.853753364745739</v>
      </c>
      <c r="D321">
        <v>787.21899999999891</v>
      </c>
      <c r="E321" s="160">
        <v>-2197.76996207311</v>
      </c>
      <c r="F321">
        <v>787.21899999999891</v>
      </c>
      <c r="G321" s="160">
        <v>42.084367926890081</v>
      </c>
      <c r="I321" s="160"/>
      <c r="K321" s="160"/>
      <c r="L321">
        <v>786.96899999999891</v>
      </c>
      <c r="M321" s="160">
        <v>177.94498239575486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>
      <c r="B322" s="130">
        <v>787.71899999999891</v>
      </c>
      <c r="C322" s="160">
        <v>31.871915499126338</v>
      </c>
      <c r="D322">
        <v>787.71899999999891</v>
      </c>
      <c r="E322" s="160">
        <v>-2198.2696738458712</v>
      </c>
      <c r="F322">
        <v>787.71899999999891</v>
      </c>
      <c r="G322" s="160">
        <v>41.584656154128879</v>
      </c>
      <c r="I322" s="160"/>
      <c r="K322" s="160"/>
      <c r="L322">
        <v>787.46899999999891</v>
      </c>
      <c r="M322" s="160">
        <v>177.91848850023317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>
      <c r="B323" s="130">
        <v>788.21899999999891</v>
      </c>
      <c r="C323" s="160">
        <v>31.890314941599744</v>
      </c>
      <c r="D323">
        <v>788.21899999999891</v>
      </c>
      <c r="E323" s="160">
        <v>-2198.769376420461</v>
      </c>
      <c r="F323">
        <v>788.21899999999891</v>
      </c>
      <c r="G323" s="160">
        <v>41.08495357953916</v>
      </c>
      <c r="I323" s="160"/>
      <c r="K323" s="160"/>
      <c r="L323">
        <v>787.96899999999891</v>
      </c>
      <c r="M323" s="160">
        <v>177.89127689658577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>
      <c r="B324" s="130">
        <v>788.71899999999891</v>
      </c>
      <c r="C324" s="160">
        <v>31.908958202306053</v>
      </c>
      <c r="D324">
        <v>788.71899999999891</v>
      </c>
      <c r="E324" s="160">
        <v>-2199.2690694411694</v>
      </c>
      <c r="F324">
        <v>788.71899999999891</v>
      </c>
      <c r="G324" s="160">
        <v>40.585260558830669</v>
      </c>
      <c r="I324" s="160"/>
      <c r="K324" s="160"/>
      <c r="L324">
        <v>788.46899999999891</v>
      </c>
      <c r="M324" s="160">
        <v>177.86331829567033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>
      <c r="B325" s="130">
        <v>789.21899999999891</v>
      </c>
      <c r="C325" s="160">
        <v>31.927852059144971</v>
      </c>
      <c r="D325">
        <v>789.21899999999891</v>
      </c>
      <c r="E325" s="160">
        <v>-2199.7687525326182</v>
      </c>
      <c r="F325">
        <v>789.21899999999891</v>
      </c>
      <c r="G325" s="160">
        <v>40.085577467381881</v>
      </c>
      <c r="I325" s="160"/>
      <c r="K325" s="160"/>
      <c r="L325">
        <v>788.96899999999891</v>
      </c>
      <c r="M325" s="160">
        <v>177.8345819455518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>
      <c r="B326" s="130">
        <v>789.71899999999891</v>
      </c>
      <c r="C326" s="160">
        <v>31.947003570929997</v>
      </c>
      <c r="D326">
        <v>789.71899999999891</v>
      </c>
      <c r="E326" s="160">
        <v>-2200.2684252984373</v>
      </c>
      <c r="F326">
        <v>789.71899999999891</v>
      </c>
      <c r="G326" s="160">
        <v>39.585904701562868</v>
      </c>
      <c r="I326" s="160"/>
      <c r="K326" s="160"/>
      <c r="L326">
        <v>789.46899999999891</v>
      </c>
      <c r="M326" s="160">
        <v>177.80503558118124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>
      <c r="B327" s="130">
        <v>790.21899999999891</v>
      </c>
      <c r="C327" s="160">
        <v>31.966420090956916</v>
      </c>
      <c r="D327">
        <v>790.21899999999891</v>
      </c>
      <c r="E327" s="160">
        <v>-2200.7680873198728</v>
      </c>
      <c r="F327">
        <v>790.21899999999891</v>
      </c>
      <c r="G327" s="160">
        <v>39.08624268012727</v>
      </c>
      <c r="I327" s="160"/>
      <c r="K327" s="160"/>
      <c r="L327">
        <v>789.96899999999891</v>
      </c>
      <c r="M327" s="160">
        <v>177.77464537648646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>
      <c r="B328" s="130">
        <v>790.71899999999891</v>
      </c>
      <c r="C328" s="160">
        <v>31.986109280955802</v>
      </c>
      <c r="D328">
        <v>790.71899999999891</v>
      </c>
      <c r="E328" s="160">
        <v>-2201.267738154289</v>
      </c>
      <c r="F328">
        <v>790.71899999999891</v>
      </c>
      <c r="G328" s="160">
        <v>38.586591845711155</v>
      </c>
      <c r="I328" s="160"/>
      <c r="K328" s="160"/>
      <c r="L328">
        <v>790.46899999999891</v>
      </c>
      <c r="M328" s="160">
        <v>177.74337589980468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>
      <c r="B329" s="130">
        <v>791.21899999999891</v>
      </c>
      <c r="C329" s="160">
        <v>32.006079125382421</v>
      </c>
      <c r="D329">
        <v>791.21899999999891</v>
      </c>
      <c r="E329" s="160">
        <v>-2201.7673773335778</v>
      </c>
      <c r="F329">
        <v>791.21899999999891</v>
      </c>
      <c r="G329" s="160">
        <v>38.086952666422349</v>
      </c>
      <c r="I329" s="160"/>
      <c r="K329" s="160"/>
      <c r="L329">
        <v>790.96899999999891</v>
      </c>
      <c r="M329" s="160">
        <v>177.71119007440939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>
      <c r="B330" s="130">
        <v>791.71899999999891</v>
      </c>
      <c r="C330" s="160">
        <v>32.026337945990541</v>
      </c>
      <c r="D330">
        <v>791.71899999999891</v>
      </c>
      <c r="E330" s="160">
        <v>-2202.2670043624671</v>
      </c>
      <c r="F330">
        <v>791.71899999999891</v>
      </c>
      <c r="G330" s="160">
        <v>37.587325637533013</v>
      </c>
      <c r="I330" s="160"/>
      <c r="K330" s="160"/>
      <c r="L330">
        <v>791.46899999999891</v>
      </c>
      <c r="M330" s="160">
        <v>177.67804914565158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>
      <c r="B331" s="130">
        <v>792.21899999999891</v>
      </c>
      <c r="C331" s="160">
        <v>32.046894416609696</v>
      </c>
      <c r="D331">
        <v>792.21899999999891</v>
      </c>
      <c r="E331" s="160">
        <v>-2202.7666187167242</v>
      </c>
      <c r="F331">
        <v>792.21899999999891</v>
      </c>
      <c r="G331" s="160">
        <v>37.087711283275894</v>
      </c>
      <c r="I331" s="160"/>
      <c r="K331" s="160"/>
      <c r="L331">
        <v>791.96899999999891</v>
      </c>
      <c r="M331" s="160">
        <v>177.64391265670483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>
      <c r="B332" s="130">
        <v>792.71899999999891</v>
      </c>
      <c r="C332" s="160">
        <v>32.067757578033898</v>
      </c>
      <c r="D332">
        <v>792.71899999999891</v>
      </c>
      <c r="E332" s="160">
        <v>-2203.2662198412477</v>
      </c>
      <c r="F332">
        <v>792.71899999999891</v>
      </c>
      <c r="G332" s="160">
        <v>36.588110158752443</v>
      </c>
      <c r="I332" s="160"/>
      <c r="K332" s="160"/>
      <c r="L332">
        <v>792.46899999999891</v>
      </c>
      <c r="M332" s="160">
        <v>177.60873843505811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>
      <c r="B333" s="130">
        <v>793.21899999999891</v>
      </c>
      <c r="C333" s="160">
        <v>32.088936852904872</v>
      </c>
      <c r="D333">
        <v>793.21899999999891</v>
      </c>
      <c r="E333" s="160">
        <v>-2203.7658071480569</v>
      </c>
      <c r="F333">
        <v>793.21899999999891</v>
      </c>
      <c r="G333" s="160">
        <v>36.088522851943253</v>
      </c>
      <c r="I333" s="160"/>
      <c r="K333" s="160"/>
      <c r="L333">
        <v>792.96899999999891</v>
      </c>
      <c r="M333" s="160">
        <v>177.57248259234413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>
      <c r="B334" s="130">
        <v>793.71899999999891</v>
      </c>
      <c r="C334" s="160">
        <v>32.110442060449223</v>
      </c>
      <c r="D334">
        <v>793.71899999999891</v>
      </c>
      <c r="E334" s="160">
        <v>-2204.2653800141629</v>
      </c>
      <c r="F334">
        <v>793.71899999999891</v>
      </c>
      <c r="G334" s="160">
        <v>35.588949985837189</v>
      </c>
      <c r="I334" s="160"/>
      <c r="K334" s="160"/>
      <c r="L334">
        <v>793.46899999999891</v>
      </c>
      <c r="M334" s="160">
        <v>177.53509954014316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>
      <c r="B335" s="130">
        <v>794.21899999999891</v>
      </c>
      <c r="C335" s="160">
        <v>32.132283430900578</v>
      </c>
      <c r="D335">
        <v>794.21899999999891</v>
      </c>
      <c r="E335" s="160">
        <v>-2204.7649377793355</v>
      </c>
      <c r="F335">
        <v>794.21899999999891</v>
      </c>
      <c r="G335" s="160">
        <v>35.089392220664649</v>
      </c>
      <c r="I335" s="160"/>
      <c r="K335" s="160"/>
      <c r="L335">
        <v>793.96899999999891</v>
      </c>
      <c r="M335" s="160">
        <v>177.49654202515188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>
      <c r="B336" s="130">
        <v>794.71899999999891</v>
      </c>
      <c r="C336" s="160">
        <v>32.154471619406799</v>
      </c>
      <c r="D336">
        <v>794.71899999999891</v>
      </c>
      <c r="E336" s="160">
        <v>-2205.2644797437565</v>
      </c>
      <c r="F336">
        <v>794.71899999999891</v>
      </c>
      <c r="G336" s="160">
        <v>34.589850256243608</v>
      </c>
      <c r="I336" s="160"/>
      <c r="K336" s="160"/>
      <c r="L336">
        <v>794.46899999999891</v>
      </c>
      <c r="M336" s="160">
        <v>177.45676118714348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>
      <c r="B337" s="130">
        <v>795.21899999999891</v>
      </c>
      <c r="C337" s="160">
        <v>32.177017719187425</v>
      </c>
      <c r="D337">
        <v>795.21899999999891</v>
      </c>
      <c r="E337" s="160">
        <v>-2205.764005165579</v>
      </c>
      <c r="F337">
        <v>795.21899999999891</v>
      </c>
      <c r="G337" s="160">
        <v>34.090324834421153</v>
      </c>
      <c r="I337" s="160"/>
      <c r="K337" s="160"/>
      <c r="L337">
        <v>794.96899999999891</v>
      </c>
      <c r="M337" s="160">
        <v>177.41570664384022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>
      <c r="B338" s="130">
        <v>795.71899999999891</v>
      </c>
      <c r="C338" s="160">
        <v>32.199933273666993</v>
      </c>
      <c r="D338">
        <v>795.71899999999891</v>
      </c>
      <c r="E338" s="160">
        <v>-2206.2635132583823</v>
      </c>
      <c r="F338">
        <v>795.71899999999891</v>
      </c>
      <c r="G338" s="160">
        <v>33.5908167416178</v>
      </c>
      <c r="I338" s="160"/>
      <c r="K338" s="160"/>
      <c r="L338">
        <v>795.46899999999891</v>
      </c>
      <c r="M338" s="160">
        <v>177.37332660709521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>
      <c r="B339" s="130">
        <v>796.21899999999891</v>
      </c>
      <c r="C339" s="160">
        <v>32.223230287266901</v>
      </c>
      <c r="D339">
        <v>796.21899999999891</v>
      </c>
      <c r="E339" s="160">
        <v>-2206.7630031885492</v>
      </c>
      <c r="F339">
        <v>796.21899999999891</v>
      </c>
      <c r="G339" s="160">
        <v>33.091326811450926</v>
      </c>
      <c r="I339" s="160"/>
      <c r="K339" s="160"/>
      <c r="L339">
        <v>795.96899999999891</v>
      </c>
      <c r="M339" s="160">
        <v>177.32956803544963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>
      <c r="B340" s="130">
        <v>796.71899999999891</v>
      </c>
      <c r="C340" s="160">
        <v>32.246921234489989</v>
      </c>
      <c r="D340">
        <v>796.71899999999891</v>
      </c>
      <c r="E340" s="160">
        <v>-2207.2624740725696</v>
      </c>
      <c r="F340">
        <v>796.71899999999891</v>
      </c>
      <c r="G340" s="160">
        <v>32.591855927430515</v>
      </c>
      <c r="I340" s="160"/>
      <c r="K340" s="160"/>
      <c r="L340">
        <v>796.46899999999891</v>
      </c>
      <c r="M340" s="160">
        <v>177.28437682853141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>
      <c r="B341" s="130">
        <v>797.21899999999891</v>
      </c>
      <c r="C341" s="160">
        <v>32.271019066879305</v>
      </c>
      <c r="D341">
        <v>797.21899999999891</v>
      </c>
      <c r="E341" s="160">
        <v>-2207.7619249743016</v>
      </c>
      <c r="F341">
        <v>797.21899999999891</v>
      </c>
      <c r="G341" s="160">
        <v>32.092405025698554</v>
      </c>
      <c r="I341" s="160"/>
      <c r="K341" s="160"/>
      <c r="L341">
        <v>796.96899999999891</v>
      </c>
      <c r="M341" s="160">
        <v>177.23769806943062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>
      <c r="B342" s="130">
        <v>797.71899999999891</v>
      </c>
      <c r="C342" s="160">
        <v>32.295537217374346</v>
      </c>
      <c r="D342">
        <v>797.71899999999891</v>
      </c>
      <c r="E342" s="160">
        <v>-2208.2613549022035</v>
      </c>
      <c r="F342">
        <v>797.71899999999891</v>
      </c>
      <c r="G342" s="160">
        <v>31.592975097796625</v>
      </c>
      <c r="I342" s="160"/>
      <c r="K342" s="160"/>
      <c r="L342">
        <v>797.46899999999891</v>
      </c>
      <c r="M342" s="160">
        <v>177.18947632164125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>
      <c r="B343" s="130">
        <v>798.21899999999891</v>
      </c>
      <c r="C343" s="160">
        <v>32.320489601524407</v>
      </c>
      <c r="D343">
        <v>798.21899999999891</v>
      </c>
      <c r="E343" s="160">
        <v>-2208.7607628065794</v>
      </c>
      <c r="F343">
        <v>798.21899999999891</v>
      </c>
      <c r="G343" s="160">
        <v>31.093567193420768</v>
      </c>
      <c r="I343" s="160"/>
      <c r="K343" s="160"/>
      <c r="L343">
        <v>797.96899999999891</v>
      </c>
      <c r="M343" s="160">
        <v>177.13965598798407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>
      <c r="B344" s="130">
        <v>798.71899999999891</v>
      </c>
      <c r="C344" s="160">
        <v>32.345890614950363</v>
      </c>
      <c r="D344">
        <v>798.71899999999891</v>
      </c>
      <c r="E344" s="160">
        <v>-2209.2601475768779</v>
      </c>
      <c r="F344">
        <v>798.71899999999891</v>
      </c>
      <c r="G344" s="160">
        <v>30.59418242312222</v>
      </c>
      <c r="I344" s="160"/>
      <c r="K344" s="160"/>
      <c r="L344">
        <v>798.46899999999891</v>
      </c>
      <c r="M344" s="160">
        <v>177.08818173933417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>
      <c r="B345" s="130">
        <v>799.21899999999891</v>
      </c>
      <c r="C345" s="160">
        <v>32.371755126371184</v>
      </c>
      <c r="D345">
        <v>799.21899999999891</v>
      </c>
      <c r="E345" s="160">
        <v>-2209.7595080390906</v>
      </c>
      <c r="F345">
        <v>799.21899999999891</v>
      </c>
      <c r="G345" s="160">
        <v>30.094821960909485</v>
      </c>
      <c r="I345" s="160"/>
      <c r="K345" s="160"/>
      <c r="L345">
        <v>798.96899999999891</v>
      </c>
      <c r="M345" s="160">
        <v>177.03499902175199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>
      <c r="B346" s="130">
        <v>799.71899999999891</v>
      </c>
      <c r="C346" s="160">
        <v>32.3980984654319</v>
      </c>
      <c r="D346">
        <v>799.71899999999891</v>
      </c>
      <c r="E346" s="160">
        <v>-2210.2588429533171</v>
      </c>
      <c r="F346">
        <v>799.71899999999891</v>
      </c>
      <c r="G346" s="160">
        <v>29.595487046683047</v>
      </c>
      <c r="I346" s="160"/>
      <c r="K346" s="160"/>
      <c r="L346">
        <v>799.46899999999891</v>
      </c>
      <c r="M346" s="160">
        <v>176.98005465126812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>
      <c r="B347" s="130">
        <v>800.21899999999891</v>
      </c>
      <c r="C347" s="160">
        <v>32.424936404484377</v>
      </c>
      <c r="D347">
        <v>800.21899999999891</v>
      </c>
      <c r="E347" s="160">
        <v>-2210.7581510115701</v>
      </c>
      <c r="F347">
        <v>800.21899999999891</v>
      </c>
      <c r="G347" s="160">
        <v>29.096178988429983</v>
      </c>
      <c r="I347" s="160"/>
      <c r="K347" s="160"/>
      <c r="L347">
        <v>799.96899999999891</v>
      </c>
      <c r="M347" s="160">
        <v>176.92329750611827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>
      <c r="B348" s="130">
        <v>800.71899999999891</v>
      </c>
      <c r="C348" s="160">
        <v>32.45228513338138</v>
      </c>
      <c r="D348">
        <v>800.71899999999891</v>
      </c>
      <c r="E348" s="160">
        <v>-2211.257430835909</v>
      </c>
      <c r="F348">
        <v>800.71899999999891</v>
      </c>
      <c r="G348" s="160">
        <v>28.596899164091155</v>
      </c>
      <c r="I348" s="160"/>
      <c r="K348" s="160"/>
      <c r="L348">
        <v>800.46899999999891</v>
      </c>
      <c r="M348" s="160">
        <v>176.86467932692307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>
      <c r="B349" s="130">
        <v>801.21899999999891</v>
      </c>
      <c r="C349" s="160">
        <v>32.480161226249159</v>
      </c>
      <c r="D349">
        <v>801.21899999999891</v>
      </c>
      <c r="E349" s="160">
        <v>-2211.7566809770142</v>
      </c>
      <c r="F349">
        <v>801.21899999999891</v>
      </c>
      <c r="G349" s="160">
        <v>28.097649022985934</v>
      </c>
      <c r="I349" s="160"/>
      <c r="K349" s="160"/>
      <c r="L349">
        <v>800.96899999999891</v>
      </c>
      <c r="M349" s="160">
        <v>176.80415563589625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>
      <c r="B350" s="130">
        <v>801.71899999999891</v>
      </c>
      <c r="C350" s="160">
        <v>32.508581599103621</v>
      </c>
      <c r="D350">
        <v>801.71899999999891</v>
      </c>
      <c r="E350" s="160">
        <v>-2212.2558999133189</v>
      </c>
      <c r="F350">
        <v>801.71899999999891</v>
      </c>
      <c r="G350" s="160">
        <v>27.598430086681219</v>
      </c>
      <c r="I350" s="160"/>
      <c r="K350" s="160"/>
      <c r="L350">
        <v>801.46899999999891</v>
      </c>
      <c r="M350" s="160">
        <v>176.74168678655187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>
      <c r="B351" s="130">
        <v>802.21899999999891</v>
      </c>
      <c r="C351" s="160">
        <v>32.537563457071577</v>
      </c>
      <c r="D351">
        <v>802.21899999999891</v>
      </c>
      <c r="E351" s="160">
        <v>-2212.755086050855</v>
      </c>
      <c r="F351">
        <v>802.21899999999891</v>
      </c>
      <c r="G351" s="160">
        <v>27.099243949145148</v>
      </c>
      <c r="I351" s="160"/>
      <c r="K351" s="160"/>
      <c r="L351">
        <v>801.96899999999891</v>
      </c>
      <c r="M351" s="160">
        <v>176.6772391560842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>
      <c r="B352" s="130">
        <v>802.71899999999891</v>
      </c>
      <c r="C352" s="160">
        <v>32.567124229871993</v>
      </c>
      <c r="D352">
        <v>802.71899999999891</v>
      </c>
      <c r="E352" s="160">
        <v>-2213.254237723982</v>
      </c>
      <c r="F352">
        <v>802.71899999999891</v>
      </c>
      <c r="G352" s="160">
        <v>26.600092276018131</v>
      </c>
      <c r="I352" s="160"/>
      <c r="K352" s="160"/>
      <c r="L352">
        <v>802.46899999999891</v>
      </c>
      <c r="M352" s="160">
        <v>176.61078649270209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>
      <c r="B353" s="130">
        <v>803.21899999999891</v>
      </c>
      <c r="C353" s="160">
        <v>32.597281494103463</v>
      </c>
      <c r="D353">
        <v>803.21899999999891</v>
      </c>
      <c r="E353" s="160">
        <v>-2213.7533531971899</v>
      </c>
      <c r="F353">
        <v>803.21899999999891</v>
      </c>
      <c r="G353" s="160">
        <v>26.100976802810237</v>
      </c>
      <c r="I353" s="160"/>
      <c r="K353" s="160"/>
      <c r="L353">
        <v>802.96899999999891</v>
      </c>
      <c r="M353" s="160">
        <v>176.54231143056367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>
      <c r="B354" s="130">
        <v>803.71899999999891</v>
      </c>
      <c r="C354" s="160">
        <v>32.628052880775705</v>
      </c>
      <c r="D354">
        <v>803.71899999999891</v>
      </c>
      <c r="E354" s="160">
        <v>-2214.252430668218</v>
      </c>
      <c r="F354">
        <v>803.71899999999891</v>
      </c>
      <c r="G354" s="160">
        <v>25.601899331782079</v>
      </c>
      <c r="I354" s="160"/>
      <c r="K354" s="160"/>
      <c r="L354">
        <v>803.46899999999891</v>
      </c>
      <c r="M354" s="160">
        <v>176.47180718512647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>
      <c r="B355" s="130">
        <v>804.21899999999891</v>
      </c>
      <c r="C355" s="160">
        <v>32.65945596641474</v>
      </c>
      <c r="D355">
        <v>804.21899999999891</v>
      </c>
      <c r="E355" s="160">
        <v>-2214.7514682727337</v>
      </c>
      <c r="F355">
        <v>804.21899999999891</v>
      </c>
      <c r="G355" s="160">
        <v>25.102861727266372</v>
      </c>
      <c r="I355" s="160"/>
      <c r="K355" s="160"/>
      <c r="L355">
        <v>803.96899999999891</v>
      </c>
      <c r="M355" s="160">
        <v>176.39927944137318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>
      <c r="B356" s="130">
        <v>804.41899999999896</v>
      </c>
      <c r="C356" s="160">
        <v>32.67219894928003</v>
      </c>
      <c r="D356">
        <v>804.41899999999896</v>
      </c>
      <c r="E356" s="160">
        <v>-2214.9510716498135</v>
      </c>
      <c r="F356">
        <v>804.41899999999896</v>
      </c>
      <c r="G356" s="160">
        <v>24.903258350186661</v>
      </c>
      <c r="I356" s="160"/>
      <c r="K356" s="160"/>
      <c r="L356">
        <v>804.31899999999894</v>
      </c>
      <c r="M356" s="160">
        <v>176.34710774559241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>
      <c r="B357" s="130">
        <v>804.61899999999901</v>
      </c>
      <c r="C357" s="160">
        <v>32.685046888603765</v>
      </c>
      <c r="D357">
        <v>804.61899999999901</v>
      </c>
      <c r="E357" s="160">
        <v>-2215.1506682159165</v>
      </c>
      <c r="F357">
        <v>804.61899999999901</v>
      </c>
      <c r="G357" s="160">
        <v>24.703661784083579</v>
      </c>
      <c r="I357" s="160"/>
      <c r="K357" s="160"/>
      <c r="L357">
        <v>804.51899999999898</v>
      </c>
      <c r="M357" s="160">
        <v>176.31697815999257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>
      <c r="B358" s="130">
        <v>804.81899999999905</v>
      </c>
      <c r="C358" s="160">
        <v>32.698000875737137</v>
      </c>
      <c r="D358">
        <v>804.81899999999905</v>
      </c>
      <c r="E358" s="160">
        <v>-2215.3502578447933</v>
      </c>
      <c r="F358">
        <v>804.81899999999905</v>
      </c>
      <c r="G358" s="160">
        <v>24.504072155206813</v>
      </c>
      <c r="I358" s="160"/>
      <c r="K358" s="160"/>
      <c r="L358">
        <v>804.71899999999903</v>
      </c>
      <c r="M358" s="160">
        <v>176.28653423784587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>
      <c r="B359" s="130">
        <v>805.0189999999991</v>
      </c>
      <c r="C359" s="160">
        <v>32.711061990203788</v>
      </c>
      <c r="D359">
        <v>805.0189999999991</v>
      </c>
      <c r="E359" s="160">
        <v>-2215.5498404092132</v>
      </c>
      <c r="F359">
        <v>805.0189999999991</v>
      </c>
      <c r="G359" s="160">
        <v>24.304489590786943</v>
      </c>
      <c r="I359" s="160"/>
      <c r="K359" s="160"/>
      <c r="L359">
        <v>804.91899999999907</v>
      </c>
      <c r="M359" s="160">
        <v>176.2557793331728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>
      <c r="B360" s="130">
        <v>805.21899999999914</v>
      </c>
      <c r="C360" s="160">
        <v>32.72423129785026</v>
      </c>
      <c r="D360">
        <v>805.21899999999914</v>
      </c>
      <c r="E360" s="160">
        <v>-2215.749415781097</v>
      </c>
      <c r="F360">
        <v>805.21899999999914</v>
      </c>
      <c r="G360" s="160">
        <v>24.104914218903104</v>
      </c>
      <c r="I360" s="160"/>
      <c r="K360" s="160"/>
      <c r="L360">
        <v>805.11899999999912</v>
      </c>
      <c r="M360" s="160">
        <v>176.22471733064202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>
      <c r="B361" s="130">
        <v>805.41899999999919</v>
      </c>
      <c r="C361" s="160">
        <v>32.737509848895812</v>
      </c>
      <c r="D361">
        <v>805.41899999999919</v>
      </c>
      <c r="E361" s="160">
        <v>-2215.9489838316586</v>
      </c>
      <c r="F361">
        <v>805.41899999999919</v>
      </c>
      <c r="G361" s="160">
        <v>23.905346168341566</v>
      </c>
      <c r="I361" s="160"/>
      <c r="K361" s="160"/>
      <c r="L361">
        <v>805.31899999999916</v>
      </c>
      <c r="M361" s="160">
        <v>176.19335267450506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>
      <c r="B362" s="130">
        <v>805.61899999999923</v>
      </c>
      <c r="C362" s="160">
        <v>32.750898675878254</v>
      </c>
      <c r="D362">
        <v>805.61899999999923</v>
      </c>
      <c r="E362" s="160">
        <v>-2216.1485444315576</v>
      </c>
      <c r="F362">
        <v>805.61899999999923</v>
      </c>
      <c r="G362" s="160">
        <v>23.705785568442479</v>
      </c>
      <c r="I362" s="160"/>
      <c r="K362" s="160"/>
      <c r="L362">
        <v>805.51899999999921</v>
      </c>
      <c r="M362" s="160">
        <v>176.16169039854535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>
      <c r="B363" s="130">
        <v>805.81899999999928</v>
      </c>
      <c r="C363" s="160">
        <v>32.764398791492312</v>
      </c>
      <c r="D363">
        <v>805.81899999999928</v>
      </c>
      <c r="E363" s="160">
        <v>-2216.3480974510712</v>
      </c>
      <c r="F363">
        <v>805.81899999999928</v>
      </c>
      <c r="G363" s="160">
        <v>23.506232548928892</v>
      </c>
      <c r="I363" s="160"/>
      <c r="K363" s="160"/>
      <c r="L363">
        <v>805.71899999999926</v>
      </c>
      <c r="M363" s="160">
        <v>176.12973615713491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>
      <c r="B364" s="130">
        <v>806.01899999999932</v>
      </c>
      <c r="C364" s="160">
        <v>32.778011186316981</v>
      </c>
      <c r="D364">
        <v>806.01899999999932</v>
      </c>
      <c r="E364" s="160">
        <v>-2216.5476427602775</v>
      </c>
      <c r="F364">
        <v>806.01899999999932</v>
      </c>
      <c r="G364" s="160">
        <v>23.306687239722578</v>
      </c>
      <c r="I364" s="160"/>
      <c r="K364" s="160"/>
      <c r="L364">
        <v>805.9189999999993</v>
      </c>
      <c r="M364" s="160">
        <v>176.09749625722259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>
      <c r="B365" s="130">
        <v>806.21899999999937</v>
      </c>
      <c r="C365" s="160">
        <v>32.79173682642822</v>
      </c>
      <c r="D365">
        <v>806.21899999999937</v>
      </c>
      <c r="E365" s="160">
        <v>-2216.7471802292494</v>
      </c>
      <c r="F365">
        <v>806.21899999999937</v>
      </c>
      <c r="G365" s="160">
        <v>23.107149770750766</v>
      </c>
      <c r="I365" s="160"/>
      <c r="K365" s="160"/>
      <c r="L365">
        <v>806.11899999999935</v>
      </c>
      <c r="M365" s="160">
        <v>176.06497769129027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>
      <c r="B366" s="130">
        <v>806.41899999999941</v>
      </c>
      <c r="C366" s="160">
        <v>32.80557665089367</v>
      </c>
      <c r="D366">
        <v>806.41899999999941</v>
      </c>
      <c r="E366" s="160">
        <v>-2216.9467097282759</v>
      </c>
      <c r="F366">
        <v>806.41899999999941</v>
      </c>
      <c r="G366" s="160">
        <v>22.907620271724227</v>
      </c>
      <c r="I366" s="160"/>
      <c r="K366" s="160"/>
      <c r="L366">
        <v>806.31899999999939</v>
      </c>
      <c r="M366" s="160">
        <v>176.03218817163884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>
      <c r="B367" s="130">
        <v>806.61899999999946</v>
      </c>
      <c r="C367" s="160">
        <v>32.819531569145475</v>
      </c>
      <c r="D367">
        <v>806.61899999999946</v>
      </c>
      <c r="E367" s="160">
        <v>-2217.1462311280907</v>
      </c>
      <c r="F367">
        <v>806.61899999999946</v>
      </c>
      <c r="G367" s="160">
        <v>22.708098871909442</v>
      </c>
      <c r="I367" s="160"/>
      <c r="K367" s="160"/>
      <c r="L367">
        <v>806.51899999999944</v>
      </c>
      <c r="M367" s="160">
        <v>175.99913616535687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>
      <c r="B368" s="130">
        <v>806.81899999999951</v>
      </c>
      <c r="C368" s="160">
        <v>32.833602458227908</v>
      </c>
      <c r="D368">
        <v>806.81899999999951</v>
      </c>
      <c r="E368" s="160">
        <v>-2217.3457443001203</v>
      </c>
      <c r="F368">
        <v>806.81899999999951</v>
      </c>
      <c r="G368" s="160">
        <v>22.508585699879859</v>
      </c>
      <c r="I368" s="160"/>
      <c r="K368" s="160"/>
      <c r="L368">
        <v>806.71899999999948</v>
      </c>
      <c r="M368" s="160">
        <v>175.96583093053215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>
      <c r="B369" s="130">
        <v>807.01899999999955</v>
      </c>
      <c r="C369" s="160">
        <v>32.847790159915945</v>
      </c>
      <c r="D369">
        <v>807.01899999999955</v>
      </c>
      <c r="E369" s="160">
        <v>-2217.5452491167566</v>
      </c>
      <c r="F369">
        <v>807.01899999999955</v>
      </c>
      <c r="G369" s="160">
        <v>22.309080883243496</v>
      </c>
      <c r="I369" s="160"/>
      <c r="K369" s="160"/>
      <c r="L369">
        <v>806.91899999999953</v>
      </c>
      <c r="M369" s="160">
        <v>175.93228255362283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>
      <c r="B370" s="130">
        <v>807.2189999999996</v>
      </c>
      <c r="C370" s="160">
        <v>32.862095477701416</v>
      </c>
      <c r="D370">
        <v>807.2189999999996</v>
      </c>
      <c r="E370" s="160">
        <v>-2217.7447454516405</v>
      </c>
      <c r="F370">
        <v>807.2189999999996</v>
      </c>
      <c r="G370" s="160">
        <v>22.109584548359635</v>
      </c>
      <c r="I370" s="160"/>
      <c r="K370" s="160"/>
      <c r="L370">
        <v>807.11899999999957</v>
      </c>
      <c r="M370" s="160">
        <v>175.89850198754681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>
      <c r="B371" s="130">
        <v>807.41899999999964</v>
      </c>
      <c r="C371" s="160">
        <v>32.876519173643025</v>
      </c>
      <c r="D371">
        <v>807.41899999999964</v>
      </c>
      <c r="E371" s="160">
        <v>-2217.9442331799719</v>
      </c>
      <c r="F371">
        <v>807.41899999999964</v>
      </c>
      <c r="G371" s="160">
        <v>21.91009682002823</v>
      </c>
      <c r="I371" s="160"/>
      <c r="K371" s="160"/>
      <c r="L371">
        <v>807.31899999999962</v>
      </c>
      <c r="M371" s="160">
        <v>175.86450109116194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>
      <c r="B372" s="130">
        <v>807.61899999999969</v>
      </c>
      <c r="C372" s="160">
        <v>32.891061965076638</v>
      </c>
      <c r="D372">
        <v>807.61899999999969</v>
      </c>
      <c r="E372" s="160">
        <v>-2218.1437121788381</v>
      </c>
      <c r="F372">
        <v>807.61899999999969</v>
      </c>
      <c r="G372" s="160">
        <v>21.710617821162032</v>
      </c>
      <c r="I372" s="160"/>
      <c r="K372" s="160"/>
      <c r="L372">
        <v>807.51899999999966</v>
      </c>
      <c r="M372" s="160">
        <v>175.83029266958215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>
      <c r="B373" s="130">
        <v>807.81899999999973</v>
      </c>
      <c r="C373" s="160">
        <v>32.905724978860007</v>
      </c>
      <c r="D373">
        <v>807.81899999999973</v>
      </c>
      <c r="E373" s="160">
        <v>-2218.3431822939233</v>
      </c>
      <c r="F373">
        <v>807.81899999999973</v>
      </c>
      <c r="G373" s="160">
        <v>21.511147706076827</v>
      </c>
      <c r="I373" s="160"/>
      <c r="K373" s="160"/>
      <c r="L373">
        <v>807.71899999999971</v>
      </c>
      <c r="M373" s="160">
        <v>175.79575905237513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>
      <c r="B374" s="130">
        <v>808.01899999999978</v>
      </c>
      <c r="C374" s="160">
        <v>32.920512155348121</v>
      </c>
      <c r="D374">
        <v>808.01899999999978</v>
      </c>
      <c r="E374" s="160">
        <v>-2218.5426431602896</v>
      </c>
      <c r="F374">
        <v>808.01899999999978</v>
      </c>
      <c r="G374" s="160">
        <v>21.311686839710546</v>
      </c>
      <c r="I374" s="160"/>
      <c r="K374" s="160"/>
      <c r="L374">
        <v>807.91899999999976</v>
      </c>
      <c r="M374" s="160">
        <v>175.76009199771303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>
      <c r="B375" s="130">
        <v>808.21899999999982</v>
      </c>
      <c r="C375" s="160">
        <v>32.93542713462346</v>
      </c>
      <c r="D375">
        <v>808.21899999999982</v>
      </c>
      <c r="E375" s="160">
        <v>-2218.7420944280489</v>
      </c>
      <c r="F375">
        <v>808.21899999999982</v>
      </c>
      <c r="G375" s="160">
        <v>21.11223557195126</v>
      </c>
      <c r="I375" s="160"/>
      <c r="K375" s="160"/>
      <c r="L375">
        <v>808.1189999999998</v>
      </c>
      <c r="M375" s="160">
        <v>175.7233775925888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>
      <c r="B376" s="130">
        <v>808.41899999999987</v>
      </c>
      <c r="C376" s="160">
        <v>32.950473271543018</v>
      </c>
      <c r="D376">
        <v>808.41899999999987</v>
      </c>
      <c r="E376" s="160">
        <v>-2218.9415357617781</v>
      </c>
      <c r="F376">
        <v>808.41899999999987</v>
      </c>
      <c r="G376" s="160">
        <v>20.912794238221977</v>
      </c>
      <c r="I376" s="160"/>
      <c r="K376" s="160"/>
      <c r="L376">
        <v>808.31899999999985</v>
      </c>
      <c r="M376" s="160">
        <v>175.6856976105669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>
      <c r="B377" s="130">
        <v>808.61899999999991</v>
      </c>
      <c r="C377" s="160">
        <v>32.96565364560945</v>
      </c>
      <c r="D377">
        <v>808.61899999999991</v>
      </c>
      <c r="E377" s="160">
        <v>-2219.1409668403489</v>
      </c>
      <c r="F377">
        <v>808.61899999999991</v>
      </c>
      <c r="G377" s="160">
        <v>20.71336315965118</v>
      </c>
      <c r="I377" s="160"/>
      <c r="K377" s="160"/>
      <c r="L377">
        <v>808.51899999999989</v>
      </c>
      <c r="M377" s="160">
        <v>175.6471309993758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>
      <c r="B378" s="130">
        <v>808.81899999999996</v>
      </c>
      <c r="C378" s="160">
        <v>32.980971065947038</v>
      </c>
      <c r="D378">
        <v>808.81899999999996</v>
      </c>
      <c r="E378" s="160">
        <v>-2219.3403873571301</v>
      </c>
      <c r="F378">
        <v>808.81899999999996</v>
      </c>
      <c r="G378" s="160">
        <v>20.513942642870006</v>
      </c>
      <c r="I378" s="160"/>
      <c r="K378" s="160"/>
      <c r="L378">
        <v>808.71899999999994</v>
      </c>
      <c r="M378" s="160">
        <v>175.6077552874815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>
      <c r="B379" s="130">
        <v>809.01900000000001</v>
      </c>
      <c r="C379" s="160">
        <v>32.99642807159367</v>
      </c>
      <c r="D379">
        <v>809.01900000000001</v>
      </c>
      <c r="E379" s="160">
        <v>-2219.5397970205877</v>
      </c>
      <c r="F379">
        <v>809.01900000000001</v>
      </c>
      <c r="G379" s="160">
        <v>20.314532979412434</v>
      </c>
      <c r="I379" s="160"/>
      <c r="K379" s="160"/>
      <c r="L379">
        <v>808.91899999999998</v>
      </c>
      <c r="M379" s="160">
        <v>175.56764793087837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>
      <c r="B380" s="130">
        <v>809.21900000000005</v>
      </c>
      <c r="C380" s="160">
        <v>33.012026927257168</v>
      </c>
      <c r="D380">
        <v>809.21900000000005</v>
      </c>
      <c r="E380" s="160">
        <v>-2219.7391955552666</v>
      </c>
      <c r="F380">
        <v>809.21900000000005</v>
      </c>
      <c r="G380" s="160">
        <v>20.115134444733485</v>
      </c>
      <c r="I380" s="160"/>
      <c r="K380" s="160"/>
      <c r="L380">
        <v>809.11900000000003</v>
      </c>
      <c r="M380" s="160">
        <v>175.52688761722615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>
      <c r="B381" s="130">
        <v>809.4190000000001</v>
      </c>
      <c r="C381" s="160">
        <v>33.027769614627928</v>
      </c>
      <c r="D381">
        <v>809.4190000000001</v>
      </c>
      <c r="E381" s="160">
        <v>-2219.9385827031797</v>
      </c>
      <c r="F381">
        <v>809.4190000000001</v>
      </c>
      <c r="G381" s="160">
        <v>19.915747296820427</v>
      </c>
      <c r="I381" s="160"/>
      <c r="K381" s="160"/>
      <c r="L381">
        <v>809.31900000000007</v>
      </c>
      <c r="M381" s="160">
        <v>175.48555554432554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>
      <c r="B382" s="130">
        <v>809.61900000000014</v>
      </c>
      <c r="C382" s="160">
        <v>33.043657819286949</v>
      </c>
      <c r="D382">
        <v>809.61900000000014</v>
      </c>
      <c r="E382" s="160">
        <v>-2220.137958225605</v>
      </c>
      <c r="F382">
        <v>809.61900000000014</v>
      </c>
      <c r="G382" s="160">
        <v>19.716371774395157</v>
      </c>
      <c r="I382" s="160"/>
      <c r="K382" s="160"/>
      <c r="L382">
        <v>809.51900000000012</v>
      </c>
      <c r="M382" s="160">
        <v>175.44373668752982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>
      <c r="B383" s="130">
        <v>809.81900000000019</v>
      </c>
      <c r="C383" s="160">
        <v>33.059692913200514</v>
      </c>
      <c r="D383">
        <v>809.81900000000019</v>
      </c>
      <c r="E383" s="160">
        <v>-2220.3373219053101</v>
      </c>
      <c r="F383">
        <v>809.81900000000019</v>
      </c>
      <c r="G383" s="160">
        <v>19.517008094690027</v>
      </c>
      <c r="I383" s="160"/>
      <c r="K383" s="160"/>
      <c r="L383">
        <v>809.71900000000016</v>
      </c>
      <c r="M383" s="160">
        <v>175.4015210701113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>
      <c r="B384" s="130">
        <v>810.01900000000023</v>
      </c>
      <c r="C384" s="160">
        <v>33.07587593274765</v>
      </c>
      <c r="D384">
        <v>810.01900000000023</v>
      </c>
      <c r="E384" s="160">
        <v>-2220.5366735492357</v>
      </c>
      <c r="F384">
        <v>810.01900000000023</v>
      </c>
      <c r="G384" s="160">
        <v>19.317656450764389</v>
      </c>
      <c r="I384" s="160"/>
      <c r="K384" s="160"/>
      <c r="L384">
        <v>809.91900000000021</v>
      </c>
      <c r="M384" s="160">
        <v>175.35900504983269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>
      <c r="B385" s="130">
        <v>810.21900000000028</v>
      </c>
      <c r="C385" s="160">
        <v>33.092207552184782</v>
      </c>
      <c r="D385">
        <v>810.21900000000028</v>
      </c>
      <c r="E385" s="160">
        <v>-2220.7360129916506</v>
      </c>
      <c r="F385">
        <v>810.21900000000028</v>
      </c>
      <c r="G385" s="160">
        <v>19.11831700834955</v>
      </c>
      <c r="I385" s="160"/>
      <c r="K385" s="160"/>
      <c r="L385">
        <v>810.11900000000026</v>
      </c>
      <c r="M385" s="160">
        <v>175.31629263317095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>
      <c r="B386" s="130">
        <v>810.41900000000032</v>
      </c>
      <c r="C386" s="160">
        <v>33.108688052411985</v>
      </c>
      <c r="D386">
        <v>810.41900000000032</v>
      </c>
      <c r="E386" s="160">
        <v>-2220.9353400978039</v>
      </c>
      <c r="F386">
        <v>810.41900000000032</v>
      </c>
      <c r="G386" s="160">
        <v>18.918989902196245</v>
      </c>
      <c r="I386" s="160"/>
      <c r="K386" s="160"/>
      <c r="L386">
        <v>810.3190000000003</v>
      </c>
      <c r="M386" s="160">
        <v>175.2734968289449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>
      <c r="B387" s="130">
        <v>810.61900000000037</v>
      </c>
      <c r="C387" s="160">
        <v>33.125317284868231</v>
      </c>
      <c r="D387">
        <v>810.61900000000037</v>
      </c>
      <c r="E387" s="160">
        <v>-2221.134654768126</v>
      </c>
      <c r="F387">
        <v>810.61900000000037</v>
      </c>
      <c r="G387" s="160">
        <v>18.719675231874135</v>
      </c>
      <c r="I387" s="160"/>
      <c r="K387" s="160"/>
      <c r="L387">
        <v>810.51900000000035</v>
      </c>
      <c r="M387" s="160">
        <v>175.23074105248989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>
      <c r="B388" s="130">
        <v>810.81900000000041</v>
      </c>
      <c r="C388" s="160">
        <v>33.142094630346477</v>
      </c>
      <c r="D388">
        <v>810.81900000000041</v>
      </c>
      <c r="E388" s="160">
        <v>-2221.33395694298</v>
      </c>
      <c r="F388">
        <v>810.81900000000041</v>
      </c>
      <c r="G388" s="160">
        <v>18.520373057020151</v>
      </c>
      <c r="I388" s="160"/>
      <c r="K388" s="160"/>
      <c r="L388">
        <v>810.71900000000039</v>
      </c>
      <c r="M388" s="160">
        <v>175.18816058972351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>
      <c r="B389" s="130">
        <v>811.01900000000046</v>
      </c>
      <c r="C389" s="160">
        <v>33.15901895248544</v>
      </c>
      <c r="D389">
        <v>811.01900000000046</v>
      </c>
      <c r="E389" s="160">
        <v>-2221.5332466080163</v>
      </c>
      <c r="F389">
        <v>811.01900000000046</v>
      </c>
      <c r="G389" s="160">
        <v>18.321083391983848</v>
      </c>
      <c r="I389" s="160"/>
      <c r="K389" s="160"/>
      <c r="L389">
        <v>810.91900000000044</v>
      </c>
      <c r="M389" s="160">
        <v>175.14590413194634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>
      <c r="B390" s="130">
        <v>811.21900000000051</v>
      </c>
      <c r="C390" s="160">
        <v>33.176088545661571</v>
      </c>
      <c r="D390">
        <v>811.21900000000051</v>
      </c>
      <c r="E390" s="160">
        <v>-2221.7325238001617</v>
      </c>
      <c r="F390">
        <v>811.21900000000051</v>
      </c>
      <c r="G390" s="160">
        <v>18.121806199838375</v>
      </c>
      <c r="I390" s="160"/>
      <c r="K390" s="160"/>
      <c r="L390">
        <v>811.11900000000048</v>
      </c>
      <c r="M390" s="160">
        <v>175.10413539041875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>
      <c r="B391" s="130">
        <v>811.41900000000055</v>
      </c>
      <c r="C391" s="160">
        <v>33.193301076972233</v>
      </c>
      <c r="D391">
        <v>811.41900000000055</v>
      </c>
      <c r="E391" s="160">
        <v>-2221.931788614264</v>
      </c>
      <c r="F391">
        <v>811.41900000000055</v>
      </c>
      <c r="G391" s="160">
        <v>17.922541385736167</v>
      </c>
      <c r="I391" s="160"/>
      <c r="K391" s="160"/>
      <c r="L391">
        <v>811.31900000000053</v>
      </c>
      <c r="M391" s="160">
        <v>175.06303479973579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>
      <c r="B392" s="130">
        <v>811.6190000000006</v>
      </c>
      <c r="C392" s="160">
        <v>33.210653521970286</v>
      </c>
      <c r="D392">
        <v>811.6190000000006</v>
      </c>
      <c r="E392" s="160">
        <v>-2222.1310412104353</v>
      </c>
      <c r="F392">
        <v>811.6190000000006</v>
      </c>
      <c r="G392" s="160">
        <v>17.723288789564776</v>
      </c>
      <c r="I392" s="160"/>
      <c r="K392" s="160"/>
      <c r="L392">
        <v>811.51900000000057</v>
      </c>
      <c r="M392" s="160">
        <v>175.02280131933841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>
      <c r="B393" s="130">
        <v>811.81900000000064</v>
      </c>
      <c r="C393" s="160">
        <v>33.228142093779248</v>
      </c>
      <c r="D393">
        <v>811.81900000000064</v>
      </c>
      <c r="E393" s="160">
        <v>-2222.3302818221155</v>
      </c>
      <c r="F393">
        <v>811.81900000000064</v>
      </c>
      <c r="G393" s="160">
        <v>17.524048177884652</v>
      </c>
      <c r="I393" s="160"/>
      <c r="K393" s="160"/>
      <c r="L393">
        <v>811.71900000000062</v>
      </c>
      <c r="M393" s="160">
        <v>174.98365434137881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>
      <c r="B394" s="130">
        <v>812.01900000000069</v>
      </c>
      <c r="C394" s="160">
        <v>33.245762165189149</v>
      </c>
      <c r="D394">
        <v>812.01900000000069</v>
      </c>
      <c r="E394" s="160">
        <v>-2222.5295107648685</v>
      </c>
      <c r="F394">
        <v>812.01900000000069</v>
      </c>
      <c r="G394" s="160">
        <v>17.324819235131599</v>
      </c>
      <c r="I394" s="160"/>
      <c r="K394" s="160"/>
      <c r="L394">
        <v>811.91900000000066</v>
      </c>
      <c r="M394" s="160">
        <v>174.94583571315459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>
      <c r="B395" s="130">
        <v>812.21900000000073</v>
      </c>
      <c r="C395" s="160">
        <v>33.263508183303898</v>
      </c>
      <c r="D395">
        <v>812.21900000000073</v>
      </c>
      <c r="E395" s="160">
        <v>-2222.7287284459399</v>
      </c>
      <c r="F395">
        <v>812.21900000000073</v>
      </c>
      <c r="G395" s="160">
        <v>17.125601554060268</v>
      </c>
      <c r="I395" s="160"/>
      <c r="K395" s="160"/>
      <c r="L395">
        <v>812.11900000000071</v>
      </c>
      <c r="M395" s="160">
        <v>174.90961188261053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>
      <c r="B396" s="130">
        <v>812.41900000000078</v>
      </c>
      <c r="C396" s="160">
        <v>33.281373698516674</v>
      </c>
      <c r="D396">
        <v>812.41900000000078</v>
      </c>
      <c r="E396" s="160">
        <v>-2222.9279353635948</v>
      </c>
      <c r="F396">
        <v>812.41900000000078</v>
      </c>
      <c r="G396" s="160">
        <v>16.926394636405348</v>
      </c>
      <c r="I396" s="160"/>
      <c r="K396" s="160"/>
      <c r="L396">
        <v>812.31900000000076</v>
      </c>
      <c r="M396" s="160">
        <v>174.87524101709806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>
      <c r="B397" s="130">
        <v>812.61900000000082</v>
      </c>
      <c r="C397" s="160">
        <v>33.29935748940872</v>
      </c>
      <c r="D397">
        <v>812.61900000000082</v>
      </c>
      <c r="E397" s="160">
        <v>-2223.1271315558488</v>
      </c>
      <c r="F397">
        <v>812.61900000000082</v>
      </c>
      <c r="G397" s="160">
        <v>16.727198444151327</v>
      </c>
      <c r="I397" s="160"/>
      <c r="K397" s="160"/>
      <c r="L397">
        <v>812.5190000000008</v>
      </c>
      <c r="M397" s="160">
        <v>174.84121959701113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>
      <c r="B398" s="130">
        <v>812.81900000000087</v>
      </c>
      <c r="C398" s="160">
        <v>33.317458150602036</v>
      </c>
      <c r="D398">
        <v>812.81900000000087</v>
      </c>
      <c r="E398" s="160">
        <v>-2223.3263170796163</v>
      </c>
      <c r="F398">
        <v>812.81900000000087</v>
      </c>
      <c r="G398" s="160">
        <v>16.528012920383844</v>
      </c>
      <c r="I398" s="160"/>
      <c r="K398" s="160"/>
      <c r="L398">
        <v>812.71900000000085</v>
      </c>
      <c r="M398" s="160">
        <v>174.80760058273884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>
      <c r="B399" s="130">
        <v>813.01900000000091</v>
      </c>
      <c r="C399" s="160">
        <v>33.335674085579335</v>
      </c>
      <c r="D399">
        <v>813.01900000000091</v>
      </c>
      <c r="E399" s="160">
        <v>-2223.5254920117732</v>
      </c>
      <c r="F399">
        <v>813.01900000000091</v>
      </c>
      <c r="G399" s="160">
        <v>16.328837988226951</v>
      </c>
      <c r="I399" s="160"/>
      <c r="K399" s="160"/>
      <c r="L399">
        <v>812.91900000000089</v>
      </c>
      <c r="M399" s="160">
        <v>174.77443901150707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>
      <c r="B400" s="130">
        <v>813.21900000000096</v>
      </c>
      <c r="C400" s="160">
        <v>33.354003499289981</v>
      </c>
      <c r="D400">
        <v>813.21900000000096</v>
      </c>
      <c r="E400" s="160">
        <v>-2223.7246564502548</v>
      </c>
      <c r="F400">
        <v>813.21900000000096</v>
      </c>
      <c r="G400" s="160">
        <v>16.129673549745348</v>
      </c>
      <c r="I400" s="160"/>
      <c r="K400" s="160"/>
      <c r="L400">
        <v>813.11900000000094</v>
      </c>
      <c r="M400" s="160">
        <v>174.7417920595108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>
      <c r="B401" s="130">
        <v>813.41900000000101</v>
      </c>
      <c r="C401" s="160">
        <v>33.372444390547557</v>
      </c>
      <c r="D401">
        <v>813.41900000000101</v>
      </c>
      <c r="E401" s="160">
        <v>-2223.9238105151653</v>
      </c>
      <c r="F401">
        <v>813.41900000000101</v>
      </c>
      <c r="G401" s="160">
        <v>15.930519484834804</v>
      </c>
      <c r="I401" s="160"/>
      <c r="K401" s="160"/>
      <c r="L401">
        <v>813.31900000000098</v>
      </c>
      <c r="M401" s="160">
        <v>174.70971910182573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>
      <c r="B402" s="130">
        <v>813.61900000000105</v>
      </c>
      <c r="C402" s="160">
        <v>33.390994544223773</v>
      </c>
      <c r="D402">
        <v>813.61900000000105</v>
      </c>
      <c r="E402" s="160">
        <v>-2224.122954349918</v>
      </c>
      <c r="F402">
        <v>813.61900000000105</v>
      </c>
      <c r="G402" s="160">
        <v>15.7313756500821</v>
      </c>
      <c r="I402" s="160"/>
      <c r="K402" s="160"/>
      <c r="L402">
        <v>813.51900000000103</v>
      </c>
      <c r="M402" s="160">
        <v>174.67828177145654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>
      <c r="B403" s="130">
        <v>813.8190000000011</v>
      </c>
      <c r="C403" s="160">
        <v>33.409651523243696</v>
      </c>
      <c r="D403">
        <v>813.8190000000011</v>
      </c>
      <c r="E403" s="160">
        <v>-2224.3220881223879</v>
      </c>
      <c r="F403">
        <v>813.8190000000011</v>
      </c>
      <c r="G403" s="160">
        <v>15.53224187761225</v>
      </c>
      <c r="I403" s="160"/>
      <c r="K403" s="160"/>
      <c r="L403">
        <v>813.71900000000107</v>
      </c>
      <c r="M403" s="160">
        <v>174.64754401648995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>
      <c r="B404" s="130">
        <v>814.01900000000114</v>
      </c>
      <c r="C404" s="160">
        <v>33.428412660388325</v>
      </c>
      <c r="D404">
        <v>814.01900000000114</v>
      </c>
      <c r="E404" s="160">
        <v>-2224.5212120260826</v>
      </c>
      <c r="F404">
        <v>814.01900000000114</v>
      </c>
      <c r="G404" s="160">
        <v>15.333117973917524</v>
      </c>
      <c r="I404" s="160"/>
      <c r="K404" s="160"/>
      <c r="L404">
        <v>813.91900000000112</v>
      </c>
      <c r="M404" s="160">
        <v>174.61757215566331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>
      <c r="B405" s="130">
        <v>814.21900000000119</v>
      </c>
      <c r="C405" s="160">
        <v>33.447275049910239</v>
      </c>
      <c r="D405">
        <v>814.21900000000119</v>
      </c>
      <c r="E405" s="160">
        <v>-2224.72032628132</v>
      </c>
      <c r="F405">
        <v>814.21900000000119</v>
      </c>
      <c r="G405" s="160">
        <v>15.134003718680106</v>
      </c>
      <c r="I405" s="160"/>
      <c r="K405" s="160"/>
      <c r="L405">
        <v>814.11900000000117</v>
      </c>
      <c r="M405" s="160">
        <v>174.5884349319719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>
      <c r="B406" s="130">
        <v>814.41900000000123</v>
      </c>
      <c r="C406" s="160">
        <v>33.466235538969336</v>
      </c>
      <c r="D406">
        <v>814.41900000000123</v>
      </c>
      <c r="E406" s="160">
        <v>-2224.9194311364131</v>
      </c>
      <c r="F406">
        <v>814.41900000000123</v>
      </c>
      <c r="G406" s="160">
        <v>14.934898863587023</v>
      </c>
      <c r="I406" s="160"/>
      <c r="K406" s="160"/>
      <c r="L406">
        <v>814.31900000000121</v>
      </c>
      <c r="M406" s="160">
        <v>174.56020356429113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>
      <c r="B407" s="130">
        <v>814.61900000000128</v>
      </c>
      <c r="C407" s="160">
        <v>33.485290718895719</v>
      </c>
      <c r="D407">
        <v>814.61900000000128</v>
      </c>
      <c r="E407" s="160">
        <v>-2225.118526868855</v>
      </c>
      <c r="F407">
        <v>814.61900000000128</v>
      </c>
      <c r="G407" s="160">
        <v>14.735803131145076</v>
      </c>
      <c r="I407" s="160"/>
      <c r="K407" s="160"/>
      <c r="L407">
        <v>814.51900000000126</v>
      </c>
      <c r="M407" s="160">
        <v>174.53295179676454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>
      <c r="B408" s="130">
        <v>814.81900000000132</v>
      </c>
      <c r="C408" s="160">
        <v>33.50443691628778</v>
      </c>
      <c r="D408">
        <v>814.81900000000132</v>
      </c>
      <c r="E408" s="160">
        <v>-2225.3176137865012</v>
      </c>
      <c r="F408">
        <v>814.81900000000132</v>
      </c>
      <c r="G408" s="160">
        <v>14.536716213498948</v>
      </c>
      <c r="I408" s="160"/>
      <c r="K408" s="160"/>
      <c r="L408">
        <v>814.7190000000013</v>
      </c>
      <c r="M408" s="160">
        <v>174.50675594578493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>
      <c r="B409" s="130">
        <v>815.01900000000137</v>
      </c>
      <c r="C409" s="160">
        <v>33.523670183953811</v>
      </c>
      <c r="D409">
        <v>815.01900000000137</v>
      </c>
      <c r="E409" s="160">
        <v>-2225.5166922287372</v>
      </c>
      <c r="F409">
        <v>815.01900000000137</v>
      </c>
      <c r="G409" s="160">
        <v>14.337637771262962</v>
      </c>
      <c r="I409" s="160"/>
      <c r="K409" s="160"/>
      <c r="L409">
        <v>814.91900000000135</v>
      </c>
      <c r="M409" s="160">
        <v>174.48169494429439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>
      <c r="B410" s="130">
        <v>815.21900000000142</v>
      </c>
      <c r="C410" s="160">
        <v>33.542986291706498</v>
      </c>
      <c r="D410">
        <v>815.21900000000142</v>
      </c>
      <c r="E410" s="160">
        <v>-2225.7157625676286</v>
      </c>
      <c r="F410">
        <v>815.21900000000142</v>
      </c>
      <c r="G410" s="160">
        <v>14.138567432371474</v>
      </c>
      <c r="I410" s="160"/>
      <c r="K410" s="160"/>
      <c r="L410">
        <v>815.11900000000139</v>
      </c>
      <c r="M410" s="160">
        <v>174.45785038325189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>
      <c r="B411" s="130">
        <v>815.41900000000146</v>
      </c>
      <c r="C411" s="160">
        <v>33.562380717020034</v>
      </c>
      <c r="D411">
        <v>815.41900000000146</v>
      </c>
      <c r="E411" s="160">
        <v>-2225.9148252090531</v>
      </c>
      <c r="F411">
        <v>815.41900000000146</v>
      </c>
      <c r="G411" s="160">
        <v>13.939504790947012</v>
      </c>
      <c r="I411" s="160"/>
      <c r="K411" s="160"/>
      <c r="L411">
        <v>815.31900000000144</v>
      </c>
      <c r="M411" s="160">
        <v>174.43530655032262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>
      <c r="B412" s="130">
        <v>815.61900000000151</v>
      </c>
      <c r="C412" s="160">
        <v>33.581848635560547</v>
      </c>
      <c r="D412">
        <v>815.61900000000151</v>
      </c>
      <c r="E412" s="160">
        <v>-2226.1138805937867</v>
      </c>
      <c r="F412">
        <v>815.61900000000151</v>
      </c>
      <c r="G412" s="160">
        <v>13.740449406213429</v>
      </c>
      <c r="I412" s="160"/>
      <c r="K412" s="160"/>
      <c r="L412">
        <v>815.51900000000148</v>
      </c>
      <c r="M412" s="160">
        <v>174.4141504647375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>
      <c r="B413" s="130">
        <v>815.81900000000155</v>
      </c>
      <c r="C413" s="160">
        <v>33.601384911601166</v>
      </c>
      <c r="D413">
        <v>815.81900000000155</v>
      </c>
      <c r="E413" s="160">
        <v>-2226.312929198562</v>
      </c>
      <c r="F413">
        <v>815.81900000000155</v>
      </c>
      <c r="G413" s="160">
        <v>13.541400801438158</v>
      </c>
      <c r="I413" s="160"/>
      <c r="K413" s="160"/>
      <c r="L413">
        <v>815.71900000000153</v>
      </c>
      <c r="M413" s="160">
        <v>174.39447190933325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>
      <c r="B414" s="130">
        <v>816.0190000000016</v>
      </c>
      <c r="C414" s="160">
        <v>33.620984088333898</v>
      </c>
      <c r="D414">
        <v>816.0190000000016</v>
      </c>
      <c r="E414" s="160">
        <v>-2226.5119715370679</v>
      </c>
      <c r="F414">
        <v>816.0190000000016</v>
      </c>
      <c r="G414" s="160">
        <v>13.342358462932225</v>
      </c>
      <c r="I414" s="160"/>
      <c r="K414" s="160"/>
      <c r="L414">
        <v>815.91900000000157</v>
      </c>
      <c r="M414" s="160">
        <v>174.37636345829378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>
      <c r="B415" s="130">
        <v>816.21900000000164</v>
      </c>
      <c r="C415" s="160">
        <v>33.640640378091334</v>
      </c>
      <c r="D415">
        <v>816.21900000000164</v>
      </c>
      <c r="E415" s="160">
        <v>-2226.7110081608871</v>
      </c>
      <c r="F415">
        <v>816.21900000000164</v>
      </c>
      <c r="G415" s="160">
        <v>13.143321839113014</v>
      </c>
      <c r="I415" s="160"/>
      <c r="K415" s="160"/>
      <c r="L415">
        <v>816.11900000000162</v>
      </c>
      <c r="M415" s="160">
        <v>174.35992050101584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>
      <c r="B416" s="130">
        <v>816.41900000000169</v>
      </c>
      <c r="C416" s="160">
        <v>33.660347652492</v>
      </c>
      <c r="D416">
        <v>816.41900000000169</v>
      </c>
      <c r="E416" s="160">
        <v>-2226.9100396603699</v>
      </c>
      <c r="F416">
        <v>816.41900000000169</v>
      </c>
      <c r="G416" s="160">
        <v>12.944290339630243</v>
      </c>
      <c r="I416" s="160"/>
      <c r="K416" s="160"/>
      <c r="L416">
        <v>816.31900000000167</v>
      </c>
      <c r="M416" s="160">
        <v>174.34524126198531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>
      <c r="B417" s="130">
        <v>816.61900000000173</v>
      </c>
      <c r="C417" s="160">
        <v>33.680099432524059</v>
      </c>
      <c r="D417">
        <v>816.61900000000173</v>
      </c>
      <c r="E417" s="160">
        <v>-2227.1090666654177</v>
      </c>
      <c r="F417">
        <v>816.61900000000173</v>
      </c>
      <c r="G417" s="160">
        <v>12.745263334582432</v>
      </c>
      <c r="I417" s="160"/>
      <c r="K417" s="160"/>
      <c r="L417">
        <v>816.51900000000171</v>
      </c>
      <c r="M417" s="160">
        <v>174.33242681568112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>
      <c r="B418" s="130">
        <v>816.81900000000178</v>
      </c>
      <c r="C418" s="160">
        <v>33.699888878583153</v>
      </c>
      <c r="D418">
        <v>816.81900000000178</v>
      </c>
      <c r="E418" s="160">
        <v>-2227.3080898461753</v>
      </c>
      <c r="F418">
        <v>816.81900000000178</v>
      </c>
      <c r="G418" s="160">
        <v>12.546240153824783</v>
      </c>
      <c r="I418" s="160"/>
      <c r="K418" s="160"/>
      <c r="L418">
        <v>816.71900000000176</v>
      </c>
      <c r="M418" s="160">
        <v>174.32158109692185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>
      <c r="B419" s="130">
        <v>817.01900000000182</v>
      </c>
      <c r="C419" s="160">
        <v>33.719708780480808</v>
      </c>
      <c r="D419">
        <v>817.01900000000182</v>
      </c>
      <c r="E419" s="160">
        <v>-2227.5071099136144</v>
      </c>
      <c r="F419">
        <v>817.01900000000182</v>
      </c>
      <c r="G419" s="160">
        <v>12.347220086385732</v>
      </c>
      <c r="I419" s="160"/>
      <c r="K419" s="160"/>
      <c r="L419">
        <v>816.9190000000018</v>
      </c>
      <c r="M419" s="160">
        <v>174.31281090602877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>
      <c r="B420" s="130">
        <v>817.21900000000187</v>
      </c>
      <c r="C420" s="160">
        <v>33.739551547441216</v>
      </c>
      <c r="D420">
        <v>817.21900000000187</v>
      </c>
      <c r="E420" s="160">
        <v>-2227.7061276199956</v>
      </c>
      <c r="F420">
        <v>817.21900000000187</v>
      </c>
      <c r="G420" s="160">
        <v>12.148202380004477</v>
      </c>
      <c r="I420" s="160"/>
      <c r="K420" s="160"/>
      <c r="L420">
        <v>817.11900000000185</v>
      </c>
      <c r="M420" s="160">
        <v>174.30622590856183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>
      <c r="B421" s="130">
        <v>817.41900000000192</v>
      </c>
      <c r="C421" s="160">
        <v>33.759409198104834</v>
      </c>
      <c r="D421">
        <v>817.41900000000192</v>
      </c>
      <c r="E421" s="160">
        <v>-2227.9051437591929</v>
      </c>
      <c r="F421">
        <v>817.41900000000192</v>
      </c>
      <c r="G421" s="160">
        <v>11.949186240807194</v>
      </c>
      <c r="I421" s="160"/>
      <c r="K421" s="160"/>
      <c r="L421">
        <v>817.31900000000189</v>
      </c>
      <c r="M421" s="160">
        <v>174.30193862929073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>
      <c r="B422" s="130">
        <v>817.61900000000196</v>
      </c>
      <c r="C422" s="160">
        <v>33.779273350558611</v>
      </c>
      <c r="D422">
        <v>817.61900000000196</v>
      </c>
      <c r="E422" s="160">
        <v>-2228.1041591668704</v>
      </c>
      <c r="F422">
        <v>817.61900000000196</v>
      </c>
      <c r="G422" s="160">
        <v>11.750170833129687</v>
      </c>
      <c r="I422" s="160"/>
      <c r="K422" s="160"/>
      <c r="L422">
        <v>817.51900000000194</v>
      </c>
      <c r="M422" s="160">
        <v>174.30006444031685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>
      <c r="B423" s="130">
        <v>817.81900000000201</v>
      </c>
      <c r="C423" s="160">
        <v>33.79913521241356</v>
      </c>
      <c r="D423">
        <v>817.81900000000201</v>
      </c>
      <c r="E423" s="160">
        <v>-2228.3031747204873</v>
      </c>
      <c r="F423">
        <v>817.81900000000201</v>
      </c>
      <c r="G423" s="160">
        <v>11.551155279512841</v>
      </c>
      <c r="I423" s="160"/>
      <c r="K423" s="160"/>
      <c r="L423">
        <v>817.71900000000198</v>
      </c>
      <c r="M423" s="160">
        <v>174.30072154257579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>
      <c r="B424" s="130">
        <v>818.01900000000205</v>
      </c>
      <c r="C424" s="160">
        <v>33.818985570951604</v>
      </c>
      <c r="D424">
        <v>818.01900000000205</v>
      </c>
      <c r="E424" s="160">
        <v>-2228.5021913391197</v>
      </c>
      <c r="F424">
        <v>818.01900000000205</v>
      </c>
      <c r="G424" s="160">
        <v>11.352138660880428</v>
      </c>
      <c r="I424" s="160"/>
      <c r="K424" s="160"/>
      <c r="L424">
        <v>817.91900000000203</v>
      </c>
      <c r="M424" s="160">
        <v>174.30403094085679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>
      <c r="B425" s="130">
        <v>818.2190000000021</v>
      </c>
      <c r="C425" s="160">
        <v>33.838814783364683</v>
      </c>
      <c r="D425">
        <v>818.2190000000021</v>
      </c>
      <c r="E425" s="160">
        <v>-2228.7012099830827</v>
      </c>
      <c r="F425">
        <v>818.2190000000021</v>
      </c>
      <c r="G425" s="160">
        <v>11.153120016917455</v>
      </c>
      <c r="I425" s="160"/>
      <c r="K425" s="160"/>
      <c r="L425">
        <v>818.11900000000207</v>
      </c>
      <c r="M425" s="160">
        <v>174.3101164118323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>
      <c r="B426" s="130">
        <v>818.41900000000214</v>
      </c>
      <c r="C426" s="160">
        <v>33.858612767110408</v>
      </c>
      <c r="D426">
        <v>818.41900000000214</v>
      </c>
      <c r="E426" s="160">
        <v>-2228.900231653332</v>
      </c>
      <c r="F426">
        <v>818.41900000000214</v>
      </c>
      <c r="G426" s="160">
        <v>10.954098346668161</v>
      </c>
      <c r="I426" s="160"/>
      <c r="K426" s="160"/>
      <c r="L426">
        <v>818.31900000000212</v>
      </c>
      <c r="M426" s="160">
        <v>174.31910446471457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>
      <c r="B427" s="130">
        <v>818.61900000000219</v>
      </c>
      <c r="C427" s="160">
        <v>33.878368990409861</v>
      </c>
      <c r="D427">
        <v>818.61900000000219</v>
      </c>
      <c r="E427" s="160">
        <v>-2229.0992573906215</v>
      </c>
      <c r="F427">
        <v>818.61900000000219</v>
      </c>
      <c r="G427" s="160">
        <v>10.755072609378658</v>
      </c>
      <c r="I427" s="160"/>
      <c r="K427" s="160"/>
      <c r="L427">
        <v>818.51900000000217</v>
      </c>
      <c r="M427" s="160">
        <v>174.33112429403528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>
      <c r="B428" s="130">
        <v>818.81900000000223</v>
      </c>
      <c r="C428" s="160">
        <v>33.89807246291393</v>
      </c>
      <c r="D428">
        <v>818.81900000000223</v>
      </c>
      <c r="E428" s="160">
        <v>-2229.2982882744082</v>
      </c>
      <c r="F428">
        <v>818.81900000000223</v>
      </c>
      <c r="G428" s="160">
        <v>10.556041725591967</v>
      </c>
      <c r="I428" s="160"/>
      <c r="K428" s="160"/>
      <c r="L428">
        <v>818.71900000000221</v>
      </c>
      <c r="M428" s="160">
        <v>174.34630772484508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>
      <c r="B429" s="130">
        <v>819.01900000000228</v>
      </c>
      <c r="C429" s="160">
        <v>33.917711726566715</v>
      </c>
      <c r="D429">
        <v>819.01900000000228</v>
      </c>
      <c r="E429" s="160">
        <v>-2229.497325421476</v>
      </c>
      <c r="F429">
        <v>819.01900000000228</v>
      </c>
      <c r="G429" s="160">
        <v>10.357004578524084</v>
      </c>
      <c r="I429" s="160"/>
      <c r="K429" s="160"/>
      <c r="L429">
        <v>818.91900000000226</v>
      </c>
      <c r="M429" s="160">
        <v>174.36478914917581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>
      <c r="B430" s="130">
        <v>819.21900000000232</v>
      </c>
      <c r="C430" s="160">
        <v>33.937274846694798</v>
      </c>
      <c r="D430">
        <v>819.21900000000232</v>
      </c>
      <c r="E430" s="160">
        <v>-2229.6963699842563</v>
      </c>
      <c r="F430">
        <v>819.21900000000232</v>
      </c>
      <c r="G430" s="160">
        <v>10.157960015743811</v>
      </c>
      <c r="I430" s="160"/>
      <c r="K430" s="160"/>
      <c r="L430">
        <v>819.1190000000023</v>
      </c>
      <c r="M430" s="160">
        <v>174.38670545389922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>
      <c r="B431" s="130">
        <v>819.41900000000237</v>
      </c>
      <c r="C431" s="160">
        <v>33.956749403353662</v>
      </c>
      <c r="D431">
        <v>819.41900000000237</v>
      </c>
      <c r="E431" s="160">
        <v>-2229.895423148831</v>
      </c>
      <c r="F431">
        <v>819.41900000000237</v>
      </c>
      <c r="G431" s="160">
        <v>9.9589068511691039</v>
      </c>
      <c r="I431" s="160"/>
      <c r="K431" s="160"/>
      <c r="L431">
        <v>819.31900000000235</v>
      </c>
      <c r="M431" s="160">
        <v>174.41219593962006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>
      <c r="B432" s="130">
        <v>819.61900000000242</v>
      </c>
      <c r="C432" s="160">
        <v>33.97612248296295</v>
      </c>
      <c r="D432">
        <v>819.61900000000242</v>
      </c>
      <c r="E432" s="160">
        <v>-2230.0944861325916</v>
      </c>
      <c r="F432">
        <v>819.61900000000242</v>
      </c>
      <c r="G432" s="160">
        <v>9.7598438674085628</v>
      </c>
      <c r="I432" s="160"/>
      <c r="K432" s="160"/>
      <c r="L432">
        <v>819.51900000000239</v>
      </c>
      <c r="M432" s="160">
        <v>174.44140223008756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>
      <c r="B433" s="130">
        <v>819.81900000000246</v>
      </c>
      <c r="C433" s="160">
        <v>33.995380670264481</v>
      </c>
      <c r="D433">
        <v>819.81900000000246</v>
      </c>
      <c r="E433" s="160">
        <v>-2230.2935601815307</v>
      </c>
      <c r="F433">
        <v>819.81900000000246</v>
      </c>
      <c r="G433" s="160">
        <v>9.5607698184694527</v>
      </c>
      <c r="I433" s="160"/>
      <c r="K433" s="160"/>
      <c r="L433">
        <v>819.71900000000244</v>
      </c>
      <c r="M433" s="160">
        <v>174.47446817177828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>
      <c r="B434" s="130">
        <v>820.01900000000251</v>
      </c>
      <c r="C434" s="160">
        <v>34.014460188449299</v>
      </c>
      <c r="D434">
        <v>820.01900000000251</v>
      </c>
      <c r="E434" s="160">
        <v>-2230.4926513508635</v>
      </c>
      <c r="F434">
        <v>820.01900000000251</v>
      </c>
      <c r="G434" s="160">
        <v>9.3616786491365929</v>
      </c>
      <c r="I434" s="160"/>
      <c r="K434" s="160"/>
      <c r="L434">
        <v>819.91900000000248</v>
      </c>
      <c r="M434" s="160">
        <v>174.52588668787521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>
      <c r="B435" s="130">
        <v>820.21900000000255</v>
      </c>
      <c r="C435" s="160">
        <v>34.033273946534862</v>
      </c>
      <c r="D435">
        <v>820.21900000000255</v>
      </c>
      <c r="E435" s="160">
        <v>-2230.6917677267602</v>
      </c>
      <c r="F435">
        <v>820.21900000000255</v>
      </c>
      <c r="G435" s="160">
        <v>9.1625622732399279</v>
      </c>
      <c r="I435" s="160"/>
      <c r="K435" s="160"/>
      <c r="L435">
        <v>820.11900000000253</v>
      </c>
      <c r="M435" s="160">
        <v>174.60236178809686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>
      <c r="B436" s="130">
        <v>820.4190000000026</v>
      </c>
      <c r="C436" s="160">
        <v>34.051740102216428</v>
      </c>
      <c r="D436">
        <v>820.4190000000026</v>
      </c>
      <c r="E436" s="160">
        <v>-2230.890916557034</v>
      </c>
      <c r="F436">
        <v>820.4190000000026</v>
      </c>
      <c r="G436" s="160">
        <v>8.9634134429661572</v>
      </c>
      <c r="I436" s="160"/>
      <c r="K436" s="160"/>
      <c r="L436">
        <v>820.31900000000257</v>
      </c>
      <c r="M436" s="160">
        <v>174.70237405606031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>
      <c r="B437" s="130">
        <v>820.61900000000264</v>
      </c>
      <c r="C437" s="160">
        <v>34.069739351296263</v>
      </c>
      <c r="D437">
        <v>820.61900000000264</v>
      </c>
      <c r="E437" s="160">
        <v>-2231.0901080460771</v>
      </c>
      <c r="F437">
        <v>820.61900000000264</v>
      </c>
      <c r="G437" s="160">
        <v>8.76422195392297</v>
      </c>
      <c r="I437" s="160"/>
      <c r="K437" s="160"/>
      <c r="L437">
        <v>820.51900000000262</v>
      </c>
      <c r="M437" s="160">
        <v>174.83668800943826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>
      <c r="B438" s="130">
        <v>820.81900000000269</v>
      </c>
      <c r="C438" s="160">
        <v>34.087147125540994</v>
      </c>
      <c r="D438">
        <v>820.81900000000269</v>
      </c>
      <c r="E438" s="160">
        <v>-2231.2893520129478</v>
      </c>
      <c r="F438">
        <v>820.81900000000269</v>
      </c>
      <c r="G438" s="160">
        <v>8.5649779870523162</v>
      </c>
      <c r="I438" s="160"/>
      <c r="K438" s="160"/>
      <c r="L438">
        <v>820.71900000000267</v>
      </c>
      <c r="M438" s="160">
        <v>175.00679618469883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>
      <c r="B439" s="130">
        <v>821.01900000000273</v>
      </c>
      <c r="C439" s="160">
        <v>34.10384623470641</v>
      </c>
      <c r="D439">
        <v>821.01900000000273</v>
      </c>
      <c r="E439" s="160">
        <v>-2231.4886565418583</v>
      </c>
      <c r="F439">
        <v>821.01900000000273</v>
      </c>
      <c r="G439" s="160">
        <v>8.3656734581418277</v>
      </c>
      <c r="I439" s="160"/>
      <c r="K439" s="160"/>
      <c r="L439">
        <v>820.91900000000271</v>
      </c>
      <c r="M439" s="160">
        <v>175.21055089595421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>
      <c r="B440" s="130">
        <v>821.21900000000278</v>
      </c>
      <c r="C440" s="160">
        <v>34.119717070325294</v>
      </c>
      <c r="D440">
        <v>821.21900000000278</v>
      </c>
      <c r="E440" s="160">
        <v>-2231.6880286524861</v>
      </c>
      <c r="F440">
        <v>821.21900000000278</v>
      </c>
      <c r="G440" s="160">
        <v>8.166301347514036</v>
      </c>
      <c r="I440" s="160"/>
      <c r="K440" s="160"/>
      <c r="L440">
        <v>821.11900000000276</v>
      </c>
      <c r="M440" s="160">
        <v>175.44861911450485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>
      <c r="B441" s="130">
        <v>821.41900000000282</v>
      </c>
      <c r="C441" s="160">
        <v>34.134636257810072</v>
      </c>
      <c r="D441">
        <v>821.41900000000282</v>
      </c>
      <c r="E441" s="160">
        <v>-2231.8874741489335</v>
      </c>
      <c r="F441">
        <v>821.41900000000282</v>
      </c>
      <c r="G441" s="160">
        <v>7.9668558510666116</v>
      </c>
      <c r="I441" s="160"/>
      <c r="K441" s="160"/>
      <c r="L441">
        <v>821.3190000000028</v>
      </c>
      <c r="M441" s="160">
        <v>175.72205211008688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>
      <c r="B442" s="130">
        <v>821.61900000000287</v>
      </c>
      <c r="C442" s="160">
        <v>34.148466671155894</v>
      </c>
      <c r="D442">
        <v>821.61900000000287</v>
      </c>
      <c r="E442" s="160">
        <v>-2232.0869980171851</v>
      </c>
      <c r="F442">
        <v>821.61900000000287</v>
      </c>
      <c r="G442" s="160">
        <v>7.7673319828149943</v>
      </c>
      <c r="I442" s="160"/>
      <c r="K442" s="160"/>
      <c r="L442">
        <v>821.51900000000285</v>
      </c>
      <c r="M442" s="160">
        <v>176.03476614252861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>
      <c r="B443" s="130">
        <v>821.81900000000292</v>
      </c>
      <c r="C443" s="160">
        <v>34.161066745347043</v>
      </c>
      <c r="D443">
        <v>821.81900000000292</v>
      </c>
      <c r="E443" s="160">
        <v>-2232.2866032736611</v>
      </c>
      <c r="F443">
        <v>821.81900000000292</v>
      </c>
      <c r="G443" s="160">
        <v>7.5677267263390604</v>
      </c>
      <c r="I443" s="160"/>
      <c r="K443" s="160"/>
      <c r="L443">
        <v>821.71900000000289</v>
      </c>
      <c r="M443" s="160">
        <v>176.38799867302296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>
      <c r="B444" s="130">
        <v>822.01900000000296</v>
      </c>
      <c r="C444" s="160">
        <v>34.172297388792728</v>
      </c>
      <c r="D444">
        <v>822.01900000000296</v>
      </c>
      <c r="E444" s="160">
        <v>-2232.4862901752958</v>
      </c>
      <c r="F444">
        <v>822.01900000000296</v>
      </c>
      <c r="G444" s="160">
        <v>7.3680398247042831</v>
      </c>
      <c r="I444" s="160"/>
      <c r="K444" s="160"/>
      <c r="L444">
        <v>821.91900000000294</v>
      </c>
      <c r="M444" s="160">
        <v>176.78100414825525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>
      <c r="B445" s="130">
        <v>822.21900000000301</v>
      </c>
      <c r="C445" s="160">
        <v>34.181994791006325</v>
      </c>
      <c r="D445">
        <v>822.21900000000301</v>
      </c>
      <c r="E445" s="160">
        <v>-2232.6860573196223</v>
      </c>
      <c r="F445">
        <v>822.21900000000301</v>
      </c>
      <c r="G445" s="160">
        <v>7.1682726803778678</v>
      </c>
      <c r="I445" s="160"/>
      <c r="K445" s="160"/>
      <c r="L445">
        <v>822.11900000000298</v>
      </c>
      <c r="M445" s="160">
        <v>177.22084228578197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>
      <c r="B446" s="130">
        <v>822.41900000000305</v>
      </c>
      <c r="C446" s="160">
        <v>34.189970679824071</v>
      </c>
      <c r="D446">
        <v>822.41900000000305</v>
      </c>
      <c r="E446" s="160">
        <v>-2232.8859005131858</v>
      </c>
      <c r="F446">
        <v>822.41900000000305</v>
      </c>
      <c r="G446" s="160">
        <v>6.9684294868143297</v>
      </c>
      <c r="I446" s="160"/>
      <c r="K446" s="160"/>
      <c r="L446">
        <v>822.31900000000303</v>
      </c>
      <c r="M446" s="160">
        <v>177.71449629087707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>
      <c r="B447" s="130">
        <v>822.6190000000031</v>
      </c>
      <c r="C447" s="160">
        <v>34.19605784193616</v>
      </c>
      <c r="D447">
        <v>822.6190000000031</v>
      </c>
      <c r="E447" s="160">
        <v>-2233.0858100633832</v>
      </c>
      <c r="F447">
        <v>822.6190000000031</v>
      </c>
      <c r="G447" s="160">
        <v>6.76851993661694</v>
      </c>
      <c r="I447" s="160"/>
      <c r="K447" s="160"/>
      <c r="L447">
        <v>822.51900000000308</v>
      </c>
      <c r="M447" s="160">
        <v>178.25590639512069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>
      <c r="B448" s="130">
        <v>822.81900000000314</v>
      </c>
      <c r="C448" s="160">
        <v>34.200087341663746</v>
      </c>
      <c r="D448">
        <v>822.81900000000314</v>
      </c>
      <c r="E448" s="160">
        <v>-2233.2857715837727</v>
      </c>
      <c r="F448">
        <v>822.81900000000314</v>
      </c>
      <c r="G448" s="160">
        <v>6.5685584162274608</v>
      </c>
      <c r="I448" s="160"/>
      <c r="K448" s="160"/>
      <c r="L448">
        <v>822.71900000000312</v>
      </c>
      <c r="M448" s="160">
        <v>178.84556746594671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>
      <c r="B449" s="130">
        <v>823.01900000000319</v>
      </c>
      <c r="C449" s="160">
        <v>34.201872534854765</v>
      </c>
      <c r="D449">
        <v>823.01900000000319</v>
      </c>
      <c r="E449" s="160">
        <v>-2233.4857656436166</v>
      </c>
      <c r="F449">
        <v>823.01900000000319</v>
      </c>
      <c r="G449" s="160">
        <v>6.3685643563835583</v>
      </c>
      <c r="I449" s="160"/>
      <c r="K449" s="160"/>
      <c r="L449">
        <v>822.91900000000317</v>
      </c>
      <c r="M449" s="160">
        <v>179.48857821533119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>
      <c r="B450" s="130">
        <v>823.21900000000323</v>
      </c>
      <c r="C450" s="160">
        <v>34.201214624645758</v>
      </c>
      <c r="D450">
        <v>823.21900000000323</v>
      </c>
      <c r="E450" s="160">
        <v>-2233.6857664988042</v>
      </c>
      <c r="F450">
        <v>823.21900000000323</v>
      </c>
      <c r="G450" s="160">
        <v>6.1685635011958766</v>
      </c>
      <c r="I450" s="160"/>
      <c r="K450" s="160"/>
      <c r="L450">
        <v>823.11900000000321</v>
      </c>
      <c r="M450" s="160">
        <v>179.81152409437487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>
      <c r="B451" s="130">
        <v>823.41900000000328</v>
      </c>
      <c r="C451" s="160">
        <v>34.197900466083219</v>
      </c>
      <c r="D451">
        <v>823.41900000000328</v>
      </c>
      <c r="E451" s="160">
        <v>-2233.8857408844851</v>
      </c>
      <c r="F451">
        <v>823.41900000000328</v>
      </c>
      <c r="G451" s="160">
        <v>5.9685891155149875</v>
      </c>
      <c r="I451" s="160"/>
      <c r="K451" s="160"/>
      <c r="L451">
        <v>823.31900000000326</v>
      </c>
      <c r="M451" s="160">
        <v>179.05052881859316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>
      <c r="B452" s="130">
        <v>823.61900000000333</v>
      </c>
      <c r="C452" s="160">
        <v>34.191701684001742</v>
      </c>
      <c r="D452">
        <v>823.61900000000333</v>
      </c>
      <c r="E452" s="160">
        <v>-2234.0856465545271</v>
      </c>
      <c r="F452">
        <v>823.61900000000333</v>
      </c>
      <c r="G452" s="160">
        <v>5.768683445473016</v>
      </c>
      <c r="I452" s="160"/>
      <c r="K452" s="160"/>
      <c r="L452">
        <v>823.5190000000033</v>
      </c>
      <c r="M452" s="160">
        <v>178.22391089058073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>
      <c r="B453" s="130">
        <v>823.81900000000337</v>
      </c>
      <c r="C453" s="160">
        <v>34.182379946198793</v>
      </c>
      <c r="D453">
        <v>823.81900000000337</v>
      </c>
      <c r="E453" s="160">
        <v>-2234.285430862763</v>
      </c>
      <c r="F453">
        <v>823.81900000000337</v>
      </c>
      <c r="G453" s="160">
        <v>5.5688991372371675</v>
      </c>
      <c r="I453" s="160"/>
      <c r="K453" s="160"/>
      <c r="L453">
        <v>823.71900000000335</v>
      </c>
      <c r="M453" s="160">
        <v>177.32857321490451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>
      <c r="B454" s="130">
        <v>824.01900000000342</v>
      </c>
      <c r="C454" s="160">
        <v>34.169726229883061</v>
      </c>
      <c r="D454">
        <v>824.01900000000342</v>
      </c>
      <c r="E454" s="160">
        <v>-2234.4850317406804</v>
      </c>
      <c r="F454">
        <v>824.01900000000342</v>
      </c>
      <c r="G454" s="160">
        <v>5.3692982593197485</v>
      </c>
      <c r="I454" s="160"/>
      <c r="K454" s="160"/>
      <c r="L454">
        <v>823.91900000000339</v>
      </c>
      <c r="M454" s="160">
        <v>176.37258295889583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>
      <c r="B455" s="130">
        <v>824.21900000000346</v>
      </c>
      <c r="C455" s="160">
        <v>34.153514245422102</v>
      </c>
      <c r="D455">
        <v>824.21900000000346</v>
      </c>
      <c r="E455" s="160">
        <v>-2234.6843750639055</v>
      </c>
      <c r="F455">
        <v>824.21900000000346</v>
      </c>
      <c r="G455" s="160">
        <v>5.1699549360946548</v>
      </c>
      <c r="I455" s="160"/>
      <c r="K455" s="160"/>
      <c r="L455">
        <v>824.11900000000344</v>
      </c>
      <c r="M455" s="160">
        <v>175.3505416115558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>
      <c r="B456" s="130">
        <v>824.41900000000351</v>
      </c>
      <c r="C456" s="160">
        <v>34.13348989921937</v>
      </c>
      <c r="D456">
        <v>824.41900000000351</v>
      </c>
      <c r="E456" s="160">
        <v>-2234.8833714859575</v>
      </c>
      <c r="F456">
        <v>824.41900000000351</v>
      </c>
      <c r="G456" s="160">
        <v>4.9709585140426498</v>
      </c>
      <c r="I456" s="160"/>
      <c r="K456" s="160"/>
      <c r="L456">
        <v>824.31900000000348</v>
      </c>
      <c r="M456" s="160">
        <v>174.25385933776076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>
      <c r="B457" s="130">
        <v>824.61900000000355</v>
      </c>
      <c r="C457" s="160">
        <v>34.109403702870736</v>
      </c>
      <c r="D457">
        <v>824.61900000000355</v>
      </c>
      <c r="E457" s="160">
        <v>-2235.0819171144294</v>
      </c>
      <c r="F457">
        <v>824.61900000000355</v>
      </c>
      <c r="G457" s="160">
        <v>4.7724128855707022</v>
      </c>
      <c r="I457" s="160"/>
      <c r="K457" s="160"/>
      <c r="L457">
        <v>824.51900000000353</v>
      </c>
      <c r="M457" s="160">
        <v>173.08306803196407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>
      <c r="B458" s="130">
        <v>824.8190000000036</v>
      </c>
      <c r="C458" s="160">
        <v>34.081008163522696</v>
      </c>
      <c r="D458">
        <v>824.8190000000036</v>
      </c>
      <c r="E458" s="160">
        <v>-2235.2798922778752</v>
      </c>
      <c r="F458">
        <v>824.8190000000036</v>
      </c>
      <c r="G458" s="160">
        <v>4.5744377221249124</v>
      </c>
      <c r="I458" s="160"/>
      <c r="K458" s="160"/>
      <c r="L458">
        <v>824.71900000000358</v>
      </c>
      <c r="M458" s="160">
        <v>171.83774525178552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>
      <c r="B459" s="130">
        <v>825.01900000000364</v>
      </c>
      <c r="C459" s="160">
        <v>34.048045285847707</v>
      </c>
      <c r="D459">
        <v>825.01900000000364</v>
      </c>
      <c r="E459" s="160">
        <v>-2235.4771582931858</v>
      </c>
      <c r="F459">
        <v>825.01900000000364</v>
      </c>
      <c r="G459" s="160">
        <v>4.3771717068143516</v>
      </c>
      <c r="I459" s="160"/>
      <c r="K459" s="160"/>
      <c r="L459">
        <v>824.91900000000362</v>
      </c>
      <c r="M459" s="160">
        <v>170.51359962671611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>
      <c r="B460" s="130">
        <v>825.21900000000369</v>
      </c>
      <c r="C460" s="160">
        <v>34.010260052735561</v>
      </c>
      <c r="D460">
        <v>825.21900000000369</v>
      </c>
      <c r="E460" s="160">
        <v>-2235.6735575496587</v>
      </c>
      <c r="F460">
        <v>825.21900000000369</v>
      </c>
      <c r="G460" s="160">
        <v>4.1807724503414647</v>
      </c>
      <c r="I460" s="160"/>
      <c r="K460" s="160"/>
      <c r="L460">
        <v>825.11900000000367</v>
      </c>
      <c r="M460" s="160">
        <v>169.10993089706582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>
      <c r="B461" s="130">
        <v>825.41900000000373</v>
      </c>
      <c r="C461" s="160">
        <v>33.967410075860947</v>
      </c>
      <c r="D461">
        <v>825.41900000000373</v>
      </c>
      <c r="E461" s="160">
        <v>-2235.8689142249586</v>
      </c>
      <c r="F461">
        <v>825.41900000000373</v>
      </c>
      <c r="G461" s="160">
        <v>3.9854157750414743</v>
      </c>
      <c r="I461" s="160"/>
      <c r="K461" s="160"/>
      <c r="L461">
        <v>825.31900000000371</v>
      </c>
      <c r="M461" s="160">
        <v>167.62853175440176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>
      <c r="B462" s="130">
        <v>825.61900000000378</v>
      </c>
      <c r="C462" s="160">
        <v>33.919263714582208</v>
      </c>
      <c r="D462">
        <v>825.61900000000378</v>
      </c>
      <c r="E462" s="160">
        <v>-2236.0630333585204</v>
      </c>
      <c r="F462">
        <v>825.61900000000378</v>
      </c>
      <c r="G462" s="160">
        <v>3.7912966414796756</v>
      </c>
      <c r="I462" s="160"/>
      <c r="K462" s="160"/>
      <c r="L462">
        <v>825.51900000000376</v>
      </c>
      <c r="M462" s="160">
        <v>166.07031890652047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>
      <c r="B463" s="130">
        <v>825.81900000000383</v>
      </c>
      <c r="C463" s="160">
        <v>33.865603633960724</v>
      </c>
      <c r="D463">
        <v>825.81900000000383</v>
      </c>
      <c r="E463" s="160">
        <v>-2236.2557011157141</v>
      </c>
      <c r="F463">
        <v>825.81900000000383</v>
      </c>
      <c r="G463" s="160">
        <v>3.5986288842859722</v>
      </c>
      <c r="I463" s="160"/>
      <c r="K463" s="160"/>
      <c r="L463">
        <v>825.7190000000038</v>
      </c>
      <c r="M463" s="160">
        <v>164.43689770647342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>
      <c r="B464" s="130">
        <v>826.01900000000387</v>
      </c>
      <c r="C464" s="160">
        <v>33.806204291535892</v>
      </c>
      <c r="D464">
        <v>826.01900000000387</v>
      </c>
      <c r="E464" s="160">
        <v>-2236.4466774117946</v>
      </c>
      <c r="F464">
        <v>826.01900000000387</v>
      </c>
      <c r="G464" s="160">
        <v>3.4076525882055648</v>
      </c>
      <c r="I464" s="160"/>
      <c r="K464" s="160"/>
      <c r="L464">
        <v>825.91900000000385</v>
      </c>
      <c r="M464" s="160">
        <v>162.72274301867949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>
      <c r="B465" s="130">
        <v>826.21900000000392</v>
      </c>
      <c r="C465" s="160">
        <v>33.740843103570256</v>
      </c>
      <c r="D465">
        <v>826.21900000000392</v>
      </c>
      <c r="E465" s="160">
        <v>-2236.6356961971155</v>
      </c>
      <c r="F465">
        <v>826.21900000000392</v>
      </c>
      <c r="G465" s="160">
        <v>3.2186338028845967</v>
      </c>
      <c r="I465" s="160"/>
      <c r="K465" s="160"/>
      <c r="L465">
        <v>826.11900000000389</v>
      </c>
      <c r="M465" s="160">
        <v>160.92502282430391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>
      <c r="B466" s="130">
        <v>826.41900000000396</v>
      </c>
      <c r="C466" s="160">
        <v>33.669322939648346</v>
      </c>
      <c r="D466">
        <v>826.41900000000396</v>
      </c>
      <c r="E466" s="160">
        <v>-2236.8224714922148</v>
      </c>
      <c r="F466">
        <v>826.41900000000396</v>
      </c>
      <c r="G466" s="160">
        <v>3.0318585077852731</v>
      </c>
      <c r="I466" s="160"/>
      <c r="K466" s="160"/>
      <c r="L466">
        <v>826.31900000000394</v>
      </c>
      <c r="M466" s="160">
        <v>159.04711263332408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>
      <c r="B467" s="130">
        <v>826.61900000000401</v>
      </c>
      <c r="C467" s="160">
        <v>33.591470638070476</v>
      </c>
      <c r="D467">
        <v>826.61900000000401</v>
      </c>
      <c r="E467" s="160">
        <v>-2237.0066972305467</v>
      </c>
      <c r="F467">
        <v>826.61900000000401</v>
      </c>
      <c r="G467" s="160">
        <v>2.847632769453412</v>
      </c>
      <c r="I467" s="160"/>
      <c r="K467" s="160"/>
      <c r="L467">
        <v>826.51900000000398</v>
      </c>
      <c r="M467" s="160">
        <v>157.09147526244291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>
      <c r="B468" s="130">
        <v>826.81900000000405</v>
      </c>
      <c r="C468" s="160">
        <v>33.507143125482877</v>
      </c>
      <c r="D468">
        <v>826.81900000000405</v>
      </c>
      <c r="E468" s="160">
        <v>-2237.1880502932304</v>
      </c>
      <c r="F468">
        <v>826.81900000000405</v>
      </c>
      <c r="G468" s="160">
        <v>2.6662797067697284</v>
      </c>
      <c r="I468" s="160"/>
      <c r="K468" s="160"/>
      <c r="L468">
        <v>826.71900000000403</v>
      </c>
      <c r="M468" s="160">
        <v>155.06200396442676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>
      <c r="B469" s="130">
        <v>827.0190000000041</v>
      </c>
      <c r="C469" s="160">
        <v>33.416227559110887</v>
      </c>
      <c r="D469">
        <v>827.0190000000041</v>
      </c>
      <c r="E469" s="160">
        <v>-2237.3661917602699</v>
      </c>
      <c r="F469">
        <v>827.0190000000041</v>
      </c>
      <c r="G469" s="160">
        <v>2.4881382397302332</v>
      </c>
      <c r="I469" s="160"/>
      <c r="K469" s="160"/>
      <c r="L469">
        <v>826.91900000000408</v>
      </c>
      <c r="M469" s="160">
        <v>152.9622337405776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>
      <c r="B470" s="130">
        <v>827.21900000000414</v>
      </c>
      <c r="C470" s="160">
        <v>33.31863903016113</v>
      </c>
      <c r="D470">
        <v>827.21900000000414</v>
      </c>
      <c r="E470" s="160">
        <v>-2237.5407668502071</v>
      </c>
      <c r="F470">
        <v>827.21900000000414</v>
      </c>
      <c r="G470" s="160">
        <v>2.3135631497930262</v>
      </c>
      <c r="I470" s="160"/>
      <c r="K470" s="160"/>
      <c r="L470">
        <v>827.11900000000412</v>
      </c>
      <c r="M470" s="160">
        <v>150.79454614603588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>
      <c r="B471" s="130">
        <v>827.41900000000419</v>
      </c>
      <c r="C471" s="160">
        <v>33.214322428554738</v>
      </c>
      <c r="D471">
        <v>827.41900000000419</v>
      </c>
      <c r="E471" s="160">
        <v>-2237.7114067960692</v>
      </c>
      <c r="F471">
        <v>827.41900000000419</v>
      </c>
      <c r="G471" s="160">
        <v>2.1429232039308772</v>
      </c>
      <c r="I471" s="160"/>
      <c r="K471" s="160"/>
      <c r="L471">
        <v>827.31900000000417</v>
      </c>
      <c r="M471" s="160">
        <v>148.5614791299339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>
      <c r="B472" s="130">
        <v>827.61900000000423</v>
      </c>
      <c r="C472" s="160">
        <v>33.103259327896438</v>
      </c>
      <c r="D472">
        <v>827.61900000000423</v>
      </c>
      <c r="E472" s="160">
        <v>-2237.8777344691739</v>
      </c>
      <c r="F472">
        <v>827.61900000000423</v>
      </c>
      <c r="G472" s="160">
        <v>1.9765955308262164</v>
      </c>
      <c r="I472" s="160"/>
      <c r="K472" s="160"/>
      <c r="L472">
        <v>827.51900000000421</v>
      </c>
      <c r="M472" s="160">
        <v>146.26750699207159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>
      <c r="B473" s="130">
        <v>827.81900000000428</v>
      </c>
      <c r="C473" s="160">
        <v>32.985473945224278</v>
      </c>
      <c r="D473">
        <v>827.81900000000428</v>
      </c>
      <c r="E473" s="160">
        <v>-2238.0393713303697</v>
      </c>
      <c r="F473">
        <v>827.81900000000428</v>
      </c>
      <c r="G473" s="160">
        <v>1.8149586696304141</v>
      </c>
      <c r="I473" s="160"/>
      <c r="K473" s="160"/>
      <c r="L473">
        <v>827.71900000000426</v>
      </c>
      <c r="M473" s="160">
        <v>143.91903717264486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>
      <c r="B474" s="130">
        <v>828.01900000000433</v>
      </c>
      <c r="C474" s="160">
        <v>32.861032507707648</v>
      </c>
      <c r="D474">
        <v>828.01900000000433</v>
      </c>
      <c r="E474" s="160">
        <v>-2238.1959413328018</v>
      </c>
      <c r="F474">
        <v>828.01900000000433</v>
      </c>
      <c r="G474" s="160">
        <v>1.6583886671983237</v>
      </c>
      <c r="I474" s="160"/>
      <c r="K474" s="160"/>
      <c r="L474">
        <v>827.9190000000043</v>
      </c>
      <c r="M474" s="160">
        <v>141.52241247108117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>
      <c r="B475" s="130">
        <v>828.21900000000437</v>
      </c>
      <c r="C475" s="160">
        <v>32.730042071673182</v>
      </c>
      <c r="D475">
        <v>828.21900000000437</v>
      </c>
      <c r="E475" s="160">
        <v>-2238.3470747518822</v>
      </c>
      <c r="F475">
        <v>828.21900000000437</v>
      </c>
      <c r="G475" s="160">
        <v>1.5072552481178718</v>
      </c>
      <c r="I475" s="160"/>
      <c r="K475" s="160"/>
      <c r="L475">
        <v>828.11900000000435</v>
      </c>
      <c r="M475" s="160">
        <v>139.08385466407483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>
      <c r="B476" s="130">
        <v>828.41900000000442</v>
      </c>
      <c r="C476" s="160">
        <v>32.592650849567505</v>
      </c>
      <c r="D476">
        <v>828.41900000000442</v>
      </c>
      <c r="E476" s="160">
        <v>-2238.4924137575622</v>
      </c>
      <c r="F476">
        <v>828.41900000000442</v>
      </c>
      <c r="G476" s="160">
        <v>1.3619162424379283</v>
      </c>
      <c r="I476" s="160"/>
      <c r="K476" s="160"/>
      <c r="L476">
        <v>828.31900000000439</v>
      </c>
      <c r="M476" s="160">
        <v>136.61020831464538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>
      <c r="B477" s="130">
        <v>828.61900000000446</v>
      </c>
      <c r="C477" s="160">
        <v>32.449047716519303</v>
      </c>
      <c r="D477">
        <v>828.61900000000446</v>
      </c>
      <c r="E477" s="160">
        <v>-2238.6316182359105</v>
      </c>
      <c r="F477">
        <v>828.61900000000446</v>
      </c>
      <c r="G477" s="160">
        <v>1.2227117640895813</v>
      </c>
      <c r="I477" s="160"/>
      <c r="K477" s="160"/>
      <c r="L477">
        <v>828.51900000000444</v>
      </c>
      <c r="M477" s="160">
        <v>134.10892062287937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>
      <c r="B478" s="130">
        <v>828.81900000000451</v>
      </c>
      <c r="C478" s="160">
        <v>32.299460842981482</v>
      </c>
      <c r="D478">
        <v>828.81900000000451</v>
      </c>
      <c r="E478" s="160">
        <v>-2238.7643717238034</v>
      </c>
      <c r="F478">
        <v>828.81900000000451</v>
      </c>
      <c r="G478" s="160">
        <v>1.0899582761967395</v>
      </c>
      <c r="I478" s="160"/>
      <c r="K478" s="160"/>
      <c r="L478">
        <v>828.71900000000448</v>
      </c>
      <c r="M478" s="160">
        <v>131.58801320633302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>
      <c r="B479" s="130">
        <v>829.01900000000455</v>
      </c>
      <c r="C479" s="160">
        <v>32.144155428729242</v>
      </c>
      <c r="D479">
        <v>829.01900000000455</v>
      </c>
      <c r="E479" s="160">
        <v>-2238.8903873060517</v>
      </c>
      <c r="F479">
        <v>829.01900000000455</v>
      </c>
      <c r="G479" s="160">
        <v>0.96394269394841103</v>
      </c>
      <c r="I479" s="160"/>
      <c r="K479" s="160"/>
      <c r="L479">
        <v>828.91900000000453</v>
      </c>
      <c r="M479" s="160">
        <v>129.05604603356133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>
      <c r="B480" s="130">
        <v>829.2190000000046</v>
      </c>
      <c r="C480" s="160">
        <v>31.983430546361554</v>
      </c>
      <c r="D480">
        <v>829.2190000000046</v>
      </c>
      <c r="E480" s="160">
        <v>-2239.009413316212</v>
      </c>
      <c r="F480">
        <v>829.2190000000046</v>
      </c>
      <c r="G480" s="160">
        <v>0.84491668378814211</v>
      </c>
      <c r="I480" s="160"/>
      <c r="K480" s="160"/>
      <c r="L480">
        <v>829.11900000000458</v>
      </c>
      <c r="M480" s="160">
        <v>126.5220739840576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>
      <c r="B481" s="130">
        <v>829.41900000000464</v>
      </c>
      <c r="C481" s="160">
        <v>31.817615137779438</v>
      </c>
      <c r="D481">
        <v>829.41900000000464</v>
      </c>
      <c r="E481" s="160">
        <v>-2239.1212386818188</v>
      </c>
      <c r="F481">
        <v>829.41900000000464</v>
      </c>
      <c r="G481" s="160">
        <v>0.733091318181323</v>
      </c>
      <c r="I481" s="160"/>
      <c r="K481" s="160"/>
      <c r="L481">
        <v>829.31900000000462</v>
      </c>
      <c r="M481" s="160">
        <v>123.99559676852415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>
      <c r="B482" s="130">
        <v>829.61900000000469</v>
      </c>
      <c r="C482" s="160">
        <v>31.647063242934895</v>
      </c>
      <c r="D482">
        <v>829.61900000000469</v>
      </c>
      <c r="E482" s="160">
        <v>-2239.2256977624661</v>
      </c>
      <c r="F482">
        <v>829.61900000000469</v>
      </c>
      <c r="G482" s="160">
        <v>0.62863223753402053</v>
      </c>
      <c r="I482" s="160"/>
      <c r="K482" s="160"/>
      <c r="L482">
        <v>829.51900000000467</v>
      </c>
      <c r="M482" s="160">
        <v>121.48650318215616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>
      <c r="B483" s="130">
        <v>829.81900000000473</v>
      </c>
      <c r="C483" s="160">
        <v>31.472148574309717</v>
      </c>
      <c r="D483">
        <v>829.81900000000473</v>
      </c>
      <c r="E483" s="160">
        <v>-2239.3226745451475</v>
      </c>
      <c r="F483">
        <v>829.81900000000473</v>
      </c>
      <c r="G483" s="160">
        <v>0.53165545485262555</v>
      </c>
      <c r="I483" s="160"/>
      <c r="K483" s="160"/>
      <c r="L483">
        <v>829.71900000000471</v>
      </c>
      <c r="M483" s="160">
        <v>119.00501088137291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>
      <c r="B484" s="130">
        <v>830.01900000000478</v>
      </c>
      <c r="C484" s="160">
        <v>31.293258580946997</v>
      </c>
      <c r="D484">
        <v>830.01900000000478</v>
      </c>
      <c r="E484" s="160">
        <v>-2239.4121060849789</v>
      </c>
      <c r="F484">
        <v>830.01900000000478</v>
      </c>
      <c r="G484" s="160">
        <v>0.44222391502125902</v>
      </c>
      <c r="I484" s="160"/>
      <c r="K484" s="160"/>
      <c r="L484">
        <v>829.91900000000476</v>
      </c>
      <c r="M484" s="160">
        <v>116.56160305169011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>
      <c r="B485" s="130">
        <v>830.21900000000483</v>
      </c>
      <c r="C485" s="160">
        <v>31.110788170470471</v>
      </c>
      <c r="D485">
        <v>830.21900000000483</v>
      </c>
      <c r="E485" s="160">
        <v>-2239.4939851096842</v>
      </c>
      <c r="F485">
        <v>830.21900000000483</v>
      </c>
      <c r="G485" s="160">
        <v>0.36034489031590056</v>
      </c>
      <c r="I485" s="160"/>
      <c r="K485" s="160"/>
      <c r="L485">
        <v>830.1190000000048</v>
      </c>
      <c r="M485" s="160">
        <v>114.16696346297054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>
      <c r="B486" s="130">
        <v>830.41900000000487</v>
      </c>
      <c r="C486" s="160">
        <v>30.925133274834881</v>
      </c>
      <c r="D486">
        <v>830.41900000000487</v>
      </c>
      <c r="E486" s="160">
        <v>-2239.5683617412574</v>
      </c>
      <c r="F486">
        <v>830.41900000000487</v>
      </c>
      <c r="G486" s="160">
        <v>0.28596825874274145</v>
      </c>
      <c r="I486" s="160"/>
      <c r="K486" s="160"/>
      <c r="L486">
        <v>830.31900000000485</v>
      </c>
      <c r="M486" s="160">
        <v>111.83191147030388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>
      <c r="B487" s="130">
        <v>830.61900000000492</v>
      </c>
      <c r="C487" s="160">
        <v>30.736686669383285</v>
      </c>
      <c r="D487">
        <v>830.61900000000492</v>
      </c>
      <c r="E487" s="160">
        <v>-2239.6353505567222</v>
      </c>
      <c r="F487">
        <v>830.61900000000492</v>
      </c>
      <c r="G487" s="160">
        <v>0.21897944327793084</v>
      </c>
      <c r="I487" s="160"/>
      <c r="K487" s="160"/>
      <c r="L487">
        <v>830.51900000000489</v>
      </c>
      <c r="M487" s="160">
        <v>109.56923295133059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>
      <c r="B488" s="130">
        <v>830.81900000000496</v>
      </c>
      <c r="C488" s="160">
        <v>30.545830105512945</v>
      </c>
      <c r="D488">
        <v>830.81900000000496</v>
      </c>
      <c r="E488" s="160">
        <v>-2239.695128478329</v>
      </c>
      <c r="F488">
        <v>830.81900000000496</v>
      </c>
      <c r="G488" s="160">
        <v>0.15920152167109336</v>
      </c>
      <c r="I488" s="160"/>
      <c r="K488" s="160"/>
      <c r="L488">
        <v>830.71900000000494</v>
      </c>
      <c r="M488" s="160">
        <v>107.39100609210087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>
      <c r="B489" s="130">
        <v>831.01900000000501</v>
      </c>
      <c r="C489" s="160">
        <v>30.352925715521543</v>
      </c>
      <c r="D489">
        <v>831.01900000000501</v>
      </c>
      <c r="E489" s="160">
        <v>-2239.747925540873</v>
      </c>
      <c r="F489">
        <v>831.01900000000501</v>
      </c>
      <c r="G489" s="160">
        <v>0.10640445912713403</v>
      </c>
      <c r="I489" s="160"/>
      <c r="K489" s="160"/>
      <c r="L489">
        <v>830.91900000000498</v>
      </c>
      <c r="M489" s="160">
        <v>105.30674048138386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>
      <c r="B490" s="130">
        <v>831.21900000000505</v>
      </c>
      <c r="C490" s="160">
        <v>30.158311972640622</v>
      </c>
      <c r="D490">
        <v>831.21900000000505</v>
      </c>
      <c r="E490" s="160">
        <v>-2239.7940246961784</v>
      </c>
      <c r="F490">
        <v>831.21900000000505</v>
      </c>
      <c r="G490" s="160">
        <v>6.0305303821678535E-2</v>
      </c>
      <c r="I490" s="160"/>
      <c r="K490" s="160"/>
      <c r="L490">
        <v>831.11900000000503</v>
      </c>
      <c r="M490" s="160">
        <v>103.32632282951879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>
      <c r="B491" s="130">
        <v>831.4190000000051</v>
      </c>
      <c r="C491" s="160">
        <v>29.962303512096398</v>
      </c>
      <c r="D491">
        <v>831.4190000000051</v>
      </c>
      <c r="E491" s="160">
        <v>-2239.8337781054634</v>
      </c>
      <c r="F491">
        <v>831.4190000000051</v>
      </c>
      <c r="G491" s="160">
        <v>2.0551894536765758E-2</v>
      </c>
      <c r="I491" s="160"/>
      <c r="K491" s="160"/>
      <c r="L491">
        <v>831.31900000000508</v>
      </c>
      <c r="M491" s="160">
        <v>101.46491934148764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>
      <c r="B492" s="130">
        <v>831.61900000000514</v>
      </c>
      <c r="C492" s="160">
        <v>29.765185642232296</v>
      </c>
      <c r="D492">
        <v>831.61900000000514</v>
      </c>
      <c r="E492" s="160">
        <v>-2239.8676042168049</v>
      </c>
      <c r="F492">
        <v>831.61900000000514</v>
      </c>
      <c r="G492" s="160">
        <v>-1.3274216804802563E-2</v>
      </c>
      <c r="I492" s="160"/>
      <c r="K492" s="160"/>
      <c r="L492">
        <v>831.51900000000512</v>
      </c>
      <c r="M492" s="160">
        <v>99.737313378696101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>
      <c r="B493" s="130">
        <v>831.81900000000519</v>
      </c>
      <c r="C493" s="160">
        <v>29.567205303136348</v>
      </c>
      <c r="D493">
        <v>831.81900000000519</v>
      </c>
      <c r="E493" s="160">
        <v>-2239.8959495586187</v>
      </c>
      <c r="F493">
        <v>831.81900000000519</v>
      </c>
      <c r="G493" s="160">
        <v>-4.161955861854949E-2</v>
      </c>
      <c r="I493" s="160"/>
      <c r="K493" s="160"/>
      <c r="L493">
        <v>831.71900000000517</v>
      </c>
      <c r="M493" s="160">
        <v>98.147809318730978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>
      <c r="B494" s="130">
        <v>832.01900000000524</v>
      </c>
      <c r="C494" s="160">
        <v>29.368571999161368</v>
      </c>
      <c r="D494">
        <v>832.01900000000524</v>
      </c>
      <c r="E494" s="160">
        <v>-2239.91928405923</v>
      </c>
      <c r="F494">
        <v>832.01900000000524</v>
      </c>
      <c r="G494" s="160">
        <v>-6.4954059229876293E-2</v>
      </c>
      <c r="I494" s="160"/>
      <c r="K494" s="160"/>
      <c r="L494">
        <v>831.91900000000521</v>
      </c>
      <c r="M494" s="160">
        <v>96.700128097123269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>
      <c r="B495" s="130">
        <v>832.21900000000528</v>
      </c>
      <c r="C495" s="160">
        <v>29.169461357108485</v>
      </c>
      <c r="D495">
        <v>832.21900000000528</v>
      </c>
      <c r="E495" s="160">
        <v>-2239.9381163781154</v>
      </c>
      <c r="F495">
        <v>832.21900000000528</v>
      </c>
      <c r="G495" s="160">
        <v>-8.3786378115291882E-2</v>
      </c>
      <c r="I495" s="160"/>
      <c r="K495" s="160"/>
      <c r="L495">
        <v>832.11900000000526</v>
      </c>
      <c r="M495" s="160">
        <v>95.403086449186247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>
      <c r="B496" s="130">
        <v>832.41900000000533</v>
      </c>
      <c r="C496" s="160">
        <v>28.970012638094204</v>
      </c>
      <c r="D496">
        <v>832.41900000000533</v>
      </c>
      <c r="E496" s="160">
        <v>-2239.9529463158678</v>
      </c>
      <c r="F496">
        <v>832.41900000000533</v>
      </c>
      <c r="G496" s="160">
        <v>-9.8616315867730009E-2</v>
      </c>
      <c r="I496" s="160"/>
      <c r="K496" s="160"/>
      <c r="L496">
        <v>832.3190000000053</v>
      </c>
      <c r="M496" s="160">
        <v>94.252382003373057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>
      <c r="B497" s="130">
        <v>832.61900000000537</v>
      </c>
      <c r="C497" s="160">
        <v>28.770333931459881</v>
      </c>
      <c r="D497">
        <v>832.61900000000537</v>
      </c>
      <c r="E497" s="160">
        <v>-2239.9642664432863</v>
      </c>
      <c r="F497">
        <v>832.61900000000537</v>
      </c>
      <c r="G497" s="160">
        <v>-0.10993644328618757</v>
      </c>
      <c r="I497" s="160"/>
      <c r="K497" s="160"/>
      <c r="L497">
        <v>832.51900000000535</v>
      </c>
      <c r="M497" s="160">
        <v>93.244722590645011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>
      <c r="B498" s="130">
        <v>832.81900000000542</v>
      </c>
      <c r="C498" s="160">
        <v>28.570503388974387</v>
      </c>
      <c r="D498">
        <v>832.81900000000542</v>
      </c>
      <c r="E498" s="160">
        <v>-2239.9724820295792</v>
      </c>
      <c r="F498">
        <v>832.81900000000542</v>
      </c>
      <c r="G498" s="160">
        <v>-0.11815202957905058</v>
      </c>
      <c r="I498" s="160"/>
      <c r="K498" s="160"/>
      <c r="L498">
        <v>832.71900000000539</v>
      </c>
      <c r="M498" s="160">
        <v>92.354262123802982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>
      <c r="B499" s="130">
        <v>833.01900000000546</v>
      </c>
      <c r="C499" s="160">
        <v>28.370580532815666</v>
      </c>
      <c r="D499">
        <v>833.01900000000546</v>
      </c>
      <c r="E499" s="160">
        <v>-2239.9780138599631</v>
      </c>
      <c r="F499">
        <v>833.01900000000546</v>
      </c>
      <c r="G499" s="160">
        <v>-0.12368385996296638</v>
      </c>
      <c r="I499" s="160"/>
      <c r="K499" s="160"/>
      <c r="L499">
        <v>832.91900000000544</v>
      </c>
      <c r="M499" s="160">
        <v>91.584959765989097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>
      <c r="B500" s="130">
        <v>833.21900000000551</v>
      </c>
      <c r="C500" s="160">
        <v>28.170606709038239</v>
      </c>
      <c r="D500">
        <v>833.21900000000551</v>
      </c>
      <c r="E500" s="160">
        <v>-2239.9812115387786</v>
      </c>
      <c r="F500">
        <v>833.21900000000551</v>
      </c>
      <c r="G500" s="160">
        <v>-0.12688153877843433</v>
      </c>
      <c r="I500" s="160"/>
      <c r="K500" s="160"/>
      <c r="L500">
        <v>833.11900000000549</v>
      </c>
      <c r="M500" s="160">
        <v>90.91610933704419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>
      <c r="B501" s="130">
        <v>833.41900000000555</v>
      </c>
      <c r="C501" s="160">
        <v>27.97061057079485</v>
      </c>
      <c r="D501">
        <v>833.41900000000555</v>
      </c>
      <c r="E501" s="160">
        <v>-2239.9823534135921</v>
      </c>
      <c r="F501">
        <v>833.41900000000555</v>
      </c>
      <c r="G501" s="160">
        <v>-0.12802341359201819</v>
      </c>
      <c r="I501" s="160"/>
      <c r="K501" s="160"/>
      <c r="L501">
        <v>833.31900000000553</v>
      </c>
      <c r="M501" s="160">
        <v>90.32712579968188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>
      <c r="B502" s="130">
        <v>833.6190000000056</v>
      </c>
      <c r="C502" s="160">
        <v>27.770612412655392</v>
      </c>
      <c r="D502">
        <v>833.6190000000056</v>
      </c>
      <c r="E502" s="160">
        <v>-2239.9816476392366</v>
      </c>
      <c r="F502">
        <v>833.6190000000056</v>
      </c>
      <c r="G502" s="160">
        <v>-0.12731763923648032</v>
      </c>
      <c r="I502" s="160"/>
      <c r="K502" s="160"/>
      <c r="L502">
        <v>833.51900000000558</v>
      </c>
      <c r="M502" s="160">
        <v>89.797809517955542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>
      <c r="B503" s="130">
        <v>833.81900000000564</v>
      </c>
      <c r="C503" s="160">
        <v>27.570627248478928</v>
      </c>
      <c r="D503">
        <v>833.81900000000564</v>
      </c>
      <c r="E503" s="160">
        <v>-2239.9792609570741</v>
      </c>
      <c r="F503">
        <v>833.81900000000564</v>
      </c>
      <c r="G503" s="160">
        <v>-0.12493095707395696</v>
      </c>
      <c r="I503" s="160"/>
      <c r="K503" s="160"/>
      <c r="L503">
        <v>833.71900000000562</v>
      </c>
      <c r="M503" s="160">
        <v>89.316247663149966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>
      <c r="B504" s="130">
        <v>834.01900000000569</v>
      </c>
      <c r="C504" s="160">
        <v>27.370666824622678</v>
      </c>
      <c r="D504">
        <v>834.01900000000569</v>
      </c>
      <c r="E504" s="160">
        <v>-2239.9753124624885</v>
      </c>
      <c r="F504">
        <v>834.01900000000569</v>
      </c>
      <c r="G504" s="160">
        <v>-0.1209824624884277</v>
      </c>
      <c r="I504" s="160"/>
      <c r="K504" s="160"/>
      <c r="L504">
        <v>833.91900000000567</v>
      </c>
      <c r="M504" s="160">
        <v>88.868762760180431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>
      <c r="B505" s="130">
        <v>834.21900000000574</v>
      </c>
      <c r="C505" s="160">
        <v>27.17074190157728</v>
      </c>
      <c r="D505">
        <v>834.21900000000574</v>
      </c>
      <c r="E505" s="160">
        <v>-2239.9698548577921</v>
      </c>
      <c r="F505">
        <v>834.21900000000574</v>
      </c>
      <c r="G505" s="160">
        <v>-0.1155248577920247</v>
      </c>
      <c r="I505" s="160"/>
      <c r="K505" s="160"/>
      <c r="L505">
        <v>834.11900000000571</v>
      </c>
      <c r="M505" s="160">
        <v>88.436312633510227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>
      <c r="B506" s="130">
        <v>834.41900000000578</v>
      </c>
      <c r="C506" s="160">
        <v>26.970864249164297</v>
      </c>
      <c r="D506">
        <v>834.41900000000578</v>
      </c>
      <c r="E506" s="160">
        <v>-2239.96287760112</v>
      </c>
      <c r="F506">
        <v>834.41900000000578</v>
      </c>
      <c r="G506" s="160">
        <v>-0.10854760111988071</v>
      </c>
      <c r="I506" s="160"/>
      <c r="K506" s="160"/>
      <c r="L506">
        <v>834.31900000000576</v>
      </c>
      <c r="M506" s="160">
        <v>88.000751480937694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>
      <c r="B507" s="130">
        <v>834.61900000000583</v>
      </c>
      <c r="C507" s="160">
        <v>26.771048396543005</v>
      </c>
      <c r="D507">
        <v>834.61900000000583</v>
      </c>
      <c r="E507" s="160">
        <v>-2239.9543113830355</v>
      </c>
      <c r="F507">
        <v>834.61900000000583</v>
      </c>
      <c r="G507" s="160">
        <v>-9.9981383035355975E-2</v>
      </c>
      <c r="I507" s="160"/>
      <c r="K507" s="160"/>
      <c r="L507">
        <v>834.5190000000058</v>
      </c>
      <c r="M507" s="160">
        <v>87.545200821989724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>
      <c r="B508" s="130">
        <v>834.81900000000587</v>
      </c>
      <c r="C508" s="160">
        <v>26.571313258238575</v>
      </c>
      <c r="D508">
        <v>834.81900000000587</v>
      </c>
      <c r="E508" s="160">
        <v>-2239.9440339343901</v>
      </c>
      <c r="F508">
        <v>834.81900000000587</v>
      </c>
      <c r="G508" s="160">
        <v>-8.9703934389945061E-2</v>
      </c>
      <c r="I508" s="160"/>
      <c r="K508" s="160"/>
      <c r="L508">
        <v>834.71900000000585</v>
      </c>
      <c r="M508" s="160">
        <v>87.05442134137698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>
      <c r="B509" s="130">
        <v>835.01900000000592</v>
      </c>
      <c r="C509" s="160">
        <v>26.371682289623898</v>
      </c>
      <c r="D509">
        <v>835.01900000000592</v>
      </c>
      <c r="E509" s="160">
        <v>-2239.9319003574105</v>
      </c>
      <c r="F509">
        <v>835.01900000000592</v>
      </c>
      <c r="G509" s="160">
        <v>-7.757035741042273E-2</v>
      </c>
      <c r="I509" s="160"/>
      <c r="K509" s="160"/>
      <c r="L509">
        <v>834.91900000000589</v>
      </c>
      <c r="M509" s="160">
        <v>86.521839406463542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>
      <c r="B510" s="130">
        <v>835.21900000000596</v>
      </c>
      <c r="C510" s="160">
        <v>26.172184528224165</v>
      </c>
      <c r="D510">
        <v>835.21900000000596</v>
      </c>
      <c r="E510" s="160">
        <v>-2239.9177445751557</v>
      </c>
      <c r="F510">
        <v>835.21900000000596</v>
      </c>
      <c r="G510" s="160">
        <v>-6.3414575155547936E-2</v>
      </c>
      <c r="I510" s="160"/>
      <c r="K510" s="160"/>
      <c r="L510">
        <v>835.11900000000594</v>
      </c>
      <c r="M510" s="160">
        <v>85.941260418309085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>
      <c r="B511" s="130">
        <v>835.41900000000601</v>
      </c>
      <c r="C511" s="160">
        <v>25.972856839558638</v>
      </c>
      <c r="D511">
        <v>835.41900000000601</v>
      </c>
      <c r="E511" s="160">
        <v>-2239.9013674189387</v>
      </c>
      <c r="F511">
        <v>835.41900000000601</v>
      </c>
      <c r="G511" s="160">
        <v>-4.7037418938543851E-2</v>
      </c>
      <c r="I511" s="160"/>
      <c r="K511" s="160"/>
      <c r="L511">
        <v>835.31900000000599</v>
      </c>
      <c r="M511" s="160">
        <v>85.303015876997634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>
      <c r="B512" s="130">
        <v>835.61900000000605</v>
      </c>
      <c r="C512" s="160">
        <v>25.773744565396019</v>
      </c>
      <c r="D512">
        <v>835.61900000000605</v>
      </c>
      <c r="E512" s="160">
        <v>-2239.8825515398262</v>
      </c>
      <c r="F512">
        <v>835.61900000000605</v>
      </c>
      <c r="G512" s="160">
        <v>-2.8221539826063236E-2</v>
      </c>
      <c r="I512" s="160"/>
      <c r="K512" s="160"/>
      <c r="L512">
        <v>835.51900000000603</v>
      </c>
      <c r="M512" s="160">
        <v>84.601646315882988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>
      <c r="B513" s="130">
        <v>835.8190000000061</v>
      </c>
      <c r="C513" s="160">
        <v>25.574902066166914</v>
      </c>
      <c r="D513">
        <v>835.8190000000061</v>
      </c>
      <c r="E513" s="160">
        <v>-2239.8610714767128</v>
      </c>
      <c r="F513">
        <v>835.8190000000061</v>
      </c>
      <c r="G513" s="160">
        <v>-6.7414767127047526E-3</v>
      </c>
      <c r="I513" s="160"/>
      <c r="K513" s="160"/>
      <c r="L513">
        <v>835.71900000000608</v>
      </c>
      <c r="M513" s="160">
        <v>83.834502591150752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>
      <c r="B514" s="130">
        <v>836.01900000000614</v>
      </c>
      <c r="C514" s="160">
        <v>25.376392381403662</v>
      </c>
      <c r="D514">
        <v>836.01900000000614</v>
      </c>
      <c r="E514" s="160">
        <v>-2239.8367068003113</v>
      </c>
      <c r="F514">
        <v>836.01900000000614</v>
      </c>
      <c r="G514" s="160">
        <v>1.7623199688841851E-2</v>
      </c>
      <c r="I514" s="160"/>
      <c r="K514" s="160"/>
      <c r="L514">
        <v>835.91900000000612</v>
      </c>
      <c r="M514" s="160">
        <v>83.002629639655709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>
      <c r="B515" s="130">
        <v>836.21900000000619</v>
      </c>
      <c r="C515" s="160">
        <v>25.178284573312013</v>
      </c>
      <c r="D515">
        <v>836.21900000000619</v>
      </c>
      <c r="E515" s="160">
        <v>-2239.8092654083207</v>
      </c>
      <c r="F515">
        <v>836.21900000000619</v>
      </c>
      <c r="G515" s="160">
        <v>4.5064591679420118E-2</v>
      </c>
      <c r="I515" s="160"/>
      <c r="K515" s="160"/>
      <c r="L515">
        <v>836.11900000000617</v>
      </c>
      <c r="M515" s="160">
        <v>82.113716454445466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>
      <c r="B516" s="130">
        <v>836.41900000000624</v>
      </c>
      <c r="C516" s="160">
        <v>24.980648136113246</v>
      </c>
      <c r="D516">
        <v>836.41900000000624</v>
      </c>
      <c r="E516" s="160">
        <v>-2239.7786129286173</v>
      </c>
      <c r="F516">
        <v>836.41900000000624</v>
      </c>
      <c r="G516" s="160">
        <v>7.5717071382769063E-2</v>
      </c>
      <c r="I516" s="160"/>
      <c r="K516" s="160"/>
      <c r="L516">
        <v>836.31900000000621</v>
      </c>
      <c r="M516" s="160">
        <v>81.183935705725219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>
      <c r="B517" s="130">
        <v>836.61900000000628</v>
      </c>
      <c r="C517" s="160">
        <v>24.783553947528937</v>
      </c>
      <c r="D517">
        <v>836.61900000000628</v>
      </c>
      <c r="E517" s="160">
        <v>-2239.7446479478558</v>
      </c>
      <c r="F517">
        <v>836.61900000000628</v>
      </c>
      <c r="G517" s="160">
        <v>0.10968205214430782</v>
      </c>
      <c r="I517" s="160"/>
      <c r="K517" s="160"/>
      <c r="L517">
        <v>836.51900000000626</v>
      </c>
      <c r="M517" s="160">
        <v>80.222329044589955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>
      <c r="B518" s="130">
        <v>836.81900000000633</v>
      </c>
      <c r="C518" s="160">
        <v>24.587072836721894</v>
      </c>
      <c r="D518">
        <v>836.81900000000633</v>
      </c>
      <c r="E518" s="160">
        <v>-2239.7072993655734</v>
      </c>
      <c r="F518">
        <v>836.81900000000633</v>
      </c>
      <c r="G518" s="160">
        <v>0.14703063442675557</v>
      </c>
      <c r="I518" s="160"/>
      <c r="K518" s="160"/>
      <c r="L518">
        <v>836.7190000000063</v>
      </c>
      <c r="M518" s="160">
        <v>79.237200158869712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>
      <c r="B519" s="130">
        <v>837.01900000000637</v>
      </c>
      <c r="C519" s="160">
        <v>24.39127409505398</v>
      </c>
      <c r="D519">
        <v>837.01900000000637</v>
      </c>
      <c r="E519" s="160">
        <v>-2239.6665243504435</v>
      </c>
      <c r="F519">
        <v>837.01900000000637</v>
      </c>
      <c r="G519" s="160">
        <v>0.18780564955659429</v>
      </c>
      <c r="I519" s="160"/>
      <c r="K519" s="160"/>
      <c r="L519">
        <v>836.91900000000635</v>
      </c>
      <c r="M519" s="160">
        <v>78.236307603748045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>
      <c r="B520" s="130">
        <v>837.21900000000642</v>
      </c>
      <c r="C520" s="160">
        <v>24.196223682467298</v>
      </c>
      <c r="D520">
        <v>837.21900000000642</v>
      </c>
      <c r="E520" s="160">
        <v>-2239.6223079230576</v>
      </c>
      <c r="F520">
        <v>837.21900000000642</v>
      </c>
      <c r="G520" s="160">
        <v>0.232022076942485</v>
      </c>
      <c r="I520" s="160"/>
      <c r="K520" s="160"/>
      <c r="L520">
        <v>837.11900000000639</v>
      </c>
      <c r="M520" s="160">
        <v>77.227360324281932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>
      <c r="B521" s="130">
        <v>837.41900000000646</v>
      </c>
      <c r="C521" s="160">
        <v>24.001980872227943</v>
      </c>
      <c r="D521">
        <v>837.41900000000646</v>
      </c>
      <c r="E521" s="160">
        <v>-2239.574668710372</v>
      </c>
      <c r="F521">
        <v>837.41900000000646</v>
      </c>
      <c r="G521" s="160">
        <v>0.27966128962816583</v>
      </c>
      <c r="I521" s="160"/>
      <c r="K521" s="160"/>
      <c r="L521">
        <v>837.31900000000644</v>
      </c>
      <c r="M521" s="160">
        <v>76.219863540111518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>
      <c r="B522" s="130">
        <v>837.61900000000651</v>
      </c>
      <c r="C522" s="160">
        <v>23.80859606463379</v>
      </c>
      <c r="D522">
        <v>837.61900000000651</v>
      </c>
      <c r="E522" s="160">
        <v>-2239.523658031997</v>
      </c>
      <c r="F522">
        <v>837.61900000000651</v>
      </c>
      <c r="G522" s="160">
        <v>0.33067196800311649</v>
      </c>
      <c r="I522" s="160"/>
      <c r="K522" s="160"/>
      <c r="L522">
        <v>837.51900000000649</v>
      </c>
      <c r="M522" s="160">
        <v>75.223208245536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>
      <c r="B523" s="130">
        <v>837.81900000000655</v>
      </c>
      <c r="C523" s="160">
        <v>23.616111171278416</v>
      </c>
      <c r="D523">
        <v>837.81900000000655</v>
      </c>
      <c r="E523" s="160">
        <v>-2239.4693501201027</v>
      </c>
      <c r="F523">
        <v>837.81900000000655</v>
      </c>
      <c r="G523" s="160">
        <v>0.38497987989740068</v>
      </c>
      <c r="I523" s="160"/>
      <c r="K523" s="160"/>
      <c r="L523">
        <v>837.71900000000653</v>
      </c>
      <c r="M523" s="160">
        <v>74.244056079941302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>
      <c r="B524" s="130">
        <v>838.0190000000066</v>
      </c>
      <c r="C524" s="160">
        <v>23.424556787487507</v>
      </c>
      <c r="D524">
        <v>838.0190000000066</v>
      </c>
      <c r="E524" s="160">
        <v>-2239.411846094617</v>
      </c>
      <c r="F524">
        <v>838.0190000000066</v>
      </c>
      <c r="G524" s="160">
        <v>0.44248390538314197</v>
      </c>
      <c r="I524" s="160"/>
      <c r="K524" s="160"/>
      <c r="L524">
        <v>837.91900000000658</v>
      </c>
      <c r="M524" s="160">
        <v>73.290408132243925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>
      <c r="B525" s="130">
        <v>838.21900000000664</v>
      </c>
      <c r="C525" s="160">
        <v>23.233950624766468</v>
      </c>
      <c r="D525">
        <v>838.21900000000664</v>
      </c>
      <c r="E525" s="160">
        <v>-2239.3512730142465</v>
      </c>
      <c r="F525">
        <v>838.21900000000664</v>
      </c>
      <c r="G525" s="160">
        <v>0.50305698575357383</v>
      </c>
      <c r="I525" s="160"/>
      <c r="K525" s="160"/>
      <c r="L525">
        <v>838.11900000000662</v>
      </c>
      <c r="M525" s="160">
        <v>72.370168784596515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>
      <c r="B526" s="130">
        <v>838.41900000000669</v>
      </c>
      <c r="C526" s="160">
        <v>23.04429321574565</v>
      </c>
      <c r="D526">
        <v>838.41900000000669</v>
      </c>
      <c r="E526" s="160">
        <v>-2239.2877916164398</v>
      </c>
      <c r="F526">
        <v>838.41900000000669</v>
      </c>
      <c r="G526" s="160">
        <v>0.56653838356032793</v>
      </c>
      <c r="I526" s="160"/>
      <c r="K526" s="160"/>
      <c r="L526">
        <v>838.31900000000667</v>
      </c>
      <c r="M526" s="160">
        <v>71.493774168855396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>
      <c r="B527" s="130">
        <v>838.61900000000674</v>
      </c>
      <c r="C527" s="160">
        <v>22.855562281845234</v>
      </c>
      <c r="D527">
        <v>838.61900000000674</v>
      </c>
      <c r="E527" s="160">
        <v>-2239.2216065023126</v>
      </c>
      <c r="F527">
        <v>838.61900000000674</v>
      </c>
      <c r="G527" s="160">
        <v>0.63272349768749336</v>
      </c>
      <c r="I527" s="160"/>
      <c r="K527" s="160"/>
      <c r="L527">
        <v>838.51900000000671</v>
      </c>
      <c r="M527" s="160">
        <v>70.674995012390212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>
      <c r="B528" s="130">
        <v>838.81900000000678</v>
      </c>
      <c r="C528" s="160">
        <v>22.667717925010262</v>
      </c>
      <c r="D528">
        <v>838.81900000000678</v>
      </c>
      <c r="E528" s="160">
        <v>-2239.1529453995877</v>
      </c>
      <c r="F528">
        <v>838.81900000000678</v>
      </c>
      <c r="G528" s="160">
        <v>0.70138460041243889</v>
      </c>
      <c r="I528" s="160"/>
      <c r="K528" s="160"/>
      <c r="L528">
        <v>838.71900000000676</v>
      </c>
      <c r="M528" s="160">
        <v>69.921568289037026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>
      <c r="B529" s="130">
        <v>839.01900000000683</v>
      </c>
      <c r="C529" s="160">
        <v>22.480703375153592</v>
      </c>
      <c r="D529">
        <v>839.01900000000683</v>
      </c>
      <c r="E529" s="160">
        <v>-2239.0820551838556</v>
      </c>
      <c r="F529">
        <v>839.01900000000683</v>
      </c>
      <c r="G529" s="160">
        <v>0.77227481614454518</v>
      </c>
      <c r="I529" s="160"/>
      <c r="K529" s="160"/>
      <c r="L529">
        <v>838.9190000000068</v>
      </c>
      <c r="M529" s="160">
        <v>69.240157208951032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>
      <c r="B530" s="130">
        <v>839.21900000000687</v>
      </c>
      <c r="C530" s="160">
        <v>22.294447598727743</v>
      </c>
      <c r="D530">
        <v>839.21900000000687</v>
      </c>
      <c r="E530" s="160">
        <v>-2239.0091945929848</v>
      </c>
      <c r="F530">
        <v>839.21900000000687</v>
      </c>
      <c r="G530" s="160">
        <v>0.84513540701527745</v>
      </c>
      <c r="I530" s="160"/>
      <c r="K530" s="160"/>
      <c r="L530">
        <v>839.11900000000685</v>
      </c>
      <c r="M530" s="160">
        <v>68.635274743032539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>
      <c r="B531" s="130">
        <v>839.41900000000692</v>
      </c>
      <c r="C531" s="160">
        <v>22.108866858427312</v>
      </c>
      <c r="D531">
        <v>839.41900000000692</v>
      </c>
      <c r="E531" s="160">
        <v>-2238.9346313022693</v>
      </c>
      <c r="F531">
        <v>839.41900000000692</v>
      </c>
      <c r="G531" s="160">
        <v>0.91969869773083701</v>
      </c>
      <c r="I531" s="160"/>
      <c r="K531" s="160"/>
      <c r="L531">
        <v>839.31900000000689</v>
      </c>
      <c r="M531" s="160">
        <v>68.110549449568083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>
      <c r="B532" s="130">
        <v>839.61900000000696</v>
      </c>
      <c r="C532" s="160">
        <v>21.923842011802172</v>
      </c>
      <c r="D532">
        <v>839.61900000000696</v>
      </c>
      <c r="E532" s="160">
        <v>-2238.8586989837077</v>
      </c>
      <c r="F532">
        <v>839.61900000000696</v>
      </c>
      <c r="G532" s="160">
        <v>0.99563101629246376</v>
      </c>
      <c r="I532" s="160"/>
      <c r="K532" s="160"/>
      <c r="L532">
        <v>839.51900000000694</v>
      </c>
      <c r="M532" s="160">
        <v>67.687251286581201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>
      <c r="B533" s="130">
        <v>839.81900000000701</v>
      </c>
      <c r="C533" s="160">
        <v>21.739252276959743</v>
      </c>
      <c r="D533">
        <v>839.81900000000701</v>
      </c>
      <c r="E533" s="160">
        <v>-2238.7817148571439</v>
      </c>
      <c r="F533">
        <v>839.81900000000701</v>
      </c>
      <c r="G533" s="160">
        <v>1.0726151428561934</v>
      </c>
      <c r="I533" s="160"/>
      <c r="K533" s="160"/>
      <c r="L533">
        <v>839.71900000000699</v>
      </c>
      <c r="M533" s="160">
        <v>67.361164741868919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>
      <c r="B534" s="130">
        <v>840.01900000000705</v>
      </c>
      <c r="C534" s="160">
        <v>21.554958217709558</v>
      </c>
      <c r="D534">
        <v>840.01900000000705</v>
      </c>
      <c r="E534" s="160">
        <v>-2238.7040254742074</v>
      </c>
      <c r="F534">
        <v>840.01900000000705</v>
      </c>
      <c r="G534" s="160">
        <v>1.1503045257927624</v>
      </c>
      <c r="I534" s="160"/>
      <c r="K534" s="160"/>
      <c r="L534">
        <v>839.91900000000703</v>
      </c>
      <c r="M534" s="160">
        <v>67.14208567424825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>
      <c r="B535" s="130">
        <v>840.2190000000071</v>
      </c>
      <c r="C535" s="160">
        <v>21.370793963446364</v>
      </c>
      <c r="D535">
        <v>840.2190000000071</v>
      </c>
      <c r="E535" s="160">
        <v>-2238.6260287971263</v>
      </c>
      <c r="F535">
        <v>840.2190000000071</v>
      </c>
      <c r="G535" s="160">
        <v>1.2283012028738085</v>
      </c>
      <c r="I535" s="160"/>
      <c r="K535" s="160"/>
      <c r="L535">
        <v>840.11900000000708</v>
      </c>
      <c r="M535" s="160">
        <v>67.046520506097494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>
      <c r="B536" s="130">
        <v>840.41900000000714</v>
      </c>
      <c r="C536" s="160">
        <v>21.186665430980305</v>
      </c>
      <c r="D536">
        <v>840.41900000000714</v>
      </c>
      <c r="E536" s="160">
        <v>-2238.5479477439958</v>
      </c>
      <c r="F536">
        <v>840.41900000000714</v>
      </c>
      <c r="G536" s="160">
        <v>1.3063822560043263</v>
      </c>
      <c r="I536" s="160"/>
      <c r="K536" s="160"/>
      <c r="L536">
        <v>840.31900000000712</v>
      </c>
      <c r="M536" s="160">
        <v>67.020271515679113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>
      <c r="B537" s="130">
        <v>840.61900000000719</v>
      </c>
      <c r="C537" s="160">
        <v>21.002545893405905</v>
      </c>
      <c r="D537">
        <v>840.61900000000719</v>
      </c>
      <c r="E537" s="160">
        <v>-2238.4698453996939</v>
      </c>
      <c r="F537">
        <v>840.61900000000719</v>
      </c>
      <c r="G537" s="160">
        <v>1.384484600306223</v>
      </c>
      <c r="I537" s="160"/>
      <c r="K537" s="160"/>
      <c r="L537">
        <v>840.51900000000717</v>
      </c>
      <c r="M537" s="160">
        <v>67.01365006332972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>
      <c r="B538" s="130">
        <v>840.81900000000724</v>
      </c>
      <c r="C538" s="160">
        <v>20.818407082729134</v>
      </c>
      <c r="D538">
        <v>840.81900000000724</v>
      </c>
      <c r="E538" s="160">
        <v>-2238.391788423889</v>
      </c>
      <c r="F538">
        <v>840.81900000000724</v>
      </c>
      <c r="G538" s="160">
        <v>1.4625415761111071</v>
      </c>
      <c r="I538" s="160"/>
      <c r="K538" s="160"/>
      <c r="L538">
        <v>840.71900000000721</v>
      </c>
      <c r="M538" s="160">
        <v>67.027771330903676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>
      <c r="B539" s="130">
        <v>841.01900000000728</v>
      </c>
      <c r="C539" s="160">
        <v>20.634207664163476</v>
      </c>
      <c r="D539">
        <v>841.01900000000728</v>
      </c>
      <c r="E539" s="160">
        <v>-2238.3138744990201</v>
      </c>
      <c r="F539">
        <v>841.01900000000728</v>
      </c>
      <c r="G539" s="160">
        <v>1.5404555009799878</v>
      </c>
      <c r="I539" s="160"/>
      <c r="K539" s="160"/>
      <c r="L539">
        <v>840.91900000000726</v>
      </c>
      <c r="M539" s="160">
        <v>67.072278837707856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>
      <c r="B540" s="130">
        <v>841.21900000000733</v>
      </c>
      <c r="C540" s="160">
        <v>20.449740639212308</v>
      </c>
      <c r="D540">
        <v>841.21900000000733</v>
      </c>
      <c r="E540" s="160">
        <v>-2238.2365962174122</v>
      </c>
      <c r="F540">
        <v>841.21900000000733</v>
      </c>
      <c r="G540" s="160">
        <v>1.6177337825879476</v>
      </c>
      <c r="I540" s="160"/>
      <c r="K540" s="160"/>
      <c r="L540">
        <v>841.1190000000073</v>
      </c>
      <c r="M540" s="160">
        <v>67.269857058094587</v>
      </c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>
      <c r="B541" s="130">
        <v>841.41900000000737</v>
      </c>
      <c r="C541" s="160">
        <v>20.264796675007027</v>
      </c>
      <c r="D541">
        <v>841.41900000000737</v>
      </c>
      <c r="E541" s="160">
        <v>-2238.1604663631888</v>
      </c>
      <c r="F541">
        <v>841.41900000000737</v>
      </c>
      <c r="G541" s="160">
        <v>1.6938636368113293</v>
      </c>
      <c r="I541" s="160"/>
      <c r="K541" s="160"/>
      <c r="L541">
        <v>841.31900000000735</v>
      </c>
      <c r="M541" s="160">
        <v>67.626101452415824</v>
      </c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>
      <c r="B542" s="130">
        <v>841.61900000000742</v>
      </c>
      <c r="C542" s="160">
        <v>20.079157453471204</v>
      </c>
      <c r="D542">
        <v>841.61900000000742</v>
      </c>
      <c r="E542" s="160">
        <v>-2238.0860478844838</v>
      </c>
      <c r="F542">
        <v>841.61900000000742</v>
      </c>
      <c r="G542" s="160">
        <v>1.7682821155162856</v>
      </c>
      <c r="I542" s="160"/>
      <c r="K542" s="160"/>
      <c r="L542">
        <v>841.5190000000074</v>
      </c>
      <c r="M542" s="160">
        <v>68.155290156091269</v>
      </c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>
      <c r="B543" s="130">
        <v>841.81900000000746</v>
      </c>
      <c r="C543" s="160">
        <v>19.892623613859058</v>
      </c>
      <c r="D543">
        <v>841.81900000000746</v>
      </c>
      <c r="E543" s="160">
        <v>-2238.0139010871148</v>
      </c>
      <c r="F543">
        <v>841.81900000000746</v>
      </c>
      <c r="G543" s="160">
        <v>1.8404289128852724</v>
      </c>
      <c r="I543" s="160"/>
      <c r="K543" s="160"/>
      <c r="L543">
        <v>841.71900000000744</v>
      </c>
      <c r="M543" s="160">
        <v>68.854729826851781</v>
      </c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>
      <c r="B544" s="130">
        <v>842.01900000000751</v>
      </c>
      <c r="C544" s="160">
        <v>19.704986797004231</v>
      </c>
      <c r="D544">
        <v>842.01900000000751</v>
      </c>
      <c r="E544" s="160">
        <v>-2237.9446735031297</v>
      </c>
      <c r="F544">
        <v>842.01900000000751</v>
      </c>
      <c r="G544" s="160">
        <v>1.9096564968704115</v>
      </c>
      <c r="I544" s="160"/>
      <c r="K544" s="160"/>
      <c r="L544">
        <v>841.91900000000749</v>
      </c>
      <c r="M544" s="160">
        <v>69.74873472278297</v>
      </c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>
      <c r="B545" s="130">
        <v>842.21900000000755</v>
      </c>
      <c r="C545" s="160">
        <v>19.5160778185566</v>
      </c>
      <c r="D545">
        <v>842.21900000000755</v>
      </c>
      <c r="E545" s="160">
        <v>-2237.878996814778</v>
      </c>
      <c r="F545">
        <v>842.21900000000755</v>
      </c>
      <c r="G545" s="160">
        <v>1.9753331852220981</v>
      </c>
      <c r="I545" s="160"/>
      <c r="K545" s="160"/>
      <c r="L545">
        <v>842.11900000000753</v>
      </c>
      <c r="M545" s="160">
        <v>70.829321027155558</v>
      </c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>
      <c r="B546" s="130">
        <v>842.4190000000076</v>
      </c>
      <c r="C546" s="160">
        <v>19.325744480174457</v>
      </c>
      <c r="D546">
        <v>842.4190000000076</v>
      </c>
      <c r="E546" s="160">
        <v>-2237.8175700962734</v>
      </c>
      <c r="F546">
        <v>842.4190000000076</v>
      </c>
      <c r="G546" s="160">
        <v>2.036759903726761</v>
      </c>
      <c r="I546" s="160"/>
      <c r="K546" s="160"/>
      <c r="L546">
        <v>842.31900000000758</v>
      </c>
      <c r="M546" s="160">
        <v>72.113432866541643</v>
      </c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>
      <c r="B547" s="130">
        <v>842.61900000000765</v>
      </c>
      <c r="C547" s="160">
        <v>19.133873598204648</v>
      </c>
      <c r="D547">
        <v>842.61900000000765</v>
      </c>
      <c r="E547" s="160">
        <v>-2237.7611292124602</v>
      </c>
      <c r="F547">
        <v>842.61900000000765</v>
      </c>
      <c r="G547" s="160">
        <v>2.0932007875398995</v>
      </c>
      <c r="I547" s="160"/>
      <c r="K547" s="160"/>
      <c r="L547">
        <v>842.51900000000762</v>
      </c>
      <c r="M547" s="160">
        <v>73.608186352431815</v>
      </c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>
      <c r="B548" s="130">
        <v>842.81900000000769</v>
      </c>
      <c r="C548" s="160">
        <v>18.940408661466698</v>
      </c>
      <c r="D548">
        <v>842.81900000000769</v>
      </c>
      <c r="E548" s="160">
        <v>-2237.7104211338078</v>
      </c>
      <c r="F548">
        <v>842.81900000000769</v>
      </c>
      <c r="G548" s="160">
        <v>2.1439088661923051</v>
      </c>
      <c r="I548" s="160"/>
      <c r="K548" s="160"/>
      <c r="L548">
        <v>842.71900000000767</v>
      </c>
      <c r="M548" s="160">
        <v>75.312884507479353</v>
      </c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>
      <c r="B549" s="130">
        <v>843.01900000000774</v>
      </c>
      <c r="C549" s="160">
        <v>18.745340900049744</v>
      </c>
      <c r="D549">
        <v>843.01900000000774</v>
      </c>
      <c r="E549" s="160">
        <v>-2237.6662789089123</v>
      </c>
      <c r="F549">
        <v>843.01900000000774</v>
      </c>
      <c r="G549" s="160">
        <v>2.1880510910878002</v>
      </c>
      <c r="I549" s="160"/>
      <c r="K549" s="160"/>
      <c r="L549">
        <v>842.91900000000771</v>
      </c>
      <c r="M549" s="160">
        <v>77.249190564469345</v>
      </c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>
      <c r="B550" s="130">
        <v>843.21900000000778</v>
      </c>
      <c r="C550" s="160">
        <v>18.548745273011754</v>
      </c>
      <c r="D550">
        <v>843.21900000000778</v>
      </c>
      <c r="E550" s="160">
        <v>-2237.6295352352026</v>
      </c>
      <c r="F550">
        <v>843.21900000000778</v>
      </c>
      <c r="G550" s="160">
        <v>2.2247947647974797</v>
      </c>
      <c r="I550" s="160"/>
      <c r="K550" s="160"/>
      <c r="L550">
        <v>843.11900000000776</v>
      </c>
      <c r="M550" s="160">
        <v>79.413572054774377</v>
      </c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>
      <c r="B551" s="130">
        <v>843.41900000000783</v>
      </c>
      <c r="C551" s="160">
        <v>18.35078364991945</v>
      </c>
      <c r="D551">
        <v>843.41900000000783</v>
      </c>
      <c r="E551" s="160">
        <v>-2237.6010603268701</v>
      </c>
      <c r="F551">
        <v>843.41900000000783</v>
      </c>
      <c r="G551" s="160">
        <v>2.2532696731300348</v>
      </c>
      <c r="I551" s="160"/>
      <c r="K551" s="160"/>
      <c r="L551">
        <v>843.3190000000078</v>
      </c>
      <c r="M551" s="160">
        <v>81.814687203715621</v>
      </c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>
      <c r="B552" s="130">
        <v>843.61900000000787</v>
      </c>
      <c r="C552" s="160">
        <v>18.151883909139439</v>
      </c>
      <c r="D552">
        <v>843.61900000000787</v>
      </c>
      <c r="E552" s="160">
        <v>-2237.5801185808637</v>
      </c>
      <c r="F552">
        <v>843.61900000000787</v>
      </c>
      <c r="G552" s="160">
        <v>2.2742114191364635</v>
      </c>
      <c r="I552" s="160"/>
      <c r="K552" s="160"/>
      <c r="L552">
        <v>843.51900000000785</v>
      </c>
      <c r="M552" s="160">
        <v>83.989589117487824</v>
      </c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>
      <c r="B553" s="130">
        <v>843.81900000000792</v>
      </c>
      <c r="C553" s="160">
        <v>17.952385506517551</v>
      </c>
      <c r="D553">
        <v>843.81900000000792</v>
      </c>
      <c r="E553" s="160">
        <v>-2237.5659734572705</v>
      </c>
      <c r="F553">
        <v>843.81900000000792</v>
      </c>
      <c r="G553" s="160">
        <v>2.2883565427296162</v>
      </c>
      <c r="I553" s="160"/>
      <c r="K553" s="160"/>
      <c r="L553">
        <v>843.7190000000079</v>
      </c>
      <c r="M553" s="160">
        <v>85.944319255341242</v>
      </c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>
      <c r="B554" s="130">
        <v>844.01900000000796</v>
      </c>
      <c r="C554" s="160">
        <v>17.752550987488487</v>
      </c>
      <c r="D554">
        <v>844.01900000000796</v>
      </c>
      <c r="E554" s="160">
        <v>-2237.5578561643269</v>
      </c>
      <c r="F554">
        <v>844.01900000000796</v>
      </c>
      <c r="G554" s="160">
        <v>2.2964738356731687</v>
      </c>
      <c r="I554" s="160"/>
      <c r="K554" s="160"/>
      <c r="L554">
        <v>843.91900000000794</v>
      </c>
      <c r="M554" s="160">
        <v>87.673919972504223</v>
      </c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>
      <c r="B555" s="130">
        <v>844.21900000000801</v>
      </c>
      <c r="C555" s="160">
        <v>17.552571330245556</v>
      </c>
      <c r="D555">
        <v>844.21900000000801</v>
      </c>
      <c r="E555" s="160">
        <v>-2237.5550480307888</v>
      </c>
      <c r="F555">
        <v>844.21900000000801</v>
      </c>
      <c r="G555" s="160">
        <v>2.2992819692112789</v>
      </c>
      <c r="I555" s="160"/>
      <c r="K555" s="160"/>
      <c r="L555">
        <v>844.11900000000799</v>
      </c>
      <c r="M555" s="160">
        <v>89.195500040115149</v>
      </c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>
      <c r="B556" s="130">
        <v>844.41834482759418</v>
      </c>
      <c r="C556" s="160">
        <v>17.353234894863487</v>
      </c>
      <c r="D556">
        <v>844.41834482759418</v>
      </c>
      <c r="E556" s="160">
        <v>-2237.5568129435155</v>
      </c>
      <c r="F556">
        <v>844.41834482759418</v>
      </c>
      <c r="G556" s="160">
        <v>2.2975170564845939</v>
      </c>
      <c r="I556" s="160"/>
      <c r="K556" s="160"/>
      <c r="L556">
        <v>844.3186724138011</v>
      </c>
      <c r="M556" s="160">
        <v>90.50728010653765</v>
      </c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>
      <c r="B557" s="130">
        <v>844.61768965518036</v>
      </c>
      <c r="C557" s="160">
        <v>17.153970712277431</v>
      </c>
      <c r="D557">
        <v>844.61768965518036</v>
      </c>
      <c r="E557" s="160">
        <v>-2237.5624633656225</v>
      </c>
      <c r="F557">
        <v>844.61768965518036</v>
      </c>
      <c r="G557" s="160">
        <v>2.291866634377584</v>
      </c>
      <c r="I557" s="160"/>
      <c r="K557" s="160"/>
      <c r="L557">
        <v>844.51801724138727</v>
      </c>
      <c r="M557" s="160">
        <v>91.624268865819573</v>
      </c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>
      <c r="B558" s="130">
        <v>844.81703448276653</v>
      </c>
      <c r="C558" s="160">
        <v>16.954827292993922</v>
      </c>
      <c r="D558">
        <v>844.81703448276653</v>
      </c>
      <c r="E558" s="160">
        <v>-2237.5714102757379</v>
      </c>
      <c r="F558">
        <v>844.81703448276653</v>
      </c>
      <c r="G558" s="160">
        <v>2.2829197242622286</v>
      </c>
      <c r="I558" s="160"/>
      <c r="K558" s="160"/>
      <c r="L558">
        <v>844.71736206897344</v>
      </c>
      <c r="M558" s="160">
        <v>92.57239587333062</v>
      </c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>
      <c r="B559" s="130">
        <v>845.0163793103527</v>
      </c>
      <c r="C559" s="160">
        <v>16.75582895001974</v>
      </c>
      <c r="D559">
        <v>845.0163793103527</v>
      </c>
      <c r="E559" s="160">
        <v>-2237.5831495540897</v>
      </c>
      <c r="F559">
        <v>845.0163793103527</v>
      </c>
      <c r="G559" s="160">
        <v>2.2711804459104314</v>
      </c>
      <c r="I559" s="160"/>
      <c r="K559" s="160"/>
      <c r="L559">
        <v>844.91670689655962</v>
      </c>
      <c r="M559" s="160">
        <v>93.376070785061202</v>
      </c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>
      <c r="B560" s="130">
        <v>845.21572413793888</v>
      </c>
      <c r="C560" s="160">
        <v>16.556983536736432</v>
      </c>
      <c r="D560">
        <v>845.21572413793888</v>
      </c>
      <c r="E560" s="160">
        <v>-2237.5972439411835</v>
      </c>
      <c r="F560">
        <v>845.21572413793888</v>
      </c>
      <c r="G560" s="160">
        <v>2.2570860588166397</v>
      </c>
      <c r="I560" s="160"/>
      <c r="K560" s="160"/>
      <c r="L560">
        <v>845.11605172414579</v>
      </c>
      <c r="M560" s="160">
        <v>94.054408562306449</v>
      </c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>
      <c r="B561" s="130">
        <v>845.41506896552505</v>
      </c>
      <c r="C561" s="160">
        <v>16.358291786872446</v>
      </c>
      <c r="D561">
        <v>845.41506896552505</v>
      </c>
      <c r="E561" s="160">
        <v>-2237.6133602331183</v>
      </c>
      <c r="F561">
        <v>845.41506896552505</v>
      </c>
      <c r="G561" s="160">
        <v>2.2409697668817898</v>
      </c>
      <c r="I561" s="160"/>
      <c r="K561" s="160"/>
      <c r="L561">
        <v>845.31539655173196</v>
      </c>
      <c r="M561" s="160">
        <v>94.637225301011398</v>
      </c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>
      <c r="B562" s="130">
        <v>845.61441379311123</v>
      </c>
      <c r="C562" s="160">
        <v>16.159752811330836</v>
      </c>
      <c r="D562">
        <v>845.61441379311123</v>
      </c>
      <c r="E562" s="160">
        <v>-2237.6312603874017</v>
      </c>
      <c r="F562">
        <v>845.61441379311123</v>
      </c>
      <c r="G562" s="160">
        <v>2.223069612598465</v>
      </c>
      <c r="I562" s="160"/>
      <c r="K562" s="160"/>
      <c r="L562">
        <v>845.51474137931814</v>
      </c>
      <c r="M562" s="160">
        <v>95.151823813859906</v>
      </c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>
      <c r="B563" s="130">
        <v>845.8137586206974</v>
      </c>
      <c r="C563" s="160">
        <v>15.961363843771878</v>
      </c>
      <c r="D563">
        <v>845.8137586206974</v>
      </c>
      <c r="E563" s="160">
        <v>-2237.6507526950404</v>
      </c>
      <c r="F563">
        <v>845.8137586206974</v>
      </c>
      <c r="G563" s="160">
        <v>2.2035773049597083</v>
      </c>
      <c r="I563" s="160"/>
      <c r="K563" s="160"/>
      <c r="L563">
        <v>845.71408620690431</v>
      </c>
      <c r="M563" s="160">
        <v>95.611470384115805</v>
      </c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>
      <c r="B564" s="130">
        <v>846.01310344828357</v>
      </c>
      <c r="C564" s="160">
        <v>15.763126142279093</v>
      </c>
      <c r="D564">
        <v>846.01310344828357</v>
      </c>
      <c r="E564" s="160">
        <v>-2237.6717273664271</v>
      </c>
      <c r="F564">
        <v>846.01310344828357</v>
      </c>
      <c r="G564" s="160">
        <v>2.1826026335729694</v>
      </c>
      <c r="I564" s="160"/>
      <c r="K564" s="160"/>
      <c r="L564">
        <v>845.91343103449049</v>
      </c>
      <c r="M564" s="160">
        <v>96.039746818145247</v>
      </c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>
      <c r="B565" s="130">
        <v>846.21244827586975</v>
      </c>
      <c r="C565" s="160">
        <v>15.56504883712614</v>
      </c>
      <c r="D565">
        <v>846.21244827586975</v>
      </c>
      <c r="E565" s="160">
        <v>-2237.6941660276657</v>
      </c>
      <c r="F565">
        <v>846.21244827586975</v>
      </c>
      <c r="G565" s="160">
        <v>2.1601639723344306</v>
      </c>
      <c r="I565" s="160"/>
      <c r="K565" s="160"/>
      <c r="L565">
        <v>846.11277586207666</v>
      </c>
      <c r="M565" s="160">
        <v>96.463047605628333</v>
      </c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>
      <c r="B566" s="130">
        <v>846.41179310345592</v>
      </c>
      <c r="C566" s="160">
        <v>15.367151063166178</v>
      </c>
      <c r="D566">
        <v>846.41179310345592</v>
      </c>
      <c r="E566" s="160">
        <v>-2237.7181413838007</v>
      </c>
      <c r="F566">
        <v>846.41179310345592</v>
      </c>
      <c r="G566" s="160">
        <v>2.1361886161994335</v>
      </c>
      <c r="I566" s="160"/>
      <c r="K566" s="160"/>
      <c r="L566">
        <v>846.31212068966283</v>
      </c>
      <c r="M566" s="160">
        <v>96.907730994127277</v>
      </c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>
      <c r="B567" s="130">
        <v>846.61113793104209</v>
      </c>
      <c r="C567" s="160">
        <v>15.169265061336189</v>
      </c>
      <c r="D567">
        <v>846.61113793104209</v>
      </c>
      <c r="E567" s="160">
        <v>-2237.7422134858748</v>
      </c>
      <c r="F567">
        <v>846.61113793104209</v>
      </c>
      <c r="G567" s="160">
        <v>2.1121165141253186</v>
      </c>
      <c r="I567" s="160"/>
      <c r="K567" s="160"/>
      <c r="L567">
        <v>846.51146551724901</v>
      </c>
      <c r="M567" s="160">
        <v>96.935742861436523</v>
      </c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>
      <c r="B568" s="130">
        <v>846.81048275862827</v>
      </c>
      <c r="C568" s="160">
        <v>14.971358255465537</v>
      </c>
      <c r="D568">
        <v>846.81048275862827</v>
      </c>
      <c r="E568" s="160">
        <v>-2237.7661136704796</v>
      </c>
      <c r="F568">
        <v>846.81048275862827</v>
      </c>
      <c r="G568" s="160">
        <v>2.0882163295204919</v>
      </c>
      <c r="I568" s="160"/>
      <c r="K568" s="160"/>
      <c r="L568">
        <v>846.71081034483518</v>
      </c>
      <c r="M568" s="160">
        <v>96.885969764912474</v>
      </c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>
      <c r="B569" s="130">
        <v>847.00982758621444</v>
      </c>
      <c r="C569" s="160">
        <v>14.773267120496264</v>
      </c>
      <c r="D569">
        <v>847.00982758621444</v>
      </c>
      <c r="E569" s="160">
        <v>-2237.788434079735</v>
      </c>
      <c r="F569">
        <v>847.00982758621444</v>
      </c>
      <c r="G569" s="160">
        <v>2.0658959202651204</v>
      </c>
      <c r="I569" s="160"/>
      <c r="K569" s="160"/>
      <c r="L569">
        <v>846.91015517242136</v>
      </c>
      <c r="M569" s="160">
        <v>96.428828112284037</v>
      </c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>
      <c r="B570" s="130">
        <v>847.20917241380062</v>
      </c>
      <c r="C570" s="160">
        <v>14.574867628416827</v>
      </c>
      <c r="D570">
        <v>847.20917241380062</v>
      </c>
      <c r="E570" s="160">
        <v>-2237.807822407176</v>
      </c>
      <c r="F570">
        <v>847.20917241380062</v>
      </c>
      <c r="G570" s="160">
        <v>2.0465075928241276</v>
      </c>
      <c r="I570" s="160"/>
      <c r="K570" s="160"/>
      <c r="L570">
        <v>847.10950000000753</v>
      </c>
      <c r="M570" s="160">
        <v>95.581431743279197</v>
      </c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>
      <c r="B571" s="130">
        <v>847.40851724138679</v>
      </c>
      <c r="C571" s="160">
        <v>14.376103139258742</v>
      </c>
      <c r="D571">
        <v>847.40851724138679</v>
      </c>
      <c r="E571" s="160">
        <v>-2237.8230179655629</v>
      </c>
      <c r="F571">
        <v>847.40851724138679</v>
      </c>
      <c r="G571" s="160">
        <v>2.0313120344371782</v>
      </c>
      <c r="I571" s="160"/>
      <c r="K571" s="160"/>
      <c r="L571">
        <v>847.3088448275937</v>
      </c>
      <c r="M571" s="160">
        <v>94.371762294354582</v>
      </c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>
      <c r="B572" s="130">
        <v>847.60786206897296</v>
      </c>
      <c r="C572" s="160">
        <v>14.177000452915086</v>
      </c>
      <c r="D572">
        <v>847.60786206897296</v>
      </c>
      <c r="E572" s="160">
        <v>-2237.8328314995783</v>
      </c>
      <c r="F572">
        <v>847.60786206897296</v>
      </c>
      <c r="G572" s="160">
        <v>2.0214985004217851</v>
      </c>
      <c r="I572" s="160"/>
      <c r="K572" s="160"/>
      <c r="L572">
        <v>847.50818965517988</v>
      </c>
      <c r="M572" s="160">
        <v>92.82175708939296</v>
      </c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>
      <c r="B573" s="130">
        <v>847.80720689655914</v>
      </c>
      <c r="C573" s="160">
        <v>13.977683857426168</v>
      </c>
      <c r="D573">
        <v>847.80720689655914</v>
      </c>
      <c r="E573" s="160">
        <v>-2237.8361536716384</v>
      </c>
      <c r="F573">
        <v>847.80720689655914</v>
      </c>
      <c r="G573" s="160">
        <v>2.0181763283617329</v>
      </c>
      <c r="I573" s="160"/>
      <c r="K573" s="160"/>
      <c r="L573">
        <v>847.70753448276605</v>
      </c>
      <c r="M573" s="160">
        <v>90.954907007266456</v>
      </c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>
      <c r="B574" s="130">
        <v>848.00655172414531</v>
      </c>
      <c r="C574" s="160">
        <v>13.778383231000012</v>
      </c>
      <c r="D574">
        <v>848.00655172414531</v>
      </c>
      <c r="E574" s="160">
        <v>-2237.8319870762743</v>
      </c>
      <c r="F574">
        <v>848.00655172414531</v>
      </c>
      <c r="G574" s="160">
        <v>2.0223429237257733</v>
      </c>
      <c r="I574" s="160"/>
      <c r="K574" s="160"/>
      <c r="L574">
        <v>847.90687931035222</v>
      </c>
      <c r="M574" s="160">
        <v>88.802344163085095</v>
      </c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>
      <c r="B575" s="130">
        <v>848.20589655173148</v>
      </c>
      <c r="C575" s="160">
        <v>13.579434593667546</v>
      </c>
      <c r="D575">
        <v>848.20589655173148</v>
      </c>
      <c r="E575" s="160">
        <v>-2237.8194371205363</v>
      </c>
      <c r="F575">
        <v>848.20589655173148</v>
      </c>
      <c r="G575" s="160">
        <v>2.0348928794637686</v>
      </c>
      <c r="I575" s="160"/>
      <c r="K575" s="160"/>
      <c r="L575">
        <v>848.1062241379384</v>
      </c>
      <c r="M575" s="160">
        <v>86.390485493949839</v>
      </c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>
      <c r="B576" s="130">
        <v>848.40524137931766</v>
      </c>
      <c r="C576" s="160">
        <v>13.381275109899889</v>
      </c>
      <c r="D576">
        <v>848.40524137931766</v>
      </c>
      <c r="E576" s="160">
        <v>-2237.7977381003429</v>
      </c>
      <c r="F576">
        <v>848.40524137931766</v>
      </c>
      <c r="G576" s="160">
        <v>2.0565918996571781</v>
      </c>
      <c r="I576" s="160"/>
      <c r="K576" s="160"/>
      <c r="L576">
        <v>848.30556896552457</v>
      </c>
      <c r="M576" s="160">
        <v>83.750849377987123</v>
      </c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>
      <c r="B577" s="130">
        <v>848.60458620690383</v>
      </c>
      <c r="C577" s="160">
        <v>13.184389793149039</v>
      </c>
      <c r="D577">
        <v>848.60458620690383</v>
      </c>
      <c r="E577" s="160">
        <v>-2237.7665263172307</v>
      </c>
      <c r="F577">
        <v>848.60458620690383</v>
      </c>
      <c r="G577" s="160">
        <v>2.0878036827693904</v>
      </c>
      <c r="I577" s="160"/>
      <c r="K577" s="160"/>
      <c r="L577">
        <v>848.50491379311075</v>
      </c>
      <c r="M577" s="160">
        <v>80.991990973432038</v>
      </c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>
      <c r="B578" s="130">
        <v>848.80393103449001</v>
      </c>
      <c r="C578" s="160">
        <v>12.989235035588226</v>
      </c>
      <c r="D578">
        <v>848.80393103449001</v>
      </c>
      <c r="E578" s="160">
        <v>-2237.7258740246029</v>
      </c>
      <c r="F578">
        <v>848.80393103449001</v>
      </c>
      <c r="G578" s="160">
        <v>2.1284559753971735</v>
      </c>
      <c r="I578" s="160"/>
      <c r="K578" s="160"/>
      <c r="L578">
        <v>848.70425862069692</v>
      </c>
      <c r="M578" s="160">
        <v>78.233103487073322</v>
      </c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>
      <c r="B579" s="130">
        <v>849.00327586207618</v>
      </c>
      <c r="C579" s="160">
        <v>12.796263228763797</v>
      </c>
      <c r="D579">
        <v>849.00327586207618</v>
      </c>
      <c r="E579" s="160">
        <v>-2237.675875374408</v>
      </c>
      <c r="F579">
        <v>849.00327586207618</v>
      </c>
      <c r="G579" s="160">
        <v>2.1784546255921668</v>
      </c>
      <c r="I579" s="160"/>
      <c r="K579" s="160"/>
      <c r="L579">
        <v>848.90360344828309</v>
      </c>
      <c r="M579" s="160">
        <v>75.474191407933375</v>
      </c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>
      <c r="B580" s="130">
        <v>849.20262068966235</v>
      </c>
      <c r="C580" s="160">
        <v>12.605921712149485</v>
      </c>
      <c r="D580">
        <v>849.20262068966235</v>
      </c>
      <c r="E580" s="160">
        <v>-2237.6166461992721</v>
      </c>
      <c r="F580">
        <v>849.20262068966235</v>
      </c>
      <c r="G580" s="160">
        <v>2.2376838007280639</v>
      </c>
      <c r="I580" s="160"/>
      <c r="K580" s="160"/>
      <c r="L580">
        <v>849.10294827586927</v>
      </c>
      <c r="M580" s="160">
        <v>72.715259202575965</v>
      </c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>
      <c r="B581" s="130">
        <v>849.40196551724853</v>
      </c>
      <c r="C581" s="160">
        <v>12.418653945566799</v>
      </c>
      <c r="D581">
        <v>849.40196551724853</v>
      </c>
      <c r="E581" s="160">
        <v>-2237.5483245510809</v>
      </c>
      <c r="F581">
        <v>849.40196551724853</v>
      </c>
      <c r="G581" s="160">
        <v>2.3060054489192225</v>
      </c>
      <c r="I581" s="160"/>
      <c r="K581" s="160"/>
      <c r="L581">
        <v>849.30229310345544</v>
      </c>
      <c r="M581" s="160">
        <v>69.956311295221255</v>
      </c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>
      <c r="B582" s="130">
        <v>849.6013103448347</v>
      </c>
      <c r="C582" s="160">
        <v>12.234892227485183</v>
      </c>
      <c r="D582">
        <v>849.6013103448347</v>
      </c>
      <c r="E582" s="160">
        <v>-2237.471067858839</v>
      </c>
      <c r="F582">
        <v>849.6013103448347</v>
      </c>
      <c r="G582" s="160">
        <v>2.3832621411611399</v>
      </c>
      <c r="I582" s="160"/>
      <c r="K582" s="160"/>
      <c r="L582">
        <v>849.50163793104161</v>
      </c>
      <c r="M582" s="160">
        <v>67.197249958426838</v>
      </c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>
      <c r="B583" s="130">
        <v>849.80065517242087</v>
      </c>
      <c r="C583" s="160">
        <v>12.055062721128309</v>
      </c>
      <c r="D583">
        <v>849.80065517242087</v>
      </c>
      <c r="E583" s="160">
        <v>-2237.3850549090039</v>
      </c>
      <c r="F583">
        <v>849.80065517242087</v>
      </c>
      <c r="G583" s="160">
        <v>2.4692750909962342</v>
      </c>
      <c r="I583" s="160"/>
      <c r="K583" s="160"/>
      <c r="L583">
        <v>849.70098275862779</v>
      </c>
      <c r="M583" s="160">
        <v>64.438081351648052</v>
      </c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>
      <c r="B584" s="130">
        <v>850.00000000000705</v>
      </c>
      <c r="C584" s="160">
        <v>11.879582512065774</v>
      </c>
      <c r="D584">
        <v>850.00000000000705</v>
      </c>
      <c r="E584" s="160">
        <v>-2237.2904848272688</v>
      </c>
      <c r="F584">
        <v>850.00000000000705</v>
      </c>
      <c r="G584" s="160">
        <v>2.4145151727311713</v>
      </c>
      <c r="I584" s="160"/>
      <c r="K584" s="160"/>
      <c r="L584">
        <v>849.90032758621396</v>
      </c>
      <c r="M584" s="160">
        <v>61.678811739787093</v>
      </c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>
      <c r="B585" s="130">
        <v>852.2190000000071</v>
      </c>
      <c r="C585" s="160">
        <v>9.9526576534674334</v>
      </c>
      <c r="D585">
        <v>852.2190000000071</v>
      </c>
      <c r="E585" s="160">
        <v>-2236.1900683441818</v>
      </c>
      <c r="F585">
        <v>852.2190000000071</v>
      </c>
      <c r="G585" s="160">
        <v>3.5149316558181454</v>
      </c>
      <c r="I585" s="160"/>
      <c r="K585" s="160"/>
      <c r="L585">
        <v>851.10950000000707</v>
      </c>
      <c r="M585" s="160">
        <v>60.270440328705696</v>
      </c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>
      <c r="B586" s="130"/>
      <c r="C586" s="160"/>
      <c r="E586" s="160"/>
      <c r="G586" s="160"/>
      <c r="I586" s="160"/>
      <c r="K586" s="160"/>
      <c r="L586">
        <v>852.2190000000071</v>
      </c>
      <c r="M586" s="160">
        <v>60.229741528356207</v>
      </c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>
      <c r="B587" s="130"/>
      <c r="C587" s="160"/>
      <c r="E587" s="160"/>
      <c r="G587" s="160"/>
      <c r="I587" s="160"/>
      <c r="K587" s="160"/>
      <c r="M587" s="160"/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>
      <c r="B588" s="130"/>
      <c r="C588" s="160"/>
      <c r="E588" s="160"/>
      <c r="G588" s="160"/>
      <c r="I588" s="160"/>
      <c r="K588" s="160"/>
      <c r="M588" s="160"/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>
      <c r="B589" s="130"/>
      <c r="C589" s="160"/>
      <c r="E589" s="160"/>
      <c r="G589" s="160"/>
      <c r="I589" s="160"/>
      <c r="K589" s="160"/>
      <c r="M589" s="160"/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>
      <c r="B590" s="130"/>
      <c r="C590" s="160"/>
      <c r="E590" s="160"/>
      <c r="G590" s="160"/>
      <c r="I590" s="160"/>
      <c r="K590" s="160"/>
      <c r="M590" s="160"/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>
      <c r="B591" s="130"/>
      <c r="C591" s="160"/>
      <c r="E591" s="160"/>
      <c r="G591" s="160"/>
      <c r="I591" s="160"/>
      <c r="K591" s="160"/>
      <c r="M591" s="160"/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>
      <c r="B592" s="130"/>
      <c r="C592" s="160"/>
      <c r="E592" s="160"/>
      <c r="G592" s="160"/>
      <c r="I592" s="160"/>
      <c r="K592" s="160"/>
      <c r="M592" s="160"/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>
      <c r="B593" s="130"/>
      <c r="C593" s="160"/>
      <c r="E593" s="160"/>
      <c r="G593" s="160"/>
      <c r="I593" s="160"/>
      <c r="K593" s="160"/>
      <c r="M593" s="160"/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>
      <c r="B594" s="130"/>
      <c r="C594" s="160"/>
      <c r="E594" s="160"/>
      <c r="G594" s="160"/>
      <c r="I594" s="160"/>
      <c r="K594" s="160"/>
      <c r="M594" s="160"/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>
      <c r="B595" s="130"/>
      <c r="C595" s="160"/>
      <c r="E595" s="160"/>
      <c r="G595" s="160"/>
      <c r="I595" s="160"/>
      <c r="K595" s="160"/>
      <c r="M595" s="160"/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>
      <c r="B596" s="130"/>
      <c r="C596" s="160"/>
      <c r="E596" s="160"/>
      <c r="G596" s="160"/>
      <c r="I596" s="160"/>
      <c r="K596" s="160"/>
      <c r="M596" s="160"/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>
      <c r="B597" s="130"/>
      <c r="C597" s="160"/>
      <c r="E597" s="160"/>
      <c r="G597" s="160"/>
      <c r="I597" s="160"/>
      <c r="K597" s="160"/>
      <c r="M597" s="160"/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>
      <c r="B598" s="130"/>
      <c r="C598" s="160"/>
      <c r="E598" s="160"/>
      <c r="G598" s="160"/>
      <c r="I598" s="160"/>
      <c r="K598" s="160"/>
      <c r="M598" s="160"/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>
      <c r="B599" s="130"/>
      <c r="C599" s="160"/>
      <c r="E599" s="160"/>
      <c r="G599" s="160"/>
      <c r="I599" s="160"/>
      <c r="K599" s="160"/>
      <c r="M599" s="160"/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>
      <c r="B600" s="130"/>
      <c r="C600" s="160"/>
      <c r="E600" s="160"/>
      <c r="G600" s="160"/>
      <c r="I600" s="160"/>
      <c r="K600" s="160"/>
      <c r="M600" s="160"/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>
      <c r="B601" s="130"/>
      <c r="C601" s="160"/>
      <c r="E601" s="160"/>
      <c r="G601" s="160"/>
      <c r="I601" s="160"/>
      <c r="K601" s="160"/>
      <c r="M601" s="160"/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>
      <c r="B602" s="130"/>
      <c r="C602" s="160"/>
      <c r="E602" s="160"/>
      <c r="G602" s="160"/>
      <c r="I602" s="160"/>
      <c r="K602" s="160"/>
      <c r="M602" s="160"/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>
      <c r="B603" s="130"/>
      <c r="C603" s="160"/>
      <c r="E603" s="160"/>
      <c r="G603" s="160"/>
      <c r="I603" s="160"/>
      <c r="K603" s="160"/>
      <c r="M603" s="160"/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>
      <c r="B604" s="130"/>
      <c r="C604" s="160"/>
      <c r="E604" s="160"/>
      <c r="G604" s="160"/>
      <c r="I604" s="160"/>
      <c r="K604" s="160"/>
      <c r="M604" s="160"/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>
      <c r="B605" s="130"/>
      <c r="C605" s="160"/>
      <c r="E605" s="160"/>
      <c r="G605" s="160"/>
      <c r="I605" s="160"/>
      <c r="K605" s="160"/>
      <c r="M605" s="160"/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>
      <c r="B606" s="130"/>
      <c r="C606" s="160"/>
      <c r="E606" s="160"/>
      <c r="G606" s="160"/>
      <c r="I606" s="160"/>
      <c r="K606" s="160"/>
      <c r="M606" s="160"/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>
      <c r="B607" s="130"/>
      <c r="C607" s="160"/>
      <c r="E607" s="160"/>
      <c r="G607" s="160"/>
      <c r="I607" s="160"/>
      <c r="K607" s="160"/>
      <c r="M607" s="160"/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>
      <c r="B608" s="130"/>
      <c r="C608" s="160"/>
      <c r="E608" s="160"/>
      <c r="G608" s="160"/>
      <c r="I608" s="160"/>
      <c r="K608" s="160"/>
      <c r="M608" s="160"/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>
      <c r="B609" s="130"/>
      <c r="C609" s="160"/>
      <c r="E609" s="160"/>
      <c r="G609" s="160"/>
      <c r="I609" s="160"/>
      <c r="K609" s="160"/>
      <c r="M609" s="160"/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>
      <c r="B610" s="130"/>
      <c r="C610" s="160"/>
      <c r="E610" s="160"/>
      <c r="G610" s="160"/>
      <c r="I610" s="160"/>
      <c r="K610" s="160"/>
      <c r="M610" s="160"/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>
      <c r="B611" s="130"/>
      <c r="C611" s="160"/>
      <c r="E611" s="160"/>
      <c r="G611" s="160"/>
      <c r="I611" s="160"/>
      <c r="K611" s="160"/>
      <c r="M611" s="160"/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>
      <c r="B612" s="130"/>
      <c r="C612" s="160"/>
      <c r="E612" s="160"/>
      <c r="G612" s="160"/>
      <c r="I612" s="160"/>
      <c r="K612" s="160"/>
      <c r="M612" s="160"/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>
      <c r="B613" s="130"/>
      <c r="C613" s="160"/>
      <c r="E613" s="160"/>
      <c r="G613" s="160"/>
      <c r="I613" s="160"/>
      <c r="K613" s="160"/>
      <c r="M613" s="160"/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>
      <c r="B614" s="130"/>
      <c r="C614" s="160"/>
      <c r="E614" s="160"/>
      <c r="G614" s="160"/>
      <c r="I614" s="160"/>
      <c r="K614" s="160"/>
      <c r="M614" s="160"/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>
      <c r="B615" s="130"/>
      <c r="C615" s="160"/>
      <c r="E615" s="160"/>
      <c r="G615" s="160"/>
      <c r="I615" s="160"/>
      <c r="K615" s="160"/>
      <c r="M615" s="160"/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>
      <c r="B616" s="130"/>
      <c r="C616" s="160"/>
      <c r="E616" s="160"/>
      <c r="G616" s="160"/>
      <c r="I616" s="160"/>
      <c r="K616" s="160"/>
      <c r="M616" s="160"/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>
      <c r="B617" s="130"/>
      <c r="C617" s="160"/>
      <c r="E617" s="160"/>
      <c r="G617" s="160"/>
      <c r="I617" s="160"/>
      <c r="K617" s="160"/>
      <c r="M617" s="160"/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>
      <c r="B618" s="130"/>
      <c r="C618" s="160"/>
      <c r="E618" s="160"/>
      <c r="G618" s="160"/>
      <c r="I618" s="160"/>
      <c r="K618" s="160"/>
      <c r="M618" s="160"/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>
      <c r="B619" s="130"/>
      <c r="C619" s="160"/>
      <c r="E619" s="160"/>
      <c r="G619" s="160"/>
      <c r="I619" s="160"/>
      <c r="K619" s="160"/>
      <c r="M619" s="160"/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>
      <c r="B620" s="130"/>
      <c r="C620" s="160"/>
      <c r="E620" s="160"/>
      <c r="G620" s="160"/>
      <c r="I620" s="160"/>
      <c r="K620" s="160"/>
      <c r="M620" s="160"/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>
      <c r="B621" s="130"/>
      <c r="C621" s="160"/>
      <c r="E621" s="160"/>
      <c r="G621" s="160"/>
      <c r="I621" s="160"/>
      <c r="K621" s="160"/>
      <c r="M621" s="160"/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>
      <c r="B622" s="130"/>
      <c r="C622" s="160"/>
      <c r="E622" s="160"/>
      <c r="G622" s="160"/>
      <c r="I622" s="160"/>
      <c r="K622" s="160"/>
      <c r="M622" s="160"/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>
      <c r="B623" s="130"/>
      <c r="C623" s="160"/>
      <c r="E623" s="160"/>
      <c r="G623" s="160"/>
      <c r="I623" s="160"/>
      <c r="K623" s="160"/>
      <c r="M623" s="160"/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>
      <c r="B624" s="130"/>
      <c r="C624" s="160"/>
      <c r="E624" s="160"/>
      <c r="G624" s="160"/>
      <c r="I624" s="160"/>
      <c r="K624" s="160"/>
      <c r="M624" s="160"/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>
      <c r="B625" s="130"/>
      <c r="C625" s="160"/>
      <c r="E625" s="160"/>
      <c r="G625" s="160"/>
      <c r="I625" s="160"/>
      <c r="K625" s="160"/>
      <c r="M625" s="160"/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>
      <c r="B626" s="130"/>
      <c r="C626" s="160"/>
      <c r="E626" s="160"/>
      <c r="G626" s="160"/>
      <c r="I626" s="160"/>
      <c r="K626" s="160"/>
      <c r="M626" s="160"/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>
      <c r="B627" s="130"/>
      <c r="C627" s="160"/>
      <c r="E627" s="160"/>
      <c r="G627" s="160"/>
      <c r="I627" s="160"/>
      <c r="K627" s="160"/>
      <c r="M627" s="160"/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>
      <c r="B628" s="130"/>
      <c r="C628" s="160"/>
      <c r="E628" s="160"/>
      <c r="G628" s="160"/>
      <c r="I628" s="160"/>
      <c r="K628" s="160"/>
      <c r="M628" s="160"/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>
      <c r="B629" s="130"/>
      <c r="C629" s="160"/>
      <c r="E629" s="160"/>
      <c r="G629" s="160"/>
      <c r="I629" s="160"/>
      <c r="K629" s="160"/>
      <c r="M629" s="160"/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>
      <c r="B630" s="130"/>
      <c r="C630" s="160"/>
      <c r="E630" s="160"/>
      <c r="G630" s="160"/>
      <c r="I630" s="160"/>
      <c r="K630" s="160"/>
      <c r="M630" s="160"/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>
      <c r="B631" s="130"/>
      <c r="C631" s="160"/>
      <c r="E631" s="160"/>
      <c r="G631" s="160"/>
      <c r="I631" s="160"/>
      <c r="K631" s="160"/>
      <c r="M631" s="160"/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>
      <c r="B632" s="130"/>
      <c r="C632" s="160"/>
      <c r="E632" s="160"/>
      <c r="G632" s="160"/>
      <c r="I632" s="160"/>
      <c r="K632" s="160"/>
      <c r="M632" s="160"/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>
      <c r="B633" s="130"/>
      <c r="C633" s="160"/>
      <c r="E633" s="160"/>
      <c r="G633" s="160"/>
      <c r="I633" s="160"/>
      <c r="K633" s="160"/>
      <c r="M633" s="160"/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>
      <c r="B634" s="130"/>
      <c r="C634" s="160"/>
      <c r="E634" s="160"/>
      <c r="G634" s="160"/>
      <c r="I634" s="160"/>
      <c r="K634" s="160"/>
      <c r="M634" s="160"/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>
      <c r="B635" s="130"/>
      <c r="C635" s="160"/>
      <c r="E635" s="160"/>
      <c r="G635" s="160"/>
      <c r="I635" s="160"/>
      <c r="K635" s="160"/>
      <c r="M635" s="160"/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>
      <c r="B636" s="130"/>
      <c r="C636" s="160"/>
      <c r="E636" s="160"/>
      <c r="G636" s="160"/>
      <c r="I636" s="160"/>
      <c r="K636" s="160"/>
      <c r="M636" s="160"/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>
      <c r="B637" s="130"/>
      <c r="C637" s="160"/>
      <c r="E637" s="160"/>
      <c r="G637" s="160"/>
      <c r="I637" s="160"/>
      <c r="K637" s="160"/>
      <c r="M637" s="160"/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>
      <c r="B638" s="130"/>
      <c r="C638" s="160"/>
      <c r="E638" s="160"/>
      <c r="G638" s="160"/>
      <c r="I638" s="160"/>
      <c r="K638" s="160"/>
      <c r="M638" s="160"/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>
      <c r="B639" s="130"/>
      <c r="C639" s="160"/>
      <c r="E639" s="160"/>
      <c r="G639" s="160"/>
      <c r="I639" s="160"/>
      <c r="K639" s="160"/>
      <c r="M639" s="160"/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>
      <c r="B640" s="130"/>
      <c r="C640" s="160"/>
      <c r="E640" s="160"/>
      <c r="G640" s="160"/>
      <c r="I640" s="160"/>
      <c r="K640" s="160"/>
      <c r="M640" s="160"/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>
      <c r="B641" s="130"/>
      <c r="C641" s="160"/>
      <c r="E641" s="160"/>
      <c r="G641" s="160"/>
      <c r="I641" s="160"/>
      <c r="K641" s="160"/>
      <c r="M641" s="160"/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>
      <c r="B642" s="130"/>
      <c r="C642" s="160"/>
      <c r="E642" s="160"/>
      <c r="G642" s="160"/>
      <c r="I642" s="160"/>
      <c r="K642" s="160"/>
      <c r="M642" s="160"/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>
      <c r="B643" s="130"/>
      <c r="C643" s="160"/>
      <c r="E643" s="160"/>
      <c r="G643" s="160"/>
      <c r="I643" s="160"/>
      <c r="K643" s="160"/>
      <c r="M643" s="160"/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>
      <c r="B644" s="130"/>
      <c r="C644" s="160"/>
      <c r="E644" s="160"/>
      <c r="G644" s="160"/>
      <c r="I644" s="160"/>
      <c r="K644" s="160"/>
      <c r="M644" s="160"/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>
      <c r="B645" s="130"/>
      <c r="C645" s="160"/>
      <c r="E645" s="160"/>
      <c r="G645" s="160"/>
      <c r="I645" s="160"/>
      <c r="K645" s="160"/>
      <c r="M645" s="160"/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>
      <c r="B646" s="130"/>
      <c r="C646" s="160"/>
      <c r="E646" s="160"/>
      <c r="G646" s="160"/>
      <c r="I646" s="160"/>
      <c r="K646" s="160"/>
      <c r="M646" s="160"/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>
      <c r="B647" s="130"/>
      <c r="C647" s="160"/>
      <c r="E647" s="160"/>
      <c r="G647" s="160"/>
      <c r="I647" s="160"/>
      <c r="K647" s="160"/>
      <c r="M647" s="160"/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>
      <c r="B648" s="130"/>
      <c r="C648" s="160"/>
      <c r="E648" s="160"/>
      <c r="G648" s="160"/>
      <c r="I648" s="160"/>
      <c r="K648" s="160"/>
      <c r="M648" s="160"/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>
      <c r="B649" s="130"/>
      <c r="C649" s="160"/>
      <c r="E649" s="160"/>
      <c r="G649" s="160"/>
      <c r="I649" s="160"/>
      <c r="K649" s="160"/>
      <c r="M649" s="160"/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>
      <c r="B650" s="130"/>
      <c r="C650" s="160"/>
      <c r="E650" s="160"/>
      <c r="G650" s="160"/>
      <c r="I650" s="160"/>
      <c r="K650" s="160"/>
      <c r="M650" s="160"/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>
      <c r="B651" s="130"/>
      <c r="C651" s="160"/>
      <c r="E651" s="160"/>
      <c r="G651" s="160"/>
      <c r="I651" s="160"/>
      <c r="K651" s="160"/>
      <c r="M651" s="160"/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>
      <c r="B652" s="130"/>
      <c r="C652" s="160"/>
      <c r="E652" s="160"/>
      <c r="G652" s="160"/>
      <c r="I652" s="160"/>
      <c r="K652" s="160"/>
      <c r="M652" s="160"/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>
      <c r="B653" s="130"/>
      <c r="C653" s="160"/>
      <c r="E653" s="160"/>
      <c r="G653" s="160"/>
      <c r="I653" s="160"/>
      <c r="K653" s="160"/>
      <c r="M653" s="160"/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>
      <c r="B654" s="130"/>
      <c r="C654" s="160"/>
      <c r="E654" s="160"/>
      <c r="G654" s="160"/>
      <c r="I654" s="160"/>
      <c r="K654" s="160"/>
      <c r="M654" s="160"/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>
      <c r="B655" s="130"/>
      <c r="C655" s="160"/>
      <c r="E655" s="160"/>
      <c r="G655" s="160"/>
      <c r="I655" s="160"/>
      <c r="K655" s="160"/>
      <c r="M655" s="160"/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>
      <c r="B656" s="130"/>
      <c r="C656" s="160"/>
      <c r="E656" s="160"/>
      <c r="G656" s="160"/>
      <c r="I656" s="160"/>
      <c r="K656" s="160"/>
      <c r="M656" s="160"/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>
      <c r="B657" s="130"/>
      <c r="C657" s="160"/>
      <c r="E657" s="160"/>
      <c r="G657" s="160"/>
      <c r="I657" s="160"/>
      <c r="K657" s="160"/>
      <c r="M657" s="160"/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>
      <c r="B658" s="130"/>
      <c r="C658" s="160"/>
      <c r="E658" s="160"/>
      <c r="G658" s="160"/>
      <c r="I658" s="160"/>
      <c r="K658" s="160"/>
      <c r="M658" s="160"/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>
      <c r="B659" s="130"/>
      <c r="C659" s="160"/>
      <c r="E659" s="160"/>
      <c r="G659" s="160"/>
      <c r="I659" s="160"/>
      <c r="K659" s="160"/>
      <c r="M659" s="160"/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>
      <c r="B660" s="130"/>
      <c r="C660" s="160"/>
      <c r="E660" s="160"/>
      <c r="G660" s="160"/>
      <c r="I660" s="160"/>
      <c r="K660" s="160"/>
      <c r="M660" s="160"/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>
      <c r="B661" s="130"/>
      <c r="C661" s="160"/>
      <c r="E661" s="160"/>
      <c r="G661" s="160"/>
      <c r="I661" s="160"/>
      <c r="K661" s="160"/>
      <c r="M661" s="160"/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>
      <c r="B662" s="130"/>
      <c r="C662" s="160"/>
      <c r="E662" s="160"/>
      <c r="G662" s="160"/>
      <c r="I662" s="160"/>
      <c r="K662" s="160"/>
      <c r="M662" s="160"/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>
      <c r="B663" s="130"/>
      <c r="C663" s="160"/>
      <c r="E663" s="160"/>
      <c r="G663" s="160"/>
      <c r="I663" s="160"/>
      <c r="K663" s="160"/>
      <c r="M663" s="160"/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>
      <c r="B664" s="130"/>
      <c r="C664" s="160"/>
      <c r="E664" s="160"/>
      <c r="G664" s="160"/>
      <c r="I664" s="160"/>
      <c r="K664" s="160"/>
      <c r="M664" s="160"/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>
      <c r="B665" s="130"/>
      <c r="C665" s="160"/>
      <c r="E665" s="160"/>
      <c r="G665" s="160"/>
      <c r="I665" s="160"/>
      <c r="K665" s="160"/>
      <c r="M665" s="160"/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>
      <c r="B666" s="130"/>
      <c r="C666" s="160"/>
      <c r="E666" s="160"/>
      <c r="G666" s="160"/>
      <c r="I666" s="160"/>
      <c r="K666" s="160"/>
      <c r="M666" s="160"/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>
      <c r="B667" s="130"/>
      <c r="C667" s="160"/>
      <c r="E667" s="160"/>
      <c r="G667" s="160"/>
      <c r="I667" s="160"/>
      <c r="K667" s="160"/>
      <c r="M667" s="160"/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>
      <c r="B668" s="130"/>
      <c r="C668" s="160"/>
      <c r="E668" s="160"/>
      <c r="G668" s="160"/>
      <c r="I668" s="160"/>
      <c r="K668" s="160"/>
      <c r="M668" s="160"/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>
      <c r="B669" s="130"/>
      <c r="C669" s="160"/>
      <c r="E669" s="160"/>
      <c r="G669" s="160"/>
      <c r="I669" s="160"/>
      <c r="K669" s="160"/>
      <c r="M669" s="160"/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>
      <c r="B670" s="130"/>
      <c r="C670" s="160"/>
      <c r="E670" s="160"/>
      <c r="G670" s="160"/>
      <c r="I670" s="160"/>
      <c r="K670" s="160"/>
      <c r="M670" s="160"/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>
      <c r="B671" s="130"/>
      <c r="C671" s="160"/>
      <c r="E671" s="160"/>
      <c r="G671" s="160"/>
      <c r="I671" s="160"/>
      <c r="K671" s="160"/>
      <c r="M671" s="160"/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>
      <c r="B672" s="130"/>
      <c r="C672" s="160"/>
      <c r="E672" s="160"/>
      <c r="G672" s="160"/>
      <c r="I672" s="160"/>
      <c r="K672" s="160"/>
      <c r="M672" s="160"/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>
      <c r="B673" s="130"/>
      <c r="C673" s="160"/>
      <c r="E673" s="160"/>
      <c r="G673" s="160"/>
      <c r="I673" s="160"/>
      <c r="K673" s="160"/>
      <c r="M673" s="160"/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>
      <c r="B674" s="130"/>
      <c r="C674" s="160"/>
      <c r="E674" s="160"/>
      <c r="G674" s="160"/>
      <c r="I674" s="160"/>
      <c r="K674" s="160"/>
      <c r="M674" s="160"/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>
      <c r="B675" s="130"/>
      <c r="C675" s="160"/>
      <c r="E675" s="160"/>
      <c r="G675" s="160"/>
      <c r="I675" s="160"/>
      <c r="K675" s="160"/>
      <c r="M675" s="160"/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>
      <c r="B676" s="130"/>
      <c r="C676" s="160"/>
      <c r="E676" s="160"/>
      <c r="G676" s="160"/>
      <c r="I676" s="160"/>
      <c r="K676" s="160"/>
      <c r="M676" s="160"/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>
      <c r="B677" s="130"/>
      <c r="C677" s="160"/>
      <c r="E677" s="160"/>
      <c r="G677" s="160"/>
      <c r="I677" s="160"/>
      <c r="K677" s="160"/>
      <c r="M677" s="160"/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>
      <c r="B678" s="130"/>
      <c r="C678" s="160"/>
      <c r="E678" s="160"/>
      <c r="G678" s="160"/>
      <c r="I678" s="160"/>
      <c r="K678" s="160"/>
      <c r="M678" s="160"/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>
      <c r="B679" s="130"/>
      <c r="C679" s="160"/>
      <c r="E679" s="160"/>
      <c r="G679" s="160"/>
      <c r="I679" s="160"/>
      <c r="K679" s="160"/>
      <c r="M679" s="160"/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>
      <c r="B680" s="130"/>
      <c r="C680" s="160"/>
      <c r="E680" s="160"/>
      <c r="G680" s="160"/>
      <c r="I680" s="160"/>
      <c r="K680" s="160"/>
      <c r="M680" s="160"/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>
      <c r="B681" s="130"/>
      <c r="C681" s="160"/>
      <c r="E681" s="160"/>
      <c r="G681" s="160"/>
      <c r="I681" s="160"/>
      <c r="K681" s="160"/>
      <c r="M681" s="160"/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>
      <c r="B682" s="130"/>
      <c r="C682" s="160"/>
      <c r="E682" s="160"/>
      <c r="G682" s="160"/>
      <c r="I682" s="160"/>
      <c r="K682" s="160"/>
      <c r="M682" s="160"/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>
      <c r="B683" s="130"/>
      <c r="C683" s="160"/>
      <c r="E683" s="160"/>
      <c r="G683" s="160"/>
      <c r="I683" s="160"/>
      <c r="K683" s="160"/>
      <c r="M683" s="160"/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>
      <c r="B684" s="130"/>
      <c r="C684" s="160"/>
      <c r="E684" s="160"/>
      <c r="G684" s="160"/>
      <c r="I684" s="160"/>
      <c r="K684" s="160"/>
      <c r="M684" s="160"/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>
      <c r="B685" s="130"/>
      <c r="C685" s="160"/>
      <c r="E685" s="160"/>
      <c r="G685" s="160"/>
      <c r="I685" s="160"/>
      <c r="K685" s="160"/>
      <c r="M685" s="160"/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>
      <c r="B686" s="130"/>
      <c r="C686" s="160"/>
      <c r="E686" s="160"/>
      <c r="G686" s="160"/>
      <c r="I686" s="160"/>
      <c r="K686" s="160"/>
      <c r="M686" s="160"/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>
      <c r="B687" s="130"/>
      <c r="C687" s="160"/>
      <c r="E687" s="160"/>
      <c r="G687" s="160"/>
      <c r="I687" s="160"/>
      <c r="K687" s="160"/>
      <c r="M687" s="160"/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>
      <c r="B688" s="130"/>
      <c r="C688" s="160"/>
      <c r="E688" s="160"/>
      <c r="G688" s="160"/>
      <c r="I688" s="160"/>
      <c r="K688" s="160"/>
      <c r="M688" s="160"/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>
      <c r="B689" s="130"/>
      <c r="C689" s="160"/>
      <c r="E689" s="160"/>
      <c r="G689" s="160"/>
      <c r="I689" s="160"/>
      <c r="K689" s="160"/>
      <c r="M689" s="160"/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>
      <c r="B690" s="130"/>
      <c r="C690" s="160"/>
      <c r="E690" s="160"/>
      <c r="G690" s="160"/>
      <c r="I690" s="160"/>
      <c r="K690" s="160"/>
      <c r="M690" s="160"/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>
      <c r="B691" s="130"/>
      <c r="C691" s="160"/>
      <c r="E691" s="160"/>
      <c r="G691" s="160"/>
      <c r="I691" s="160"/>
      <c r="K691" s="160"/>
      <c r="M691" s="160"/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>
      <c r="B692" s="130"/>
      <c r="C692" s="160"/>
      <c r="E692" s="160"/>
      <c r="G692" s="160"/>
      <c r="I692" s="160"/>
      <c r="K692" s="160"/>
      <c r="M692" s="160"/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>
      <c r="B693" s="130"/>
      <c r="C693" s="160"/>
      <c r="E693" s="160"/>
      <c r="G693" s="160"/>
      <c r="I693" s="160"/>
      <c r="K693" s="160"/>
      <c r="M693" s="160"/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>
      <c r="B694" s="130"/>
      <c r="C694" s="160"/>
      <c r="E694" s="160"/>
      <c r="G694" s="160"/>
      <c r="I694" s="160"/>
      <c r="K694" s="160"/>
      <c r="M694" s="160"/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>
      <c r="B695" s="130"/>
      <c r="C695" s="160"/>
      <c r="E695" s="160"/>
      <c r="G695" s="160"/>
      <c r="I695" s="160"/>
      <c r="K695" s="160"/>
      <c r="M695" s="160"/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>
      <c r="B696" s="130"/>
      <c r="C696" s="160"/>
      <c r="E696" s="160"/>
      <c r="G696" s="160"/>
      <c r="I696" s="160"/>
      <c r="K696" s="160"/>
      <c r="M696" s="160"/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>
      <c r="B697" s="130"/>
      <c r="C697" s="160"/>
      <c r="E697" s="160"/>
      <c r="G697" s="160"/>
      <c r="I697" s="160"/>
      <c r="K697" s="160"/>
      <c r="M697" s="160"/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>
      <c r="B698" s="130"/>
      <c r="C698" s="160"/>
      <c r="E698" s="160"/>
      <c r="G698" s="160"/>
      <c r="I698" s="160"/>
      <c r="K698" s="160"/>
      <c r="M698" s="160"/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>
      <c r="B699" s="130"/>
      <c r="C699" s="160"/>
      <c r="E699" s="160"/>
      <c r="G699" s="160"/>
      <c r="I699" s="160"/>
      <c r="K699" s="160"/>
      <c r="M699" s="160"/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>
      <c r="B700" s="130"/>
      <c r="C700" s="160"/>
      <c r="E700" s="160"/>
      <c r="G700" s="160"/>
      <c r="I700" s="160"/>
      <c r="K700" s="160"/>
      <c r="M700" s="160"/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>
      <c r="B701" s="130"/>
      <c r="C701" s="160"/>
      <c r="E701" s="160"/>
      <c r="G701" s="160"/>
      <c r="I701" s="160"/>
      <c r="K701" s="160"/>
      <c r="M701" s="160"/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>
      <c r="B702" s="130"/>
      <c r="C702" s="160"/>
      <c r="E702" s="160"/>
      <c r="G702" s="160"/>
      <c r="I702" s="160"/>
      <c r="K702" s="160"/>
      <c r="M702" s="160"/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>
      <c r="B703" s="130"/>
      <c r="C703" s="160"/>
      <c r="E703" s="160"/>
      <c r="G703" s="160"/>
      <c r="I703" s="160"/>
      <c r="K703" s="160"/>
      <c r="M703" s="160"/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>
      <c r="B704" s="130"/>
      <c r="C704" s="160"/>
      <c r="E704" s="160"/>
      <c r="G704" s="160"/>
      <c r="I704" s="160"/>
      <c r="K704" s="160"/>
      <c r="M704" s="160"/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>
      <c r="B705" s="130"/>
      <c r="C705" s="160"/>
      <c r="E705" s="160"/>
      <c r="G705" s="160"/>
      <c r="I705" s="160"/>
      <c r="K705" s="160"/>
      <c r="M705" s="160"/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>
      <c r="B706" s="130"/>
      <c r="C706" s="160"/>
      <c r="E706" s="160"/>
      <c r="G706" s="160"/>
      <c r="I706" s="160"/>
      <c r="K706" s="160"/>
      <c r="M706" s="160"/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>
      <c r="B707" s="130"/>
      <c r="C707" s="160"/>
      <c r="E707" s="160"/>
      <c r="G707" s="160"/>
      <c r="I707" s="160"/>
      <c r="K707" s="160"/>
      <c r="M707" s="160"/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>
      <c r="B708" s="130"/>
      <c r="C708" s="160"/>
      <c r="E708" s="160"/>
      <c r="G708" s="160"/>
      <c r="I708" s="160"/>
      <c r="K708" s="160"/>
      <c r="M708" s="160"/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>
      <c r="B709" s="130"/>
      <c r="C709" s="160"/>
      <c r="E709" s="160"/>
      <c r="G709" s="160"/>
      <c r="I709" s="160"/>
      <c r="K709" s="160"/>
      <c r="M709" s="160"/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>
      <c r="B710" s="130"/>
      <c r="C710" s="160"/>
      <c r="E710" s="160"/>
      <c r="G710" s="160"/>
      <c r="I710" s="160"/>
      <c r="K710" s="160"/>
      <c r="M710" s="160"/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>
      <c r="B711" s="130"/>
      <c r="C711" s="160"/>
      <c r="E711" s="160"/>
      <c r="G711" s="160"/>
      <c r="I711" s="160"/>
      <c r="K711" s="160"/>
      <c r="M711" s="160"/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>
      <c r="B712" s="130"/>
      <c r="C712" s="160"/>
      <c r="E712" s="160"/>
      <c r="G712" s="160"/>
      <c r="I712" s="160"/>
      <c r="K712" s="160"/>
      <c r="M712" s="160"/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>
      <c r="B713" s="130"/>
      <c r="C713" s="160"/>
      <c r="E713" s="160"/>
      <c r="G713" s="160"/>
      <c r="I713" s="160"/>
      <c r="K713" s="160"/>
      <c r="M713" s="160"/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>
      <c r="B714" s="130"/>
      <c r="C714" s="160"/>
      <c r="E714" s="160"/>
      <c r="G714" s="160"/>
      <c r="I714" s="160"/>
      <c r="K714" s="160"/>
      <c r="M714" s="160"/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>
      <c r="B715" s="130"/>
      <c r="C715" s="160"/>
      <c r="E715" s="160"/>
      <c r="G715" s="160"/>
      <c r="I715" s="160"/>
      <c r="K715" s="160"/>
      <c r="M715" s="160"/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>
      <c r="B716" s="130"/>
      <c r="C716" s="160"/>
      <c r="E716" s="160"/>
      <c r="G716" s="160"/>
      <c r="I716" s="160"/>
      <c r="K716" s="160"/>
      <c r="M716" s="160"/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>
      <c r="B717" s="130"/>
      <c r="C717" s="160"/>
      <c r="E717" s="160"/>
      <c r="G717" s="160"/>
      <c r="I717" s="160"/>
      <c r="K717" s="160"/>
      <c r="M717" s="160"/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>
      <c r="B718" s="130"/>
      <c r="C718" s="160"/>
      <c r="E718" s="160"/>
      <c r="G718" s="160"/>
      <c r="I718" s="160"/>
      <c r="K718" s="160"/>
      <c r="M718" s="160"/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>
      <c r="B719" s="130"/>
      <c r="C719" s="160"/>
      <c r="E719" s="160"/>
      <c r="G719" s="160"/>
      <c r="I719" s="160"/>
      <c r="K719" s="160"/>
      <c r="M719" s="160"/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>
      <c r="B720" s="130"/>
      <c r="C720" s="160"/>
      <c r="E720" s="160"/>
      <c r="G720" s="160"/>
      <c r="I720" s="160"/>
      <c r="K720" s="160"/>
      <c r="M720" s="160"/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>
      <c r="B721" s="130"/>
      <c r="C721" s="160"/>
      <c r="E721" s="160"/>
      <c r="G721" s="160"/>
      <c r="I721" s="160"/>
      <c r="K721" s="160"/>
      <c r="M721" s="160"/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>
      <c r="B722" s="130"/>
      <c r="C722" s="160"/>
      <c r="E722" s="160"/>
      <c r="G722" s="160"/>
      <c r="I722" s="160"/>
      <c r="K722" s="160"/>
      <c r="M722" s="160"/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>
      <c r="B723" s="130"/>
      <c r="C723" s="160"/>
      <c r="E723" s="160"/>
      <c r="G723" s="160"/>
      <c r="I723" s="160"/>
      <c r="K723" s="160"/>
      <c r="M723" s="160"/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>
      <c r="B724" s="130"/>
      <c r="C724" s="160"/>
      <c r="E724" s="160"/>
      <c r="G724" s="160"/>
      <c r="I724" s="160"/>
      <c r="K724" s="160"/>
      <c r="M724" s="160"/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>
      <c r="B725" s="130"/>
      <c r="C725" s="160"/>
      <c r="E725" s="160"/>
      <c r="G725" s="160"/>
      <c r="I725" s="160"/>
      <c r="K725" s="160"/>
      <c r="M725" s="160"/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>
      <c r="B726" s="130"/>
      <c r="C726" s="160"/>
      <c r="E726" s="160"/>
      <c r="G726" s="160"/>
      <c r="I726" s="160"/>
      <c r="K726" s="160"/>
      <c r="M726" s="160"/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>
      <c r="B727" s="130"/>
      <c r="C727" s="160"/>
      <c r="E727" s="160"/>
      <c r="G727" s="160"/>
      <c r="I727" s="160"/>
      <c r="K727" s="160"/>
      <c r="M727" s="160"/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>
      <c r="B728" s="130"/>
      <c r="C728" s="160"/>
      <c r="E728" s="160"/>
      <c r="G728" s="160"/>
      <c r="I728" s="160"/>
      <c r="K728" s="160"/>
      <c r="M728" s="160"/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>
      <c r="B729" s="130"/>
      <c r="C729" s="160"/>
      <c r="E729" s="160"/>
      <c r="G729" s="160"/>
      <c r="I729" s="160"/>
      <c r="K729" s="160"/>
      <c r="M729" s="160"/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>
      <c r="B730" s="130"/>
      <c r="C730" s="160"/>
      <c r="E730" s="160"/>
      <c r="G730" s="160"/>
      <c r="I730" s="160"/>
      <c r="K730" s="160"/>
      <c r="M730" s="160"/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>
      <c r="B731" s="130"/>
      <c r="C731" s="160"/>
      <c r="E731" s="160"/>
      <c r="G731" s="160"/>
      <c r="I731" s="160"/>
      <c r="K731" s="160"/>
      <c r="M731" s="160"/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>
      <c r="B732" s="130"/>
      <c r="C732" s="160"/>
      <c r="E732" s="160"/>
      <c r="G732" s="160"/>
      <c r="I732" s="160"/>
      <c r="K732" s="160"/>
      <c r="M732" s="160"/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>
      <c r="B733" s="130"/>
      <c r="C733" s="160"/>
      <c r="E733" s="160"/>
      <c r="G733" s="160"/>
      <c r="I733" s="160"/>
      <c r="K733" s="160"/>
      <c r="M733" s="160"/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>
      <c r="B734" s="130"/>
      <c r="C734" s="160"/>
      <c r="E734" s="160"/>
      <c r="G734" s="160"/>
      <c r="I734" s="160"/>
      <c r="K734" s="160"/>
      <c r="M734" s="160"/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>
      <c r="B735" s="130"/>
      <c r="C735" s="160"/>
      <c r="E735" s="160"/>
      <c r="G735" s="160"/>
      <c r="I735" s="160"/>
      <c r="K735" s="160"/>
      <c r="M735" s="160"/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>
      <c r="B736" s="130"/>
      <c r="C736" s="160"/>
      <c r="E736" s="160"/>
      <c r="G736" s="160"/>
      <c r="I736" s="160"/>
      <c r="K736" s="160"/>
      <c r="M736" s="160"/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>
      <c r="B737" s="130"/>
      <c r="C737" s="160"/>
      <c r="E737" s="160"/>
      <c r="G737" s="160"/>
      <c r="I737" s="160"/>
      <c r="K737" s="160"/>
      <c r="M737" s="160"/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>
      <c r="B738" s="130"/>
      <c r="C738" s="160"/>
      <c r="E738" s="160"/>
      <c r="G738" s="160"/>
      <c r="I738" s="160"/>
      <c r="K738" s="160"/>
      <c r="M738" s="160"/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>
      <c r="B739" s="130"/>
      <c r="C739" s="160"/>
      <c r="E739" s="160"/>
      <c r="G739" s="160"/>
      <c r="I739" s="160"/>
      <c r="K739" s="160"/>
      <c r="M739" s="160"/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>
      <c r="B740" s="130"/>
      <c r="C740" s="160"/>
      <c r="E740" s="160"/>
      <c r="G740" s="160"/>
      <c r="I740" s="160"/>
      <c r="K740" s="160"/>
      <c r="M740" s="160"/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>
      <c r="B741" s="130"/>
      <c r="C741" s="160"/>
      <c r="E741" s="160"/>
      <c r="G741" s="160"/>
      <c r="I741" s="160"/>
      <c r="K741" s="160"/>
      <c r="M741" s="160"/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>
      <c r="B742" s="130"/>
      <c r="C742" s="160"/>
      <c r="E742" s="160"/>
      <c r="G742" s="160"/>
      <c r="I742" s="160"/>
      <c r="K742" s="160"/>
      <c r="M742" s="160"/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>
      <c r="B743" s="130"/>
      <c r="C743" s="160"/>
      <c r="E743" s="160"/>
      <c r="G743" s="160"/>
      <c r="I743" s="160"/>
      <c r="K743" s="160"/>
      <c r="M743" s="160"/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>
      <c r="B744" s="130"/>
      <c r="C744" s="160"/>
      <c r="E744" s="160"/>
      <c r="G744" s="160"/>
      <c r="I744" s="160"/>
      <c r="K744" s="160"/>
      <c r="M744" s="160"/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>
      <c r="B745" s="130"/>
      <c r="C745" s="160"/>
      <c r="E745" s="160"/>
      <c r="G745" s="160"/>
      <c r="I745" s="160"/>
      <c r="K745" s="160"/>
      <c r="M745" s="160"/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>
      <c r="B746" s="130"/>
      <c r="C746" s="160"/>
      <c r="E746" s="160"/>
      <c r="G746" s="160"/>
      <c r="I746" s="160"/>
      <c r="K746" s="160"/>
      <c r="M746" s="160"/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>
      <c r="B747" s="130"/>
      <c r="C747" s="160"/>
      <c r="E747" s="160"/>
      <c r="G747" s="160"/>
      <c r="I747" s="160"/>
      <c r="K747" s="160"/>
      <c r="M747" s="160"/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>
      <c r="B748" s="130"/>
      <c r="C748" s="160"/>
      <c r="E748" s="160"/>
      <c r="G748" s="160"/>
      <c r="I748" s="160"/>
      <c r="K748" s="160"/>
      <c r="M748" s="160"/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>
      <c r="B749" s="130"/>
      <c r="C749" s="160"/>
      <c r="E749" s="160"/>
      <c r="G749" s="160"/>
      <c r="I749" s="160"/>
      <c r="K749" s="160"/>
      <c r="M749" s="160"/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>
      <c r="B750" s="130"/>
      <c r="C750" s="160"/>
      <c r="E750" s="160"/>
      <c r="G750" s="160"/>
      <c r="I750" s="160"/>
      <c r="K750" s="160"/>
      <c r="M750" s="160"/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>
      <c r="B751" s="130"/>
      <c r="C751" s="160"/>
      <c r="E751" s="160"/>
      <c r="G751" s="160"/>
      <c r="I751" s="160"/>
      <c r="K751" s="160"/>
      <c r="M751" s="160"/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>
      <c r="B752" s="130"/>
      <c r="C752" s="160"/>
      <c r="E752" s="160"/>
      <c r="G752" s="160"/>
      <c r="I752" s="160"/>
      <c r="K752" s="160"/>
      <c r="M752" s="160"/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>
      <c r="B753" s="130"/>
      <c r="C753" s="160"/>
      <c r="E753" s="160"/>
      <c r="G753" s="160"/>
      <c r="I753" s="160"/>
      <c r="K753" s="160"/>
      <c r="M753" s="160"/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>
      <c r="B754" s="130"/>
      <c r="C754" s="160"/>
      <c r="E754" s="160"/>
      <c r="G754" s="160"/>
      <c r="I754" s="160"/>
      <c r="K754" s="160"/>
      <c r="M754" s="160"/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>
      <c r="B755" s="130"/>
      <c r="C755" s="160"/>
      <c r="E755" s="160"/>
      <c r="G755" s="160"/>
      <c r="I755" s="160"/>
      <c r="K755" s="160"/>
      <c r="M755" s="160"/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>
      <c r="B756" s="130"/>
      <c r="C756" s="160"/>
      <c r="E756" s="160"/>
      <c r="G756" s="160"/>
      <c r="I756" s="160"/>
      <c r="K756" s="160"/>
      <c r="M756" s="160"/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>
      <c r="B757" s="130"/>
      <c r="C757" s="160"/>
      <c r="E757" s="160"/>
      <c r="G757" s="160"/>
      <c r="I757" s="160"/>
      <c r="K757" s="160"/>
      <c r="M757" s="160"/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>
      <c r="B758" s="130"/>
      <c r="C758" s="160"/>
      <c r="E758" s="160"/>
      <c r="G758" s="160"/>
      <c r="I758" s="160"/>
      <c r="K758" s="160"/>
      <c r="M758" s="160"/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>
      <c r="B759" s="130"/>
      <c r="C759" s="160"/>
      <c r="E759" s="160"/>
      <c r="G759" s="160"/>
      <c r="I759" s="160"/>
      <c r="K759" s="160"/>
      <c r="M759" s="160"/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>
      <c r="B760" s="130"/>
      <c r="C760" s="160"/>
      <c r="E760" s="160"/>
      <c r="G760" s="160"/>
      <c r="I760" s="160"/>
      <c r="K760" s="160"/>
      <c r="M760" s="160"/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>
      <c r="B761" s="130"/>
      <c r="C761" s="160"/>
      <c r="E761" s="160"/>
      <c r="G761" s="160"/>
      <c r="I761" s="160"/>
      <c r="K761" s="160"/>
      <c r="M761" s="160"/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>
      <c r="B762" s="130"/>
      <c r="C762" s="160"/>
      <c r="E762" s="160"/>
      <c r="G762" s="160"/>
      <c r="I762" s="160"/>
      <c r="K762" s="160"/>
      <c r="M762" s="160"/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>
      <c r="B763" s="130"/>
      <c r="C763" s="160"/>
      <c r="E763" s="160"/>
      <c r="G763" s="160"/>
      <c r="I763" s="160"/>
      <c r="K763" s="160"/>
      <c r="M763" s="160"/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>
      <c r="B764" s="130"/>
      <c r="C764" s="160"/>
      <c r="E764" s="160"/>
      <c r="G764" s="160"/>
      <c r="I764" s="160"/>
      <c r="K764" s="160"/>
      <c r="M764" s="160"/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>
      <c r="B765" s="130"/>
      <c r="C765" s="160"/>
      <c r="E765" s="160"/>
      <c r="G765" s="160"/>
      <c r="I765" s="160"/>
      <c r="K765" s="160"/>
      <c r="M765" s="160"/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>
      <c r="B766" s="130"/>
      <c r="C766" s="160"/>
      <c r="E766" s="160"/>
      <c r="G766" s="160"/>
      <c r="I766" s="160"/>
      <c r="K766" s="160"/>
      <c r="M766" s="160"/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>
      <c r="B767" s="130"/>
      <c r="C767" s="160"/>
      <c r="E767" s="160"/>
      <c r="G767" s="160"/>
      <c r="I767" s="160"/>
      <c r="K767" s="160"/>
      <c r="M767" s="160"/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>
      <c r="B768" s="130"/>
      <c r="C768" s="160"/>
      <c r="E768" s="160"/>
      <c r="G768" s="160"/>
      <c r="I768" s="160"/>
      <c r="K768" s="160"/>
      <c r="M768" s="160"/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>
      <c r="B769" s="130"/>
      <c r="C769" s="160"/>
      <c r="E769" s="160"/>
      <c r="G769" s="160"/>
      <c r="I769" s="160"/>
      <c r="K769" s="160"/>
      <c r="M769" s="160"/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>
      <c r="B770" s="130"/>
      <c r="C770" s="160"/>
      <c r="E770" s="160"/>
      <c r="G770" s="160"/>
      <c r="I770" s="160"/>
      <c r="K770" s="160"/>
      <c r="M770" s="160"/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>
      <c r="B771" s="130"/>
      <c r="C771" s="160"/>
      <c r="E771" s="160"/>
      <c r="G771" s="160"/>
      <c r="I771" s="160"/>
      <c r="K771" s="160"/>
      <c r="M771" s="160"/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>
      <c r="B772" s="130"/>
      <c r="C772" s="160"/>
      <c r="E772" s="160"/>
      <c r="G772" s="160"/>
      <c r="I772" s="160"/>
      <c r="K772" s="160"/>
      <c r="M772" s="160"/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>
      <c r="B773" s="130"/>
      <c r="C773" s="160"/>
      <c r="E773" s="160"/>
      <c r="G773" s="160"/>
      <c r="I773" s="160"/>
      <c r="K773" s="160"/>
      <c r="M773" s="160"/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>
      <c r="B774" s="130"/>
      <c r="C774" s="160"/>
      <c r="E774" s="160"/>
      <c r="G774" s="160"/>
      <c r="I774" s="160"/>
      <c r="K774" s="160"/>
      <c r="M774" s="160"/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>
      <c r="B775" s="130"/>
      <c r="C775" s="160"/>
      <c r="E775" s="160"/>
      <c r="G775" s="160"/>
      <c r="I775" s="160"/>
      <c r="K775" s="160"/>
      <c r="M775" s="160"/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>
      <c r="B776" s="130"/>
      <c r="C776" s="160"/>
      <c r="E776" s="160"/>
      <c r="G776" s="160"/>
      <c r="I776" s="160"/>
      <c r="K776" s="160"/>
      <c r="M776" s="160"/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>
      <c r="B777" s="130"/>
      <c r="C777" s="160"/>
      <c r="E777" s="160"/>
      <c r="G777" s="160"/>
      <c r="I777" s="160"/>
      <c r="K777" s="160"/>
      <c r="M777" s="160"/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>
      <c r="B778" s="130"/>
      <c r="C778" s="160"/>
      <c r="E778" s="160"/>
      <c r="G778" s="160"/>
      <c r="I778" s="160"/>
      <c r="K778" s="160"/>
      <c r="M778" s="160"/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>
      <c r="B779" s="130"/>
      <c r="C779" s="160"/>
      <c r="E779" s="160"/>
      <c r="G779" s="160"/>
      <c r="I779" s="160"/>
      <c r="K779" s="160"/>
      <c r="M779" s="160"/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>
      <c r="B780" s="130"/>
      <c r="C780" s="160"/>
      <c r="E780" s="160"/>
      <c r="G780" s="160"/>
      <c r="I780" s="160"/>
      <c r="K780" s="160"/>
      <c r="M780" s="160"/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>
      <c r="B781" s="130"/>
      <c r="C781" s="160"/>
      <c r="E781" s="160"/>
      <c r="G781" s="160"/>
      <c r="I781" s="160"/>
      <c r="K781" s="160"/>
      <c r="M781" s="160"/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>
      <c r="B782" s="130"/>
      <c r="C782" s="160"/>
      <c r="E782" s="160"/>
      <c r="G782" s="160"/>
      <c r="I782" s="160"/>
      <c r="K782" s="160"/>
      <c r="M782" s="160"/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>
      <c r="B783" s="130"/>
      <c r="C783" s="160"/>
      <c r="E783" s="160"/>
      <c r="G783" s="160"/>
      <c r="I783" s="160"/>
      <c r="K783" s="160"/>
      <c r="M783" s="160"/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>
      <c r="B784" s="130"/>
      <c r="C784" s="160"/>
      <c r="E784" s="160"/>
      <c r="G784" s="160"/>
      <c r="I784" s="160"/>
      <c r="K784" s="160"/>
      <c r="M784" s="160"/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>
      <c r="B785" s="130"/>
      <c r="C785" s="160"/>
      <c r="E785" s="160"/>
      <c r="G785" s="160"/>
      <c r="I785" s="160"/>
      <c r="K785" s="160"/>
      <c r="M785" s="160"/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>
      <c r="B786" s="130"/>
      <c r="C786" s="160"/>
      <c r="E786" s="160"/>
      <c r="G786" s="160"/>
      <c r="I786" s="160"/>
      <c r="K786" s="160"/>
      <c r="M786" s="160"/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>
      <c r="B787" s="130"/>
      <c r="C787" s="160"/>
      <c r="E787" s="160"/>
      <c r="G787" s="160"/>
      <c r="I787" s="160"/>
      <c r="K787" s="160"/>
      <c r="M787" s="160"/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>
      <c r="B788" s="130"/>
      <c r="C788" s="160"/>
      <c r="E788" s="160"/>
      <c r="G788" s="160"/>
      <c r="I788" s="160"/>
      <c r="K788" s="160"/>
      <c r="M788" s="160"/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>
      <c r="B789" s="130"/>
      <c r="C789" s="160"/>
      <c r="E789" s="160"/>
      <c r="G789" s="160"/>
      <c r="I789" s="160"/>
      <c r="K789" s="160"/>
      <c r="M789" s="160"/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>
      <c r="B790" s="130"/>
      <c r="C790" s="160"/>
      <c r="E790" s="160"/>
      <c r="G790" s="160"/>
      <c r="I790" s="160"/>
      <c r="K790" s="160"/>
      <c r="M790" s="160"/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>
      <c r="B791" s="130"/>
      <c r="C791" s="160"/>
      <c r="E791" s="160"/>
      <c r="G791" s="160"/>
      <c r="I791" s="160"/>
      <c r="K791" s="160"/>
      <c r="M791" s="160"/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>
      <c r="B792" s="130"/>
      <c r="C792" s="160"/>
      <c r="E792" s="160"/>
      <c r="G792" s="160"/>
      <c r="I792" s="160"/>
      <c r="K792" s="160"/>
      <c r="M792" s="160"/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>
      <c r="B793" s="130"/>
      <c r="C793" s="160"/>
      <c r="E793" s="160"/>
      <c r="G793" s="160"/>
      <c r="I793" s="160"/>
      <c r="K793" s="160"/>
      <c r="M793" s="160"/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>
      <c r="B794" s="130"/>
      <c r="C794" s="160"/>
      <c r="E794" s="160"/>
      <c r="G794" s="160"/>
      <c r="I794" s="160"/>
      <c r="K794" s="160"/>
      <c r="M794" s="160"/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>
      <c r="B795" s="130"/>
      <c r="C795" s="160"/>
      <c r="E795" s="160"/>
      <c r="G795" s="160"/>
      <c r="I795" s="160"/>
      <c r="K795" s="160"/>
      <c r="M795" s="160"/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>
      <c r="B796" s="130"/>
      <c r="C796" s="160"/>
      <c r="E796" s="160"/>
      <c r="G796" s="160"/>
      <c r="I796" s="160"/>
      <c r="K796" s="160"/>
      <c r="M796" s="160"/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>
      <c r="B797" s="130"/>
      <c r="C797" s="160"/>
      <c r="E797" s="160"/>
      <c r="G797" s="160"/>
      <c r="I797" s="160"/>
      <c r="K797" s="160"/>
      <c r="M797" s="160"/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>
      <c r="B798" s="130"/>
      <c r="C798" s="160"/>
      <c r="E798" s="160"/>
      <c r="G798" s="160"/>
      <c r="I798" s="160"/>
      <c r="K798" s="160"/>
      <c r="M798" s="160"/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>
      <c r="B799" s="130"/>
      <c r="C799" s="160"/>
      <c r="E799" s="160"/>
      <c r="G799" s="160"/>
      <c r="I799" s="160"/>
      <c r="K799" s="160"/>
      <c r="M799" s="160"/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>
      <c r="B800" s="130"/>
      <c r="C800" s="160"/>
      <c r="E800" s="160"/>
      <c r="G800" s="160"/>
      <c r="I800" s="160"/>
      <c r="K800" s="160"/>
      <c r="M800" s="160"/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>
      <c r="B801" s="130"/>
      <c r="C801" s="160"/>
      <c r="E801" s="160"/>
      <c r="G801" s="160"/>
      <c r="I801" s="160"/>
      <c r="K801" s="160"/>
      <c r="M801" s="160"/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>
      <c r="B802" s="130"/>
      <c r="C802" s="160"/>
      <c r="E802" s="160"/>
      <c r="G802" s="160"/>
      <c r="I802" s="160"/>
      <c r="K802" s="160"/>
      <c r="M802" s="160"/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>
      <c r="B803" s="130"/>
      <c r="C803" s="160"/>
      <c r="E803" s="160"/>
      <c r="G803" s="160"/>
      <c r="I803" s="160"/>
      <c r="K803" s="160"/>
      <c r="M803" s="160"/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>
      <c r="B804" s="130"/>
      <c r="C804" s="160"/>
      <c r="E804" s="160"/>
      <c r="G804" s="160"/>
      <c r="I804" s="160"/>
      <c r="K804" s="160"/>
      <c r="M804" s="160"/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>
      <c r="B805" s="130"/>
      <c r="C805" s="160"/>
      <c r="E805" s="160"/>
      <c r="G805" s="160"/>
      <c r="I805" s="160"/>
      <c r="K805" s="160"/>
      <c r="M805" s="160"/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>
      <c r="B806" s="130"/>
      <c r="C806" s="160"/>
      <c r="E806" s="160"/>
      <c r="G806" s="160"/>
      <c r="I806" s="160"/>
      <c r="K806" s="160"/>
      <c r="M806" s="160"/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>
      <c r="B807" s="130"/>
      <c r="C807" s="160"/>
      <c r="E807" s="160"/>
      <c r="G807" s="160"/>
      <c r="I807" s="160"/>
      <c r="K807" s="160"/>
      <c r="M807" s="160"/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>
      <c r="B808" s="130"/>
      <c r="C808" s="160"/>
      <c r="E808" s="160"/>
      <c r="G808" s="160"/>
      <c r="I808" s="160"/>
      <c r="K808" s="160"/>
      <c r="M808" s="160"/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>
      <c r="B809" s="130"/>
      <c r="C809" s="160"/>
      <c r="E809" s="160"/>
      <c r="G809" s="160"/>
      <c r="I809" s="160"/>
      <c r="K809" s="160"/>
      <c r="M809" s="160"/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>
      <c r="B810" s="130"/>
      <c r="C810" s="160"/>
      <c r="E810" s="160"/>
      <c r="G810" s="160"/>
      <c r="I810" s="160"/>
      <c r="K810" s="160"/>
      <c r="M810" s="160"/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>
      <c r="B811" s="130"/>
      <c r="C811" s="160"/>
      <c r="E811" s="160"/>
      <c r="G811" s="160"/>
      <c r="I811" s="160"/>
      <c r="K811" s="160"/>
      <c r="M811" s="160"/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>
      <c r="B812" s="130"/>
      <c r="C812" s="160"/>
      <c r="E812" s="160"/>
      <c r="G812" s="160"/>
      <c r="I812" s="160"/>
      <c r="K812" s="160"/>
      <c r="M812" s="160"/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>
      <c r="B813" s="130"/>
      <c r="C813" s="160"/>
      <c r="E813" s="160"/>
      <c r="G813" s="160"/>
      <c r="I813" s="160"/>
      <c r="K813" s="160"/>
      <c r="M813" s="160"/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>
      <c r="B814" s="130"/>
      <c r="C814" s="160"/>
      <c r="E814" s="160"/>
      <c r="G814" s="160"/>
      <c r="I814" s="160"/>
      <c r="K814" s="160"/>
      <c r="M814" s="160"/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>
      <c r="B815" s="130"/>
      <c r="C815" s="160"/>
      <c r="E815" s="160"/>
      <c r="G815" s="160"/>
      <c r="I815" s="160"/>
      <c r="K815" s="160"/>
      <c r="M815" s="160"/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>
      <c r="B816" s="130"/>
      <c r="C816" s="160"/>
      <c r="E816" s="160"/>
      <c r="G816" s="160"/>
      <c r="I816" s="160"/>
      <c r="K816" s="160"/>
      <c r="M816" s="160"/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>
      <c r="B817" s="130"/>
      <c r="C817" s="160"/>
      <c r="E817" s="160"/>
      <c r="G817" s="160"/>
      <c r="I817" s="160"/>
      <c r="K817" s="160"/>
      <c r="M817" s="160"/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>
      <c r="B818" s="130"/>
      <c r="C818" s="160"/>
      <c r="E818" s="160"/>
      <c r="G818" s="160"/>
      <c r="I818" s="160"/>
      <c r="K818" s="160"/>
      <c r="M818" s="160"/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>
      <c r="B819" s="130"/>
      <c r="C819" s="160"/>
      <c r="E819" s="160"/>
      <c r="G819" s="160"/>
      <c r="I819" s="160"/>
      <c r="K819" s="160"/>
      <c r="M819" s="160"/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>
      <c r="B820" s="130"/>
      <c r="C820" s="160"/>
      <c r="E820" s="160"/>
      <c r="G820" s="160"/>
      <c r="I820" s="160"/>
      <c r="K820" s="160"/>
      <c r="M820" s="160"/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>
      <c r="B821" s="130"/>
      <c r="C821" s="160"/>
      <c r="E821" s="160"/>
      <c r="G821" s="160"/>
      <c r="I821" s="160"/>
      <c r="K821" s="160"/>
      <c r="M821" s="160"/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>
      <c r="B822" s="130"/>
      <c r="C822" s="160"/>
      <c r="E822" s="160"/>
      <c r="G822" s="160"/>
      <c r="I822" s="160"/>
      <c r="K822" s="160"/>
      <c r="M822" s="160"/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>
      <c r="B823" s="130"/>
      <c r="C823" s="160"/>
      <c r="E823" s="160"/>
      <c r="G823" s="160"/>
      <c r="I823" s="160"/>
      <c r="K823" s="160"/>
      <c r="M823" s="160"/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>
      <c r="B824" s="130"/>
      <c r="C824" s="160"/>
      <c r="E824" s="160"/>
      <c r="G824" s="160"/>
      <c r="I824" s="160"/>
      <c r="K824" s="160"/>
      <c r="M824" s="160"/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>
      <c r="B825" s="130"/>
      <c r="C825" s="160"/>
      <c r="E825" s="160"/>
      <c r="G825" s="160"/>
      <c r="I825" s="160"/>
      <c r="K825" s="160"/>
      <c r="M825" s="160"/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>
      <c r="B826" s="130"/>
      <c r="C826" s="160"/>
      <c r="E826" s="160"/>
      <c r="G826" s="160"/>
      <c r="I826" s="160"/>
      <c r="K826" s="160"/>
      <c r="M826" s="160"/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>
      <c r="B827" s="130"/>
      <c r="C827" s="160"/>
      <c r="E827" s="160"/>
      <c r="G827" s="160"/>
      <c r="I827" s="160"/>
      <c r="K827" s="160"/>
      <c r="M827" s="160"/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>
      <c r="B828" s="130"/>
      <c r="C828" s="160"/>
      <c r="E828" s="160"/>
      <c r="G828" s="160"/>
      <c r="I828" s="160"/>
      <c r="K828" s="160"/>
      <c r="M828" s="160"/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>
      <c r="B829" s="130"/>
      <c r="C829" s="160"/>
      <c r="E829" s="160"/>
      <c r="G829" s="160"/>
      <c r="I829" s="160"/>
      <c r="K829" s="160"/>
      <c r="M829" s="160"/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>
      <c r="B830" s="130"/>
      <c r="C830" s="160"/>
      <c r="E830" s="160"/>
      <c r="G830" s="160"/>
      <c r="I830" s="160"/>
      <c r="K830" s="160"/>
      <c r="M830" s="160"/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>
      <c r="B831" s="130"/>
      <c r="C831" s="160"/>
      <c r="E831" s="160"/>
      <c r="G831" s="160"/>
      <c r="I831" s="160"/>
      <c r="K831" s="160"/>
      <c r="M831" s="160"/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2.95" thickBot="1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>
      <c r="AB1000" s="172" t="str">
        <f>IFERROR(VALUE(RIGHT(AA1000,LEN(AA1000)-MIN(FIND({0;1;2;3;4;5;6;7;8;9},AA1000&amp;"0123456789"))+1)),"")</f>
        <v/>
      </c>
    </row>
  </sheetData>
  <mergeCells count="18">
    <mergeCell ref="V4:Y4"/>
    <mergeCell ref="V5:Y5"/>
    <mergeCell ref="N2:N3"/>
    <mergeCell ref="P4:S4"/>
    <mergeCell ref="P8:S8"/>
    <mergeCell ref="V6:W6"/>
    <mergeCell ref="V7:W7"/>
    <mergeCell ref="X6:Y6"/>
    <mergeCell ref="X7:Y7"/>
    <mergeCell ref="P21:P22"/>
    <mergeCell ref="P16:S16"/>
    <mergeCell ref="B2:C2"/>
    <mergeCell ref="D2:E2"/>
    <mergeCell ref="F2:G2"/>
    <mergeCell ref="J2:K2"/>
    <mergeCell ref="L2:M2"/>
    <mergeCell ref="H2:I2"/>
    <mergeCell ref="P12:S12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1:AB1000"/>
  <sheetViews>
    <sheetView workbookViewId="0"/>
  </sheetViews>
  <sheetFormatPr defaultRowHeight="12.6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2.95" thickBot="1">
      <c r="AA1" s="323"/>
      <c r="AB1" s="323"/>
    </row>
    <row r="2" spans="2:28" ht="12.95">
      <c r="B2" s="538" t="s">
        <v>487</v>
      </c>
      <c r="C2" s="539"/>
      <c r="D2" s="538" t="s">
        <v>488</v>
      </c>
      <c r="E2" s="539"/>
      <c r="F2" s="538" t="s">
        <v>489</v>
      </c>
      <c r="G2" s="540"/>
      <c r="H2" s="538" t="s">
        <v>513</v>
      </c>
      <c r="I2" s="539"/>
      <c r="J2" s="550" t="s">
        <v>490</v>
      </c>
      <c r="K2" s="539"/>
      <c r="L2" s="538" t="s">
        <v>493</v>
      </c>
      <c r="M2" s="539"/>
      <c r="N2" s="560" t="s">
        <v>471</v>
      </c>
      <c r="AA2" s="172"/>
      <c r="AB2" s="172" t="str">
        <f>IFERROR(VALUE(RIGHT(AA2,LEN(AA2)-MIN(FIND({0;1;2;3;4;5;6;7;8;9},AA2&amp;"0123456789"))+1)),"")</f>
        <v/>
      </c>
    </row>
    <row r="3" spans="2:28" ht="13.5" thickBot="1">
      <c r="B3" s="157" t="s">
        <v>495</v>
      </c>
      <c r="C3" s="158" t="s">
        <v>376</v>
      </c>
      <c r="D3" s="157" t="s">
        <v>495</v>
      </c>
      <c r="E3" s="158" t="s">
        <v>361</v>
      </c>
      <c r="F3" s="157" t="s">
        <v>495</v>
      </c>
      <c r="G3" s="164" t="s">
        <v>496</v>
      </c>
      <c r="H3" s="134" t="s">
        <v>495</v>
      </c>
      <c r="I3" s="135" t="s">
        <v>376</v>
      </c>
      <c r="J3" s="165" t="s">
        <v>495</v>
      </c>
      <c r="K3" s="158" t="s">
        <v>496</v>
      </c>
      <c r="L3" s="157" t="s">
        <v>495</v>
      </c>
      <c r="M3" s="158" t="s">
        <v>385</v>
      </c>
      <c r="N3" s="561"/>
      <c r="AA3" s="172"/>
      <c r="AB3" s="172" t="str">
        <f>IFERROR(VALUE(RIGHT(AA3,LEN(AA3)-MIN(FIND({0;1;2;3;4;5;6;7;8;9},AA3&amp;"0123456789"))+1)),"")</f>
        <v/>
      </c>
    </row>
    <row r="4" spans="2:28" ht="13.5" thickBot="1">
      <c r="B4" s="130">
        <v>0</v>
      </c>
      <c r="C4" s="159">
        <v>27.379629108977877</v>
      </c>
      <c r="D4">
        <v>0</v>
      </c>
      <c r="E4" s="159">
        <v>-1409.8722672916226</v>
      </c>
      <c r="F4">
        <v>0</v>
      </c>
      <c r="G4" s="159">
        <v>829.98206270837727</v>
      </c>
      <c r="H4">
        <v>0</v>
      </c>
      <c r="I4" s="160">
        <v>17.503581981361464</v>
      </c>
      <c r="J4">
        <v>0</v>
      </c>
      <c r="K4" s="159">
        <v>2.6338906002233671</v>
      </c>
      <c r="L4">
        <v>0</v>
      </c>
      <c r="M4" s="159">
        <v>179.90372993163726</v>
      </c>
      <c r="N4" s="143">
        <v>4</v>
      </c>
      <c r="P4" s="547" t="s">
        <v>360</v>
      </c>
      <c r="Q4" s="548"/>
      <c r="R4" s="548"/>
      <c r="S4" s="549"/>
      <c r="V4" s="556" t="s">
        <v>514</v>
      </c>
      <c r="W4" s="557"/>
      <c r="X4" s="557"/>
      <c r="Y4" s="558"/>
      <c r="AA4" s="172"/>
      <c r="AB4" s="172" t="str">
        <f>IFERROR(VALUE(RIGHT(AA4,LEN(AA4)-MIN(FIND({0;1;2;3;4;5;6;7;8;9},AA4&amp;"0123456789"))+1)),"")</f>
        <v/>
      </c>
    </row>
    <row r="5" spans="2:28" ht="12.95">
      <c r="B5" s="130">
        <v>4.0016717557251908</v>
      </c>
      <c r="C5" s="160">
        <v>27.386364316752541</v>
      </c>
      <c r="D5">
        <v>4.0016717557251908</v>
      </c>
      <c r="E5" s="160">
        <v>-1413.8807677844734</v>
      </c>
      <c r="F5">
        <v>4.0016717557251908</v>
      </c>
      <c r="G5" s="160">
        <v>825.9735622155265</v>
      </c>
      <c r="H5">
        <v>0.19934482758620689</v>
      </c>
      <c r="I5" s="160">
        <v>17.308811222788265</v>
      </c>
      <c r="J5">
        <v>0.19934482758620689</v>
      </c>
      <c r="K5" s="160">
        <v>2.5914334879889793</v>
      </c>
      <c r="L5">
        <v>2.0008358778625954</v>
      </c>
      <c r="M5" s="160">
        <v>179.90372993163726</v>
      </c>
      <c r="N5" s="143">
        <f>N4+1</f>
        <v>5</v>
      </c>
      <c r="P5" s="136" t="s">
        <v>499</v>
      </c>
      <c r="Q5" s="133" t="s">
        <v>376</v>
      </c>
      <c r="R5" s="133" t="s">
        <v>361</v>
      </c>
      <c r="S5" s="137" t="s">
        <v>471</v>
      </c>
      <c r="V5" s="538" t="s">
        <v>515</v>
      </c>
      <c r="W5" s="559"/>
      <c r="X5" s="559"/>
      <c r="Y5" s="539"/>
      <c r="AA5" s="172"/>
      <c r="AB5" s="172" t="str">
        <f>IFERROR(VALUE(RIGHT(AA5,LEN(AA5)-MIN(FIND({0;1;2;3;4;5;6;7;8;9},AA5&amp;"0123456789"))+1)),"")</f>
        <v/>
      </c>
    </row>
    <row r="6" spans="2:28" ht="13.5" customHeight="1" thickBot="1">
      <c r="B6" s="130">
        <v>8.0033435114503817</v>
      </c>
      <c r="C6" s="160">
        <v>27.393131363402336</v>
      </c>
      <c r="D6">
        <v>8.0033435114503817</v>
      </c>
      <c r="E6" s="160">
        <v>-1417.8892351258937</v>
      </c>
      <c r="F6">
        <v>8.0033435114503817</v>
      </c>
      <c r="G6" s="160">
        <v>821.96509487410617</v>
      </c>
      <c r="H6">
        <v>0.39868965517241378</v>
      </c>
      <c r="I6" s="160">
        <v>17.114046724226359</v>
      </c>
      <c r="J6">
        <v>0.39868965517241378</v>
      </c>
      <c r="K6" s="160">
        <v>2.5489479109928652</v>
      </c>
      <c r="L6">
        <v>6.0025076335877863</v>
      </c>
      <c r="M6" s="160">
        <v>179.90327404181113</v>
      </c>
      <c r="N6" s="143">
        <f t="shared" ref="N6:N69" si="0">N5+1</f>
        <v>6</v>
      </c>
      <c r="P6" s="140">
        <f>MAX(B4:B999)</f>
        <v>852.2190000000071</v>
      </c>
      <c r="Q6" s="141">
        <f>VLOOKUP(P6,B:C,2,FALSE)</f>
        <v>9.9526576534674334</v>
      </c>
      <c r="R6" s="141">
        <f>VLOOKUP(P6,D:E,2,FALSE)</f>
        <v>-2236.1900683441818</v>
      </c>
      <c r="S6" s="142">
        <f>VLOOKUP(P6,F:N,7,FALSE)</f>
        <v>851.10950000000707</v>
      </c>
      <c r="V6" s="562" t="s">
        <v>499</v>
      </c>
      <c r="W6" s="563"/>
      <c r="X6" s="566" t="s">
        <v>471</v>
      </c>
      <c r="Y6" s="567"/>
      <c r="AA6" s="172" t="s">
        <v>516</v>
      </c>
      <c r="AB6" s="172" t="str">
        <f>IFERROR(VALUE(RIGHT(AA6,LEN(AA6)-MIN(FIND({0;1;2;3;4;5;6;7;8;9},AA6&amp;"0123456789"))+1)),"")</f>
        <v/>
      </c>
    </row>
    <row r="7" spans="2:28" ht="12.95" thickBot="1">
      <c r="B7" s="130">
        <v>12.005015267175573</v>
      </c>
      <c r="C7" s="160">
        <v>27.39993142222605</v>
      </c>
      <c r="D7">
        <v>12.005015267175573</v>
      </c>
      <c r="E7" s="160">
        <v>-1421.8976693136401</v>
      </c>
      <c r="F7">
        <v>12.005015267175573</v>
      </c>
      <c r="G7" s="160">
        <v>817.95666068635978</v>
      </c>
      <c r="H7">
        <v>0.5980344827586207</v>
      </c>
      <c r="I7" s="160">
        <v>16.919275142421839</v>
      </c>
      <c r="J7">
        <v>0.5980344827586207</v>
      </c>
      <c r="K7" s="160">
        <v>2.5064950630307976</v>
      </c>
      <c r="L7">
        <v>10.004179389312977</v>
      </c>
      <c r="M7" s="160">
        <v>179.9028013735454</v>
      </c>
      <c r="N7" s="143">
        <f t="shared" si="0"/>
        <v>7</v>
      </c>
      <c r="V7" s="564">
        <f>P6-'Script Table'!E15-'Script Table'!E19</f>
        <v>844.2190000000071</v>
      </c>
      <c r="W7" s="565"/>
      <c r="X7" s="568">
        <f>MATCH(V7,F1:F999,1)</f>
        <v>554</v>
      </c>
      <c r="Y7" s="569"/>
      <c r="AA7" s="172"/>
      <c r="AB7" s="172" t="str">
        <f>IFERROR(VALUE(RIGHT(AA7,LEN(AA7)-MIN(FIND({0;1;2;3;4;5;6;7;8;9},AA7&amp;"0123456789"))+1)),"")</f>
        <v/>
      </c>
    </row>
    <row r="8" spans="2:28" ht="26.45" thickBot="1">
      <c r="B8" s="130">
        <v>16.006687022900763</v>
      </c>
      <c r="C8" s="160">
        <v>27.406764841082619</v>
      </c>
      <c r="D8">
        <v>16.006687022900763</v>
      </c>
      <c r="E8" s="160">
        <v>-1425.9060703468476</v>
      </c>
      <c r="F8">
        <v>16.006687022900763</v>
      </c>
      <c r="G8" s="160">
        <v>813.94825965315226</v>
      </c>
      <c r="H8">
        <v>0.79737931034482756</v>
      </c>
      <c r="I8" s="160">
        <v>16.724485735855538</v>
      </c>
      <c r="J8">
        <v>0.79737931034482756</v>
      </c>
      <c r="K8" s="160">
        <v>2.4641243225396465</v>
      </c>
      <c r="L8">
        <v>14.005851145038168</v>
      </c>
      <c r="M8" s="160">
        <v>179.90232372519816</v>
      </c>
      <c r="N8" s="143">
        <f t="shared" si="0"/>
        <v>8</v>
      </c>
      <c r="P8" s="553" t="s">
        <v>517</v>
      </c>
      <c r="Q8" s="554"/>
      <c r="R8" s="554"/>
      <c r="S8" s="555"/>
      <c r="T8" s="178" t="s">
        <v>518</v>
      </c>
      <c r="AA8" s="172"/>
      <c r="AB8" s="172" t="str">
        <f>IFERROR(VALUE(RIGHT(AA8,LEN(AA8)-MIN(FIND({0;1;2;3;4;5;6;7;8;9},AA8&amp;"0123456789"))+1)),"")</f>
        <v/>
      </c>
    </row>
    <row r="9" spans="2:28" ht="13.5" thickBot="1">
      <c r="B9" s="130">
        <v>20.008358778625954</v>
      </c>
      <c r="C9" s="160">
        <v>27.413631950108652</v>
      </c>
      <c r="D9">
        <v>20.008358778625954</v>
      </c>
      <c r="E9" s="160">
        <v>-1429.9144382246718</v>
      </c>
      <c r="F9">
        <v>20.008358778625954</v>
      </c>
      <c r="G9" s="160">
        <v>809.93989177532808</v>
      </c>
      <c r="H9">
        <v>0.99672413793103443</v>
      </c>
      <c r="I9" s="160">
        <v>16.529666743522089</v>
      </c>
      <c r="J9">
        <v>0.99672413793103443</v>
      </c>
      <c r="K9" s="160">
        <v>2.4218900711616698</v>
      </c>
      <c r="L9">
        <v>18.007522900763359</v>
      </c>
      <c r="M9" s="160">
        <v>179.90184134996949</v>
      </c>
      <c r="N9" s="143">
        <f t="shared" si="0"/>
        <v>9</v>
      </c>
      <c r="P9" s="136" t="s">
        <v>499</v>
      </c>
      <c r="Q9" s="133" t="s">
        <v>376</v>
      </c>
      <c r="R9" s="133" t="s">
        <v>361</v>
      </c>
      <c r="S9" s="162" t="s">
        <v>471</v>
      </c>
      <c r="T9" s="179"/>
      <c r="V9" s="147" t="s">
        <v>519</v>
      </c>
      <c r="W9" s="145">
        <f ca="1">Q18-Q6-X9</f>
        <v>23.36552155046445</v>
      </c>
      <c r="X9" s="155">
        <f ca="1">0.5*'Script Table'!E11*COS(RADIANS(180-VLOOKUP(P18,L:M,2)))</f>
        <v>0.14091604183796266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>
      <c r="B10" s="130">
        <v>24.010030534351145</v>
      </c>
      <c r="C10" s="160">
        <v>27.420533083732376</v>
      </c>
      <c r="D10">
        <v>24.010030534351145</v>
      </c>
      <c r="E10" s="160">
        <v>-1433.9227729462541</v>
      </c>
      <c r="F10">
        <v>24.010030534351145</v>
      </c>
      <c r="G10" s="160">
        <v>805.93155705374579</v>
      </c>
      <c r="H10">
        <v>1.1960689655172414</v>
      </c>
      <c r="I10" s="160">
        <v>16.334785233715902</v>
      </c>
      <c r="J10">
        <v>1.1960689655172414</v>
      </c>
      <c r="K10" s="160">
        <v>2.3799454869354122</v>
      </c>
      <c r="L10">
        <v>22.00919465648855</v>
      </c>
      <c r="M10" s="160">
        <v>179.90135418639699</v>
      </c>
      <c r="N10" s="143">
        <f t="shared" si="0"/>
        <v>10</v>
      </c>
      <c r="P10" s="140">
        <f ca="1">IF(T10="Não",INDIRECT("B"&amp;S10),INDIRECT("H"&amp;S10))</f>
        <v>831.21900000000505</v>
      </c>
      <c r="Q10" s="141">
        <f ca="1">IF(T10="Não",INDIRECT("C"&amp;S10),INDIRECT("I"&amp;S10))</f>
        <v>29.792870774615668</v>
      </c>
      <c r="R10" s="141">
        <f ca="1">IF(T10="Não",INDIRECT("E"&amp;S10))</f>
        <v>-2239.8629774232331</v>
      </c>
      <c r="S10" s="153">
        <f ca="1">IF(T10="Não",1+MATCH(0,G1:G999,-1),MATCH(0,K1:K999,-1))</f>
        <v>490</v>
      </c>
      <c r="T10" s="163" t="str">
        <f ca="1">IF(MIN(K4:K999)&gt;0,"Não",IF(MIN(INDIRECT("G4:G"&amp;X7))&gt;0,"Sim","Não"))</f>
        <v>Não</v>
      </c>
      <c r="V10" s="166" t="s">
        <v>520</v>
      </c>
      <c r="W10" s="167">
        <f ca="1">Q10-Q14</f>
        <v>2.5857124794461832</v>
      </c>
      <c r="AA10" s="172"/>
      <c r="AB10" s="172" t="str">
        <f>IFERROR(VALUE(RIGHT(AA10,LEN(AA10)-MIN(FIND({0;1;2;3;4;5;6;7;8;9},AA10&amp;"0123456789"))+1)),"")</f>
        <v/>
      </c>
    </row>
    <row r="11" spans="2:28" ht="12.95" thickBot="1">
      <c r="B11" s="130">
        <v>28.011702290076336</v>
      </c>
      <c r="C11" s="160">
        <v>27.427468581369119</v>
      </c>
      <c r="D11">
        <v>28.011702290076336</v>
      </c>
      <c r="E11" s="160">
        <v>-1437.9310745107175</v>
      </c>
      <c r="F11">
        <v>28.011702290076336</v>
      </c>
      <c r="G11" s="160">
        <v>801.92325548928238</v>
      </c>
      <c r="H11">
        <v>1.3954137931034483</v>
      </c>
      <c r="I11" s="160">
        <v>16.139824148611549</v>
      </c>
      <c r="J11">
        <v>1.3954137931034483</v>
      </c>
      <c r="K11" s="160">
        <v>2.3383725891794711</v>
      </c>
      <c r="L11">
        <v>26.010866412213741</v>
      </c>
      <c r="M11" s="160">
        <v>179.90086216307481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6.1">
      <c r="B12" s="130">
        <v>32.013374045801527</v>
      </c>
      <c r="C12" s="160">
        <v>27.434438787538017</v>
      </c>
      <c r="D12">
        <v>32.013374045801527</v>
      </c>
      <c r="E12" s="160">
        <v>-1441.9393429171673</v>
      </c>
      <c r="F12">
        <v>32.013374045801527</v>
      </c>
      <c r="G12" s="160">
        <v>797.91498708283257</v>
      </c>
      <c r="H12">
        <v>1.5947586206896551</v>
      </c>
      <c r="I12" s="160">
        <v>15.944780915880242</v>
      </c>
      <c r="J12">
        <v>1.5947586206896551</v>
      </c>
      <c r="K12" s="160">
        <v>2.2971870602796116</v>
      </c>
      <c r="L12">
        <v>30.012538167938931</v>
      </c>
      <c r="M12" s="160">
        <v>179.90036520692638</v>
      </c>
      <c r="N12" s="143">
        <f t="shared" si="0"/>
        <v>12</v>
      </c>
      <c r="P12" s="553" t="s">
        <v>521</v>
      </c>
      <c r="Q12" s="554"/>
      <c r="R12" s="554"/>
      <c r="S12" s="555"/>
      <c r="T12" s="178" t="s">
        <v>518</v>
      </c>
      <c r="AA12" s="172"/>
      <c r="AB12" s="172" t="str">
        <f>IFERROR(VALUE(RIGHT(AA12,LEN(AA12)-MIN(FIND({0;1;2;3;4;5;6;7;8;9},AA12&amp;"0123456789"))+1)),"")</f>
        <v/>
      </c>
    </row>
    <row r="13" spans="2:28" ht="12.95">
      <c r="B13" s="130">
        <v>36.015045801526718</v>
      </c>
      <c r="C13" s="160">
        <v>27.441444051965309</v>
      </c>
      <c r="D13">
        <v>36.015045801526718</v>
      </c>
      <c r="E13" s="160">
        <v>-1445.947578164692</v>
      </c>
      <c r="F13">
        <v>36.015045801526718</v>
      </c>
      <c r="G13" s="160">
        <v>793.90675183530789</v>
      </c>
      <c r="H13">
        <v>1.794103448275862</v>
      </c>
      <c r="I13" s="160">
        <v>15.749670010638967</v>
      </c>
      <c r="J13">
        <v>1.794103448275862</v>
      </c>
      <c r="K13" s="160">
        <v>2.2563235644238375</v>
      </c>
      <c r="L13">
        <v>34.014209923664126</v>
      </c>
      <c r="M13" s="160">
        <v>179.89986324339631</v>
      </c>
      <c r="N13" s="143">
        <f t="shared" si="0"/>
        <v>13</v>
      </c>
      <c r="P13" s="136" t="s">
        <v>499</v>
      </c>
      <c r="Q13" s="133" t="s">
        <v>376</v>
      </c>
      <c r="R13" s="133" t="s">
        <v>361</v>
      </c>
      <c r="S13" s="137" t="s">
        <v>471</v>
      </c>
      <c r="T13" s="179"/>
      <c r="AA13" s="171"/>
      <c r="AB13" s="172" t="str">
        <f>IFERROR(VALUE(RIGHT(AA13,LEN(AA13)-MIN(FIND({0;1;2;3;4;5;6;7;8;9},AA13&amp;"0123456789"))+1)),"")</f>
        <v/>
      </c>
    </row>
    <row r="14" spans="2:28" ht="12.95" thickBot="1">
      <c r="B14" s="130">
        <v>40.016717557251908</v>
      </c>
      <c r="C14" s="160">
        <v>27.448484729689845</v>
      </c>
      <c r="D14">
        <v>40.016717557251908</v>
      </c>
      <c r="E14" s="160">
        <v>-1449.9557802523607</v>
      </c>
      <c r="F14">
        <v>40.016717557251908</v>
      </c>
      <c r="G14" s="160">
        <v>789.89854974763921</v>
      </c>
      <c r="H14">
        <v>1.9934482758620689</v>
      </c>
      <c r="I14" s="160">
        <v>15.554517618140119</v>
      </c>
      <c r="J14">
        <v>1.9934482758620689</v>
      </c>
      <c r="K14" s="160">
        <v>2.2156589029023053</v>
      </c>
      <c r="L14">
        <v>38.01588167938931</v>
      </c>
      <c r="M14" s="160">
        <v>179.89935619641847</v>
      </c>
      <c r="N14" s="143">
        <f t="shared" si="0"/>
        <v>14</v>
      </c>
      <c r="P14" s="140">
        <f ca="1">IF(T14="Não",INDIRECT("B"&amp;S14),INDIRECT("H"&amp;S14))</f>
        <v>833.81900000000564</v>
      </c>
      <c r="Q14" s="141">
        <f ca="1">IF(T14="Não",INDIRECT("C"&amp;S14),INDIRECT("I"&amp;S14))</f>
        <v>27.207158295169485</v>
      </c>
      <c r="R14" s="141">
        <f ca="1">IF(T14="Não",INDIRECT("E"&amp;S14))</f>
        <v>-2239.8743919851627</v>
      </c>
      <c r="S14" s="153">
        <f ca="1">IF(T14="Não",S10-1+MATCH(0,INDIRECT("G"&amp;S10&amp;":G999"),1),MATCH(0,K1:K1003,1))</f>
        <v>503</v>
      </c>
      <c r="T14" s="163" t="str">
        <f>IF(MIN(K4:K1003)&gt;0,"Não","Sim")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2.95" thickBot="1">
      <c r="B15" s="130">
        <v>44.018389312977099</v>
      </c>
      <c r="C15" s="160">
        <v>27.455561181171216</v>
      </c>
      <c r="D15">
        <v>44.018389312977099</v>
      </c>
      <c r="E15" s="160">
        <v>-1453.9639491792234</v>
      </c>
      <c r="F15">
        <v>44.018389312977099</v>
      </c>
      <c r="G15" s="160">
        <v>785.8903808207765</v>
      </c>
      <c r="H15">
        <v>2.1927931034482757</v>
      </c>
      <c r="I15" s="160">
        <v>15.359344279494422</v>
      </c>
      <c r="J15">
        <v>2.1927931034482757</v>
      </c>
      <c r="K15" s="160">
        <v>2.1750899926696547</v>
      </c>
      <c r="L15">
        <v>42.017553435114507</v>
      </c>
      <c r="M15" s="160">
        <v>179.89884398837845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ht="12.95">
      <c r="B16" s="130">
        <v>48.02006106870229</v>
      </c>
      <c r="C16" s="160">
        <v>27.462673772400688</v>
      </c>
      <c r="D16">
        <v>48.02006106870229</v>
      </c>
      <c r="E16" s="160">
        <v>-1457.9720849443111</v>
      </c>
      <c r="F16">
        <v>48.02006106870229</v>
      </c>
      <c r="G16" s="160">
        <v>781.88224505568883</v>
      </c>
      <c r="H16">
        <v>2.3921379310344828</v>
      </c>
      <c r="I16" s="160">
        <v>15.163900044968743</v>
      </c>
      <c r="J16">
        <v>2.3921379310344828</v>
      </c>
      <c r="K16" s="160">
        <v>2.1358472926149261</v>
      </c>
      <c r="L16">
        <v>46.019225190839691</v>
      </c>
      <c r="M16" s="160">
        <v>179.89832654007355</v>
      </c>
      <c r="N16" s="143">
        <f t="shared" si="0"/>
        <v>16</v>
      </c>
      <c r="P16" s="547" t="s">
        <v>522</v>
      </c>
      <c r="Q16" s="548"/>
      <c r="R16" s="548"/>
      <c r="S16" s="549"/>
      <c r="AA16" s="171"/>
      <c r="AB16" s="172" t="str">
        <f>IFERROR(VALUE(RIGHT(AA16,LEN(AA16)-MIN(FIND({0;1;2;3;4;5;6;7;8;9},AA16&amp;"0123456789"))+1)),"")</f>
        <v/>
      </c>
    </row>
    <row r="17" spans="2:28" ht="12.95">
      <c r="B17" s="130">
        <v>52.021732824427481</v>
      </c>
      <c r="C17" s="160">
        <v>27.469822875014959</v>
      </c>
      <c r="D17">
        <v>52.021732824427481</v>
      </c>
      <c r="E17" s="160">
        <v>-1461.9801875466344</v>
      </c>
      <c r="F17">
        <v>52.021732824427481</v>
      </c>
      <c r="G17" s="160">
        <v>777.87414245336549</v>
      </c>
      <c r="H17">
        <v>2.5914827586206899</v>
      </c>
      <c r="I17" s="160">
        <v>14.967945500423395</v>
      </c>
      <c r="J17">
        <v>2.5914827586206899</v>
      </c>
      <c r="K17" s="160">
        <v>2.0992383303509996</v>
      </c>
      <c r="L17">
        <v>50.020896946564889</v>
      </c>
      <c r="M17" s="160">
        <v>179.89780377067231</v>
      </c>
      <c r="N17" s="143">
        <f t="shared" si="0"/>
        <v>17</v>
      </c>
      <c r="P17" s="136" t="s">
        <v>499</v>
      </c>
      <c r="Q17" s="133" t="s">
        <v>376</v>
      </c>
      <c r="R17" s="133" t="s">
        <v>361</v>
      </c>
      <c r="S17" s="137" t="s">
        <v>471</v>
      </c>
      <c r="AA17" s="171"/>
      <c r="AB17" s="172" t="str">
        <f>IFERROR(VALUE(RIGHT(AA17,LEN(AA17)-MIN(FIND({0;1;2;3;4;5;6;7;8;9},AA17&amp;"0123456789"))+1)),"")</f>
        <v/>
      </c>
    </row>
    <row r="18" spans="2:28" ht="12.95" thickBot="1">
      <c r="B18" s="130">
        <v>56.023404580152672</v>
      </c>
      <c r="C18" s="160">
        <v>27.47700886641287</v>
      </c>
      <c r="D18">
        <v>56.023404580152672</v>
      </c>
      <c r="E18" s="160">
        <v>-1465.9882569851834</v>
      </c>
      <c r="F18">
        <v>56.023404580152672</v>
      </c>
      <c r="G18" s="160">
        <v>773.86607301481649</v>
      </c>
      <c r="H18">
        <v>2.790827586206897</v>
      </c>
      <c r="I18" s="160">
        <v>14.77130579150535</v>
      </c>
      <c r="J18">
        <v>2.790827586206897</v>
      </c>
      <c r="K18" s="160">
        <v>2.066509446227883</v>
      </c>
      <c r="L18">
        <v>54.022568702290073</v>
      </c>
      <c r="M18" s="160">
        <v>179.89727559767209</v>
      </c>
      <c r="N18" s="143">
        <f t="shared" si="0"/>
        <v>18</v>
      </c>
      <c r="P18" s="140">
        <f ca="1">TREND((INDIRECT("D"&amp;S18&amp;":D"&amp;S18+1)),INDIRECT("E"&amp;S18&amp;":E"&amp;(S18+1)),R18)</f>
        <v>825.72922772199263</v>
      </c>
      <c r="Q18" s="152">
        <f ca="1">TREND((INDIRECT("C"&amp;S18&amp;":C"&amp;S18+1)),INDIRECT("E"&amp;S18&amp;":E"&amp;(S18+1)),R18)</f>
        <v>33.459095245769845</v>
      </c>
      <c r="R18" s="141">
        <f>R6</f>
        <v>-2236.1900683441818</v>
      </c>
      <c r="S18" s="142">
        <f ca="1">MATCH(R18,INDIRECT("E1:E"&amp;S10),-1)</f>
        <v>462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>
      <c r="B19" s="130">
        <v>60.025076335877863</v>
      </c>
      <c r="C19" s="160">
        <v>27.484232129875149</v>
      </c>
      <c r="D19">
        <v>60.025076335877863</v>
      </c>
      <c r="E19" s="160">
        <v>-1469.9962932589276</v>
      </c>
      <c r="F19">
        <v>60.025076335877863</v>
      </c>
      <c r="G19" s="160">
        <v>769.85803674107228</v>
      </c>
      <c r="H19">
        <v>2.9901724137931041</v>
      </c>
      <c r="I19" s="160">
        <v>14.573891252560928</v>
      </c>
      <c r="J19">
        <v>2.9901724137931041</v>
      </c>
      <c r="K19" s="160">
        <v>2.0388362373364544</v>
      </c>
      <c r="L19">
        <v>58.024240458015271</v>
      </c>
      <c r="M19" s="160">
        <v>179.89674193685588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>
      <c r="B20" s="130">
        <v>64.026748091603054</v>
      </c>
      <c r="C20" s="160">
        <v>27.491493054687282</v>
      </c>
      <c r="D20">
        <v>64.026748091603054</v>
      </c>
      <c r="E20" s="160">
        <v>-1474.0042963668145</v>
      </c>
      <c r="F20">
        <v>64.026748091603054</v>
      </c>
      <c r="G20" s="160">
        <v>765.85003363318538</v>
      </c>
      <c r="H20">
        <v>3.1895172413793111</v>
      </c>
      <c r="I20" s="160">
        <v>14.375713242743842</v>
      </c>
      <c r="J20">
        <v>3.1895172413793111</v>
      </c>
      <c r="K20" s="160">
        <v>2.0173017643001003</v>
      </c>
      <c r="L20">
        <v>62.025912213740455</v>
      </c>
      <c r="M20" s="160">
        <v>179.89620270224734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>
      <c r="B21" s="130">
        <v>68.028419847328252</v>
      </c>
      <c r="C21" s="160">
        <v>27.498792036265595</v>
      </c>
      <c r="D21">
        <v>68.028419847328252</v>
      </c>
      <c r="E21" s="160">
        <v>-1478.0122663077696</v>
      </c>
      <c r="F21">
        <v>68.028419847328252</v>
      </c>
      <c r="G21" s="160">
        <v>761.84206369223034</v>
      </c>
      <c r="H21">
        <v>3.3888620689655182</v>
      </c>
      <c r="I21" s="160">
        <v>14.176887968987657</v>
      </c>
      <c r="J21">
        <v>3.3888620689655182</v>
      </c>
      <c r="K21" s="160">
        <v>2.0029240446833683</v>
      </c>
      <c r="L21">
        <v>66.027583969465653</v>
      </c>
      <c r="M21" s="160">
        <v>179.8956578060648</v>
      </c>
      <c r="N21" s="143">
        <f t="shared" si="0"/>
        <v>21</v>
      </c>
      <c r="P21" s="551" t="s">
        <v>527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2.95" thickBot="1">
      <c r="B22" s="130">
        <v>72.030091603053449</v>
      </c>
      <c r="C22" s="160">
        <v>27.506129476286677</v>
      </c>
      <c r="D22">
        <v>72.030091603053449</v>
      </c>
      <c r="E22" s="160">
        <v>-1482.0202030806954</v>
      </c>
      <c r="F22">
        <v>72.030091603053449</v>
      </c>
      <c r="G22" s="160">
        <v>757.83412691930448</v>
      </c>
      <c r="H22">
        <v>3.5882068965517253</v>
      </c>
      <c r="I22" s="160">
        <v>13.977643275433707</v>
      </c>
      <c r="J22">
        <v>3.5882068965517253</v>
      </c>
      <c r="K22" s="160">
        <v>1.9966221037402647</v>
      </c>
      <c r="L22">
        <v>70.029255725190851</v>
      </c>
      <c r="M22" s="160">
        <v>179.8951071586736</v>
      </c>
      <c r="N22" s="143">
        <f t="shared" si="0"/>
        <v>22</v>
      </c>
      <c r="P22" s="552"/>
      <c r="R22" s="2"/>
      <c r="AA22" s="171"/>
      <c r="AB22" s="172" t="str">
        <f>IFERROR(VALUE(RIGHT(AA22,LEN(AA22)-MIN(FIND({0;1;2;3;4;5;6;7;8;9},AA22&amp;"0123456789"))+1)),"")</f>
        <v/>
      </c>
    </row>
    <row r="23" spans="2:28">
      <c r="B23" s="130">
        <v>76.031763358778647</v>
      </c>
      <c r="C23" s="160">
        <v>27.513505782820246</v>
      </c>
      <c r="D23">
        <v>76.031763358778647</v>
      </c>
      <c r="E23" s="160">
        <v>-1486.0281066844718</v>
      </c>
      <c r="F23">
        <v>76.031763358778647</v>
      </c>
      <c r="G23" s="160">
        <v>753.82622331552807</v>
      </c>
      <c r="H23">
        <v>3.7875517241379324</v>
      </c>
      <c r="I23" s="160">
        <v>13.778315682866648</v>
      </c>
      <c r="J23">
        <v>3.7875517241379324</v>
      </c>
      <c r="K23" s="160">
        <v>1.9991973913711263</v>
      </c>
      <c r="L23">
        <v>74.030927480916048</v>
      </c>
      <c r="M23" s="160">
        <v>179.89455066853668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ht="12.95">
      <c r="B24" s="130">
        <v>80.033435114503845</v>
      </c>
      <c r="C24" s="160">
        <v>27.520921370465523</v>
      </c>
      <c r="D24">
        <v>80.033435114503845</v>
      </c>
      <c r="E24" s="160">
        <v>-1490.0359771179537</v>
      </c>
      <c r="F24">
        <v>80.033435114503845</v>
      </c>
      <c r="G24" s="160">
        <v>749.81835288204616</v>
      </c>
      <c r="H24">
        <v>3.9868965517241395</v>
      </c>
      <c r="I24" s="160">
        <v>13.579342084046786</v>
      </c>
      <c r="J24">
        <v>3.9868965517241395</v>
      </c>
      <c r="K24" s="160">
        <v>2.0113462041017556</v>
      </c>
      <c r="L24">
        <v>78.032599236641246</v>
      </c>
      <c r="M24" s="160">
        <v>179.89398824216434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2.95" thickBot="1">
      <c r="B25" s="130">
        <v>84.035106870229043</v>
      </c>
      <c r="C25" s="160">
        <v>27.528376660491293</v>
      </c>
      <c r="D25">
        <v>84.035106870229043</v>
      </c>
      <c r="E25" s="160">
        <v>-1494.0438143799722</v>
      </c>
      <c r="F25">
        <v>84.035106870229043</v>
      </c>
      <c r="G25" s="160">
        <v>745.81051562002767</v>
      </c>
      <c r="H25">
        <v>4.1862413793103466</v>
      </c>
      <c r="I25" s="160">
        <v>13.381183924848139</v>
      </c>
      <c r="J25">
        <v>4.1862413793103466</v>
      </c>
      <c r="K25" s="160">
        <v>2.0330580886065945</v>
      </c>
      <c r="L25">
        <v>82.034270992366444</v>
      </c>
      <c r="M25" s="160">
        <v>179.89341978406148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ht="12.95">
      <c r="B26" s="130">
        <v>88.036778625954241</v>
      </c>
      <c r="C26" s="160">
        <v>27.535872080979754</v>
      </c>
      <c r="D26">
        <v>88.036778625954241</v>
      </c>
      <c r="E26" s="160">
        <v>-1498.0516184693329</v>
      </c>
      <c r="F26">
        <v>88.036778625954241</v>
      </c>
      <c r="G26" s="160">
        <v>741.80271153066701</v>
      </c>
      <c r="H26">
        <v>4.3855862068965532</v>
      </c>
      <c r="I26" s="160">
        <v>13.184300546159582</v>
      </c>
      <c r="J26">
        <v>4.3855862068965532</v>
      </c>
      <c r="K26" s="160">
        <v>2.0642827980232141</v>
      </c>
      <c r="L26">
        <v>86.035942748091642</v>
      </c>
      <c r="M26" s="160">
        <v>179.89284519667336</v>
      </c>
      <c r="N26" s="143">
        <f t="shared" si="0"/>
        <v>26</v>
      </c>
      <c r="P26" s="170" t="s">
        <v>524</v>
      </c>
      <c r="AA26" s="171"/>
      <c r="AB26" s="172" t="str">
        <f>IFERROR(VALUE(RIGHT(AA26,LEN(AA26)-MIN(FIND({0;1;2;3;4;5;6;7;8;9},AA26&amp;"0123456789"))+1)),"")</f>
        <v/>
      </c>
    </row>
    <row r="27" spans="2:28" ht="12.95" thickBot="1">
      <c r="B27" s="130">
        <v>92.038450381679439</v>
      </c>
      <c r="C27" s="160">
        <v>27.543408066974205</v>
      </c>
      <c r="D27">
        <v>92.038450381679439</v>
      </c>
      <c r="E27" s="160">
        <v>-1502.0593893848149</v>
      </c>
      <c r="F27">
        <v>92.038450381679439</v>
      </c>
      <c r="G27" s="160">
        <v>737.79494061518494</v>
      </c>
      <c r="H27">
        <v>4.5849310344827598</v>
      </c>
      <c r="I27" s="160">
        <v>12.989148343396659</v>
      </c>
      <c r="J27">
        <v>4.5849310344827598</v>
      </c>
      <c r="K27" s="160">
        <v>2.1049480202395898</v>
      </c>
      <c r="L27">
        <v>90.03761450381684</v>
      </c>
      <c r="M27" s="160">
        <v>179.89226438033066</v>
      </c>
      <c r="N27" s="143">
        <f t="shared" si="0"/>
        <v>27</v>
      </c>
      <c r="P27" s="191">
        <v>6</v>
      </c>
      <c r="AA27" s="171"/>
      <c r="AB27" s="172" t="str">
        <f>IFERROR(VALUE(RIGHT(AA27,LEN(AA27)-MIN(FIND({0;1;2;3;4;5;6;7;8;9},AA27&amp;"0123456789"))+1)),"")</f>
        <v/>
      </c>
    </row>
    <row r="28" spans="2:28" ht="12.95">
      <c r="B28" s="130">
        <v>96.040122137404637</v>
      </c>
      <c r="C28" s="160">
        <v>27.550985060630826</v>
      </c>
      <c r="D28">
        <v>96.040122137404637</v>
      </c>
      <c r="E28" s="160">
        <v>-1506.0671271251715</v>
      </c>
      <c r="F28">
        <v>96.040122137404637</v>
      </c>
      <c r="G28" s="160">
        <v>733.78720287482838</v>
      </c>
      <c r="H28">
        <v>4.7842758620689665</v>
      </c>
      <c r="I28" s="160">
        <v>12.79617970585997</v>
      </c>
      <c r="J28">
        <v>4.7842758620689665</v>
      </c>
      <c r="K28" s="160">
        <v>2.154959545114707</v>
      </c>
      <c r="L28">
        <v>94.039286259542038</v>
      </c>
      <c r="M28" s="160">
        <v>179.89167723319079</v>
      </c>
      <c r="N28" s="143">
        <f t="shared" si="0"/>
        <v>28</v>
      </c>
      <c r="P28" s="192" t="s">
        <v>525</v>
      </c>
      <c r="AA28" s="171"/>
      <c r="AB28" s="172" t="str">
        <f>IFERROR(VALUE(RIGHT(AA28,LEN(AA28)-MIN(FIND({0;1;2;3;4;5;6;7;8;9},AA28&amp;"0123456789"))+1)),"")</f>
        <v/>
      </c>
    </row>
    <row r="29" spans="2:28" ht="12.95" thickBot="1">
      <c r="B29" s="130">
        <v>100.04179389312984</v>
      </c>
      <c r="C29" s="160">
        <v>27.558603511374578</v>
      </c>
      <c r="D29">
        <v>100.04179389312984</v>
      </c>
      <c r="E29" s="160">
        <v>-1510.0748316891279</v>
      </c>
      <c r="F29">
        <v>100.04179389312984</v>
      </c>
      <c r="G29" s="160">
        <v>729.77949831087199</v>
      </c>
      <c r="H29">
        <v>4.9836206896551731</v>
      </c>
      <c r="I29" s="160">
        <v>12.605841965414283</v>
      </c>
      <c r="J29">
        <v>4.9836206896551731</v>
      </c>
      <c r="K29" s="160">
        <v>2.2142014828423271</v>
      </c>
      <c r="L29">
        <v>98.040958015267236</v>
      </c>
      <c r="M29" s="160">
        <v>179.891083651179</v>
      </c>
      <c r="N29" s="143">
        <f t="shared" si="0"/>
        <v>29</v>
      </c>
      <c r="P29" s="191">
        <v>11</v>
      </c>
      <c r="AA29" s="171"/>
      <c r="AB29" s="172" t="str">
        <f>IFERROR(VALUE(RIGHT(AA29,LEN(AA29)-MIN(FIND({0;1;2;3;4;5;6;7;8;9},AA29&amp;"0123456789"))+1)),"")</f>
        <v/>
      </c>
    </row>
    <row r="30" spans="2:28" ht="12.95">
      <c r="B30" s="130">
        <v>104.04346564885503</v>
      </c>
      <c r="C30" s="160">
        <v>27.566263876059409</v>
      </c>
      <c r="D30">
        <v>104.04346564885503</v>
      </c>
      <c r="E30" s="160">
        <v>-1514.0825030753815</v>
      </c>
      <c r="F30">
        <v>104.04346564885503</v>
      </c>
      <c r="G30" s="160">
        <v>725.77182692461838</v>
      </c>
      <c r="H30">
        <v>5.1829655172413798</v>
      </c>
      <c r="I30" s="160">
        <v>12.418578569437498</v>
      </c>
      <c r="J30">
        <v>5.1829655172413798</v>
      </c>
      <c r="K30" s="160">
        <v>2.2825357255769632</v>
      </c>
      <c r="L30">
        <v>102.04262977099243</v>
      </c>
      <c r="M30" s="160">
        <v>179.89048352792682</v>
      </c>
      <c r="N30" s="143">
        <f t="shared" si="0"/>
        <v>30</v>
      </c>
      <c r="P30" s="193" t="s">
        <v>526</v>
      </c>
      <c r="AA30" s="171"/>
      <c r="AB30" s="172" t="str">
        <f>IFERROR(VALUE(RIGHT(AA30,LEN(AA30)-MIN(FIND({0;1;2;3;4;5;6;7;8;9},AA30&amp;"0123456789"))+1)),"")</f>
        <v/>
      </c>
    </row>
    <row r="31" spans="2:28" ht="12.95" thickBot="1">
      <c r="B31" s="130">
        <v>108.04513740458023</v>
      </c>
      <c r="C31" s="160">
        <v>27.573966619132904</v>
      </c>
      <c r="D31">
        <v>108.04513740458023</v>
      </c>
      <c r="E31" s="160">
        <v>-1518.0901412826006</v>
      </c>
      <c r="F31">
        <v>108.04513740458023</v>
      </c>
      <c r="G31" s="160">
        <v>721.76418871739929</v>
      </c>
      <c r="H31">
        <v>5.3823103448275864</v>
      </c>
      <c r="I31" s="160">
        <v>12.234821798274449</v>
      </c>
      <c r="J31">
        <v>5.3823103448275864</v>
      </c>
      <c r="K31" s="160">
        <v>2.3598047908762965</v>
      </c>
      <c r="L31">
        <v>106.04430152671763</v>
      </c>
      <c r="M31" s="160">
        <v>179.8898767547081</v>
      </c>
      <c r="N31" s="143">
        <f t="shared" si="0"/>
        <v>31</v>
      </c>
      <c r="P31" s="190">
        <f>SUM(AB2:AB50)</f>
        <v>0</v>
      </c>
      <c r="AA31" s="171"/>
      <c r="AB31" s="172" t="str">
        <f>IFERROR(VALUE(RIGHT(AA31,LEN(AA31)-MIN(FIND({0;1;2;3;4;5;6;7;8;9},AA31&amp;"0123456789"))+1)),"")</f>
        <v/>
      </c>
    </row>
    <row r="32" spans="2:28">
      <c r="B32" s="130">
        <v>112.04680916030543</v>
      </c>
      <c r="C32" s="160">
        <v>27.581712212805492</v>
      </c>
      <c r="D32">
        <v>112.04680916030543</v>
      </c>
      <c r="E32" s="160">
        <v>-1522.0977463094239</v>
      </c>
      <c r="F32">
        <v>112.04680916030543</v>
      </c>
      <c r="G32" s="160">
        <v>717.75658369057601</v>
      </c>
      <c r="H32">
        <v>5.5816551724137931</v>
      </c>
      <c r="I32" s="160">
        <v>12.054997792694538</v>
      </c>
      <c r="J32">
        <v>5.5816551724137931</v>
      </c>
      <c r="K32" s="160">
        <v>2.4458298410045245</v>
      </c>
      <c r="L32">
        <v>110.04597328244283</v>
      </c>
      <c r="M32" s="160">
        <v>179.88926322037406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>
      <c r="B33" s="130">
        <v>116.04848091603063</v>
      </c>
      <c r="C33" s="160">
        <v>27.589501137224456</v>
      </c>
      <c r="D33">
        <v>116.04848091603063</v>
      </c>
      <c r="E33" s="160">
        <v>-1526.1053181544592</v>
      </c>
      <c r="F33">
        <v>116.04848091603063</v>
      </c>
      <c r="G33" s="160">
        <v>713.74901184554074</v>
      </c>
      <c r="H33">
        <v>5.7809999999999997</v>
      </c>
      <c r="I33" s="160">
        <v>11.87952361140715</v>
      </c>
      <c r="J33">
        <v>5.7809999999999997</v>
      </c>
      <c r="K33" s="160">
        <v>2.5404117018192665</v>
      </c>
      <c r="L33">
        <v>114.04764503816803</v>
      </c>
      <c r="M33" s="160">
        <v>179.88864281128448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>
      <c r="B34" s="130">
        <v>120.05015267175582</v>
      </c>
      <c r="C34" s="160">
        <v>27.597333880652766</v>
      </c>
      <c r="D34">
        <v>120.05015267175582</v>
      </c>
      <c r="E34" s="160">
        <v>-1530.1128568162828</v>
      </c>
      <c r="F34">
        <v>120.05015267175582</v>
      </c>
      <c r="G34" s="160">
        <v>709.74147318371706</v>
      </c>
      <c r="I34" s="160"/>
      <c r="K34" s="160"/>
      <c r="L34">
        <v>118.04931679389323</v>
      </c>
      <c r="M34" s="160">
        <v>179.88801541123857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>
      <c r="B35" s="130">
        <v>124.05182442748102</v>
      </c>
      <c r="C35" s="160">
        <v>27.605210939653023</v>
      </c>
      <c r="D35">
        <v>124.05182442748102</v>
      </c>
      <c r="E35" s="160">
        <v>-1534.1203622934397</v>
      </c>
      <c r="F35">
        <v>124.05182442748102</v>
      </c>
      <c r="G35" s="160">
        <v>705.73396770656018</v>
      </c>
      <c r="I35" s="160"/>
      <c r="K35" s="160"/>
      <c r="L35">
        <v>122.05098854961842</v>
      </c>
      <c r="M35" s="160">
        <v>179.88738090140171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>
      <c r="B36" s="130">
        <v>128.05349618320622</v>
      </c>
      <c r="C36" s="160">
        <v>27.613132819276675</v>
      </c>
      <c r="D36">
        <v>128.05349618320622</v>
      </c>
      <c r="E36" s="160">
        <v>-1538.1278345844401</v>
      </c>
      <c r="F36">
        <v>128.05349618320622</v>
      </c>
      <c r="G36" s="160">
        <v>701.72649541555984</v>
      </c>
      <c r="I36" s="160"/>
      <c r="K36" s="160"/>
      <c r="L36">
        <v>126.05266030534362</v>
      </c>
      <c r="M36" s="160">
        <v>179.88673916023021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>
      <c r="B37" s="130">
        <v>132.05516793893142</v>
      </c>
      <c r="C37" s="160">
        <v>27.621100033258585</v>
      </c>
      <c r="D37">
        <v>132.05516793893142</v>
      </c>
      <c r="E37" s="160">
        <v>-1542.1352736877604</v>
      </c>
      <c r="F37">
        <v>132.05516793893142</v>
      </c>
      <c r="G37" s="160">
        <v>697.71905631223945</v>
      </c>
      <c r="I37" s="160"/>
      <c r="K37" s="160"/>
      <c r="L37">
        <v>130.05433206106881</v>
      </c>
      <c r="M37" s="160">
        <v>179.88609006339442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>
      <c r="B38" s="130">
        <v>136.05683969465662</v>
      </c>
      <c r="C38" s="160">
        <v>27.629113104217232</v>
      </c>
      <c r="D38">
        <v>136.05683969465662</v>
      </c>
      <c r="E38" s="160">
        <v>-1546.1426796018432</v>
      </c>
      <c r="F38">
        <v>136.05683969465662</v>
      </c>
      <c r="G38" s="160">
        <v>693.71165039815673</v>
      </c>
      <c r="I38" s="160"/>
      <c r="K38" s="160"/>
      <c r="L38">
        <v>134.05600381679403</v>
      </c>
      <c r="M38" s="160">
        <v>179.88543348369834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>
      <c r="B39" s="130">
        <v>140.05851145038181</v>
      </c>
      <c r="C39" s="160">
        <v>27.637172563860748</v>
      </c>
      <c r="D39">
        <v>140.05851145038181</v>
      </c>
      <c r="E39" s="160">
        <v>-1550.1500523250922</v>
      </c>
      <c r="F39">
        <v>140.05851145038181</v>
      </c>
      <c r="G39" s="160">
        <v>689.70427767490764</v>
      </c>
      <c r="I39" s="160"/>
      <c r="K39" s="160"/>
      <c r="L39">
        <v>138.0576755725192</v>
      </c>
      <c r="M39" s="160">
        <v>179.88476929099571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>
      <c r="B40" s="130">
        <v>144.06018320610701</v>
      </c>
      <c r="C40" s="160">
        <v>27.645278953198954</v>
      </c>
      <c r="D40">
        <v>144.06018320610701</v>
      </c>
      <c r="E40" s="160">
        <v>-1554.1573918558765</v>
      </c>
      <c r="F40">
        <v>144.06018320610701</v>
      </c>
      <c r="G40" s="160">
        <v>685.69693814412335</v>
      </c>
      <c r="I40" s="160"/>
      <c r="K40" s="160"/>
      <c r="L40">
        <v>142.05934732824443</v>
      </c>
      <c r="M40" s="160">
        <v>179.88409735210448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>
      <c r="B41" s="130">
        <v>148.06185496183221</v>
      </c>
      <c r="C41" s="160">
        <v>27.653432822761538</v>
      </c>
      <c r="D41">
        <v>148.06185496183221</v>
      </c>
      <c r="E41" s="160">
        <v>-1558.1646981925248</v>
      </c>
      <c r="F41">
        <v>148.06185496183221</v>
      </c>
      <c r="G41" s="160">
        <v>681.68963180747505</v>
      </c>
      <c r="I41" s="160"/>
      <c r="K41" s="160"/>
      <c r="L41">
        <v>146.0610190839696</v>
      </c>
      <c r="M41" s="160">
        <v>179.88341753071859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>
      <c r="B42" s="130">
        <v>152.06352671755741</v>
      </c>
      <c r="C42" s="160">
        <v>27.661634732822794</v>
      </c>
      <c r="D42">
        <v>152.06352671755741</v>
      </c>
      <c r="E42" s="160">
        <v>-1562.1719713333275</v>
      </c>
      <c r="F42">
        <v>152.06352671755741</v>
      </c>
      <c r="G42" s="160">
        <v>677.68235866667237</v>
      </c>
      <c r="I42" s="160"/>
      <c r="K42" s="160"/>
      <c r="L42">
        <v>150.06269083969482</v>
      </c>
      <c r="M42" s="160">
        <v>179.88272968731428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>
      <c r="B43" s="130">
        <v>156.06519847328261</v>
      </c>
      <c r="C43" s="160">
        <v>27.66988525363293</v>
      </c>
      <c r="D43">
        <v>156.06519847328261</v>
      </c>
      <c r="E43" s="160">
        <v>-1566.1792112765336</v>
      </c>
      <c r="F43">
        <v>156.06519847328261</v>
      </c>
      <c r="G43" s="160">
        <v>673.67511872346631</v>
      </c>
      <c r="I43" s="160"/>
      <c r="K43" s="160"/>
      <c r="L43">
        <v>154.06436259541999</v>
      </c>
      <c r="M43" s="160">
        <v>179.88203367905578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>
      <c r="B44" s="130">
        <v>160.0668702290078</v>
      </c>
      <c r="C44" s="160">
        <v>27.678184965656339</v>
      </c>
      <c r="D44">
        <v>160.0668702290078</v>
      </c>
      <c r="E44" s="160">
        <v>-1570.1864180203504</v>
      </c>
      <c r="F44">
        <v>160.0668702290078</v>
      </c>
      <c r="G44" s="160">
        <v>669.66791197964949</v>
      </c>
      <c r="I44" s="160"/>
      <c r="K44" s="160"/>
      <c r="L44">
        <v>158.06603435114522</v>
      </c>
      <c r="M44" s="160">
        <v>179.8813293596958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>
      <c r="B45" s="130">
        <v>164.068541984733</v>
      </c>
      <c r="C45" s="160">
        <v>27.686534459816979</v>
      </c>
      <c r="D45">
        <v>164.068541984733</v>
      </c>
      <c r="E45" s="160">
        <v>-1574.1935915629422</v>
      </c>
      <c r="F45">
        <v>164.068541984733</v>
      </c>
      <c r="G45" s="160">
        <v>665.66073843705772</v>
      </c>
      <c r="I45" s="160"/>
      <c r="K45" s="160"/>
      <c r="L45">
        <v>162.06770610687039</v>
      </c>
      <c r="M45" s="160">
        <v>179.88061657947355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>
      <c r="B46" s="130">
        <v>168.0702137404582</v>
      </c>
      <c r="C46" s="160">
        <v>27.694934337751231</v>
      </c>
      <c r="D46">
        <v>168.0702137404582</v>
      </c>
      <c r="E46" s="160">
        <v>-1578.2007319024281</v>
      </c>
      <c r="F46">
        <v>168.0702137404582</v>
      </c>
      <c r="G46" s="160">
        <v>661.65359809757183</v>
      </c>
      <c r="I46" s="160"/>
      <c r="K46" s="160"/>
      <c r="L46">
        <v>166.06937786259562</v>
      </c>
      <c r="M46" s="160">
        <v>179.87989518500794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>
      <c r="B47" s="130">
        <v>172.0718854961834</v>
      </c>
      <c r="C47" s="160">
        <v>27.703385212068373</v>
      </c>
      <c r="D47">
        <v>172.0718854961834</v>
      </c>
      <c r="E47" s="160">
        <v>-1582.2078390368822</v>
      </c>
      <c r="F47">
        <v>172.0718854961834</v>
      </c>
      <c r="G47" s="160">
        <v>657.64649096311769</v>
      </c>
      <c r="I47" s="160"/>
      <c r="K47" s="160"/>
      <c r="L47">
        <v>170.07104961832079</v>
      </c>
      <c r="M47" s="160">
        <v>179.87916501918838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>
      <c r="B48" s="130">
        <v>176.0735572519086</v>
      </c>
      <c r="C48" s="160">
        <v>27.711887706619063</v>
      </c>
      <c r="D48">
        <v>176.0735572519086</v>
      </c>
      <c r="E48" s="160">
        <v>-1586.2149129643308</v>
      </c>
      <c r="F48">
        <v>176.0735572519086</v>
      </c>
      <c r="G48" s="160">
        <v>653.63941703566911</v>
      </c>
      <c r="I48" s="160"/>
      <c r="K48" s="160"/>
      <c r="L48">
        <v>174.07272137404601</v>
      </c>
      <c r="M48" s="160">
        <v>179.87842592105991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>
      <c r="B49" s="130">
        <v>180.07522900763379</v>
      </c>
      <c r="C49" s="160">
        <v>27.720442456772084</v>
      </c>
      <c r="D49">
        <v>180.07522900763379</v>
      </c>
      <c r="E49" s="160">
        <v>-1590.2219536827517</v>
      </c>
      <c r="F49">
        <v>180.07522900763379</v>
      </c>
      <c r="G49" s="160">
        <v>649.63237631724814</v>
      </c>
      <c r="I49" s="160"/>
      <c r="K49" s="160"/>
      <c r="L49">
        <v>178.07439312977118</v>
      </c>
      <c r="M49" s="160">
        <v>179.87767772570535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2.95" thickBot="1">
      <c r="B50" s="130">
        <v>184.07690076335899</v>
      </c>
      <c r="C50" s="160">
        <v>27.729050109699632</v>
      </c>
      <c r="D50">
        <v>184.07690076335899</v>
      </c>
      <c r="E50" s="160">
        <v>-1594.2289611900721</v>
      </c>
      <c r="F50">
        <v>184.07690076335899</v>
      </c>
      <c r="G50" s="160">
        <v>645.62536880992775</v>
      </c>
      <c r="I50" s="160"/>
      <c r="K50" s="160"/>
      <c r="L50">
        <v>182.07606488549641</v>
      </c>
      <c r="M50" s="160">
        <v>179.87692026412262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>
      <c r="B51" s="130">
        <v>188.07857251908419</v>
      </c>
      <c r="C51" s="160">
        <v>27.737711324671515</v>
      </c>
      <c r="D51">
        <v>188.07857251908419</v>
      </c>
      <c r="E51" s="160">
        <v>-1598.2359354841676</v>
      </c>
      <c r="F51">
        <v>188.07857251908419</v>
      </c>
      <c r="G51" s="160">
        <v>641.61839451583228</v>
      </c>
      <c r="I51" s="160"/>
      <c r="K51" s="160"/>
      <c r="L51">
        <v>186.07773664122158</v>
      </c>
      <c r="M51" s="160">
        <v>179.87615336309719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>
      <c r="B52" s="130">
        <v>192.08024427480939</v>
      </c>
      <c r="C52" s="160">
        <v>27.746426773358586</v>
      </c>
      <c r="D52">
        <v>192.08024427480939</v>
      </c>
      <c r="E52" s="160">
        <v>-1602.2428765628608</v>
      </c>
      <c r="F52">
        <v>192.08024427480939</v>
      </c>
      <c r="G52" s="160">
        <v>637.61145343713906</v>
      </c>
      <c r="I52" s="160"/>
      <c r="K52" s="160"/>
      <c r="L52">
        <v>190.0794083969468</v>
      </c>
      <c r="M52" s="160">
        <v>179.87537684507012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>
      <c r="B53" s="130">
        <v>196.08191603053459</v>
      </c>
      <c r="C53" s="160">
        <v>27.755197140145693</v>
      </c>
      <c r="D53">
        <v>196.08191603053459</v>
      </c>
      <c r="E53" s="160">
        <v>-1606.2497844239185</v>
      </c>
      <c r="F53">
        <v>196.08191603053459</v>
      </c>
      <c r="G53" s="160">
        <v>633.60454557608136</v>
      </c>
      <c r="I53" s="160"/>
      <c r="K53" s="160"/>
      <c r="L53">
        <v>194.08108015267197</v>
      </c>
      <c r="M53" s="160">
        <v>179.87459052800145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>
      <c r="B54" s="130">
        <v>200.08358778625978</v>
      </c>
      <c r="C54" s="160">
        <v>27.764023122454638</v>
      </c>
      <c r="D54">
        <v>200.08358778625978</v>
      </c>
      <c r="E54" s="160">
        <v>-1610.2566590650508</v>
      </c>
      <c r="F54">
        <v>200.08358778625978</v>
      </c>
      <c r="G54" s="160">
        <v>629.59767093494906</v>
      </c>
      <c r="I54" s="160"/>
      <c r="K54" s="160"/>
      <c r="L54">
        <v>198.0827519083972</v>
      </c>
      <c r="M54" s="160">
        <v>179.8737942252271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>
      <c r="B55" s="130">
        <v>204.08525954198498</v>
      </c>
      <c r="C55" s="160">
        <v>27.772905431077412</v>
      </c>
      <c r="D55">
        <v>204.08525954198498</v>
      </c>
      <c r="E55" s="160">
        <v>-1614.2635004839092</v>
      </c>
      <c r="F55">
        <v>204.08525954198498</v>
      </c>
      <c r="G55" s="160">
        <v>625.59082951609071</v>
      </c>
      <c r="I55" s="160"/>
      <c r="K55" s="160"/>
      <c r="L55">
        <v>202.08442366412237</v>
      </c>
      <c r="M55" s="160">
        <v>179.87298774531175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>
      <c r="B56" s="130">
        <v>208.08693129771018</v>
      </c>
      <c r="C56" s="160">
        <v>27.78184479052014</v>
      </c>
      <c r="D56">
        <v>208.08693129771018</v>
      </c>
      <c r="E56" s="160">
        <v>-1618.2703086780846</v>
      </c>
      <c r="F56">
        <v>208.08693129771018</v>
      </c>
      <c r="G56" s="160">
        <v>621.58402132191532</v>
      </c>
      <c r="I56" s="160"/>
      <c r="K56" s="160"/>
      <c r="L56">
        <v>206.0860954198476</v>
      </c>
      <c r="M56" s="160">
        <v>179.87217089189531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>
      <c r="B57" s="130">
        <v>212.08860305343538</v>
      </c>
      <c r="C57" s="160">
        <v>27.790841939358195</v>
      </c>
      <c r="D57">
        <v>212.08860305343538</v>
      </c>
      <c r="E57" s="160">
        <v>-1622.2770836451052</v>
      </c>
      <c r="F57">
        <v>212.08860305343538</v>
      </c>
      <c r="G57" s="160">
        <v>617.57724635489467</v>
      </c>
      <c r="I57" s="160"/>
      <c r="K57" s="160"/>
      <c r="L57">
        <v>210.08776717557276</v>
      </c>
      <c r="M57" s="160">
        <v>179.87134346353318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>
      <c r="B58" s="130">
        <v>216.09027480916058</v>
      </c>
      <c r="C58" s="160">
        <v>27.799897630602842</v>
      </c>
      <c r="D58">
        <v>216.09027480916058</v>
      </c>
      <c r="E58" s="160">
        <v>-1626.2838253824343</v>
      </c>
      <c r="F58">
        <v>216.09027480916058</v>
      </c>
      <c r="G58" s="160">
        <v>613.57050461756558</v>
      </c>
      <c r="I58" s="160"/>
      <c r="K58" s="160"/>
      <c r="L58">
        <v>214.08943893129799</v>
      </c>
      <c r="M58" s="160">
        <v>179.87050525353118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>
      <c r="B59" s="130">
        <v>220.09194656488577</v>
      </c>
      <c r="C59" s="160">
        <v>27.809012632079938</v>
      </c>
      <c r="D59">
        <v>220.09194656488577</v>
      </c>
      <c r="E59" s="160">
        <v>-1630.2905338874691</v>
      </c>
      <c r="F59">
        <v>220.09194656488577</v>
      </c>
      <c r="G59" s="160">
        <v>609.56379611253078</v>
      </c>
      <c r="I59" s="160"/>
      <c r="K59" s="160"/>
      <c r="L59">
        <v>218.09111068702316</v>
      </c>
      <c r="M59" s="160">
        <v>179.86965604977274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>
      <c r="B60" s="130">
        <v>224.09361832061097</v>
      </c>
      <c r="C60" s="160">
        <v>27.81818772682109</v>
      </c>
      <c r="D60">
        <v>224.09361832061097</v>
      </c>
      <c r="E60" s="160">
        <v>-1634.2972091575377</v>
      </c>
      <c r="F60">
        <v>224.09361832061097</v>
      </c>
      <c r="G60" s="160">
        <v>605.55712084246215</v>
      </c>
      <c r="I60" s="160"/>
      <c r="K60" s="160"/>
      <c r="L60">
        <v>222.09278244274839</v>
      </c>
      <c r="M60" s="160">
        <v>179.86879563454065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>
      <c r="B61" s="130">
        <v>228.09529007633617</v>
      </c>
      <c r="C61" s="160">
        <v>27.827423713467873</v>
      </c>
      <c r="D61">
        <v>228.09529007633617</v>
      </c>
      <c r="E61" s="160">
        <v>-1638.3038511898965</v>
      </c>
      <c r="F61">
        <v>228.09529007633617</v>
      </c>
      <c r="G61" s="160">
        <v>601.55047881010341</v>
      </c>
      <c r="I61" s="160"/>
      <c r="K61" s="160"/>
      <c r="L61">
        <v>226.09445419847356</v>
      </c>
      <c r="M61" s="160">
        <v>179.86792378433012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>
      <c r="B62" s="130">
        <v>232.09696183206137</v>
      </c>
      <c r="C62" s="160">
        <v>27.836721406689485</v>
      </c>
      <c r="D62">
        <v>232.09696183206137</v>
      </c>
      <c r="E62" s="160">
        <v>-1642.3104599817282</v>
      </c>
      <c r="F62">
        <v>232.09696183206137</v>
      </c>
      <c r="G62" s="160">
        <v>597.54387001827172</v>
      </c>
      <c r="I62" s="160"/>
      <c r="K62" s="160"/>
      <c r="L62">
        <v>230.09612595419878</v>
      </c>
      <c r="M62" s="160">
        <v>179.86704026965617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>
      <c r="B63" s="130">
        <v>236.09863358778657</v>
      </c>
      <c r="C63" s="160">
        <v>27.846081637614542</v>
      </c>
      <c r="D63">
        <v>236.09863358778657</v>
      </c>
      <c r="E63" s="160">
        <v>-1646.3170355301402</v>
      </c>
      <c r="F63">
        <v>236.09863358778657</v>
      </c>
      <c r="G63" s="160">
        <v>593.53729446985972</v>
      </c>
      <c r="I63" s="160"/>
      <c r="K63" s="160"/>
      <c r="L63">
        <v>234.09779770992395</v>
      </c>
      <c r="M63" s="160">
        <v>179.86614485485148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>
      <c r="B64" s="130">
        <v>240.10030534351176</v>
      </c>
      <c r="C64" s="160">
        <v>27.855505254277478</v>
      </c>
      <c r="D64">
        <v>240.10030534351176</v>
      </c>
      <c r="E64" s="160">
        <v>-1650.32357783216</v>
      </c>
      <c r="F64">
        <v>240.10030534351176</v>
      </c>
      <c r="G64" s="160">
        <v>589.53075216783986</v>
      </c>
      <c r="I64" s="160"/>
      <c r="K64" s="160"/>
      <c r="L64">
        <v>238.09946946564918</v>
      </c>
      <c r="M64" s="160">
        <v>179.86523729785705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>
      <c r="B65" s="130">
        <v>244.10197709923696</v>
      </c>
      <c r="C65" s="160">
        <v>27.864993122080186</v>
      </c>
      <c r="D65">
        <v>244.10197709923696</v>
      </c>
      <c r="E65" s="160">
        <v>-1654.3300868847352</v>
      </c>
      <c r="F65">
        <v>244.10197709923696</v>
      </c>
      <c r="G65" s="160">
        <v>585.52424311526465</v>
      </c>
      <c r="I65" s="160"/>
      <c r="K65" s="160"/>
      <c r="L65">
        <v>242.10114122137435</v>
      </c>
      <c r="M65" s="160">
        <v>179.86431735000397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>
      <c r="B66" s="130">
        <v>248.10364885496216</v>
      </c>
      <c r="C66" s="160">
        <v>27.874546124269493</v>
      </c>
      <c r="D66">
        <v>248.10364885496216</v>
      </c>
      <c r="E66" s="160">
        <v>-1658.3365626847276</v>
      </c>
      <c r="F66">
        <v>248.10364885496216</v>
      </c>
      <c r="G66" s="160">
        <v>581.51776731527229</v>
      </c>
      <c r="I66" s="160"/>
      <c r="K66" s="160"/>
      <c r="L66">
        <v>246.10281297709957</v>
      </c>
      <c r="M66" s="160">
        <v>179.8633847557868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>
      <c r="B67" s="130">
        <v>252.10532061068736</v>
      </c>
      <c r="C67" s="160">
        <v>27.884165162431263</v>
      </c>
      <c r="D67">
        <v>252.10532061068736</v>
      </c>
      <c r="E67" s="160">
        <v>-1662.3430052289125</v>
      </c>
      <c r="F67">
        <v>252.10532061068736</v>
      </c>
      <c r="G67" s="160">
        <v>577.5113247710874</v>
      </c>
      <c r="I67" s="160"/>
      <c r="K67" s="160"/>
      <c r="L67">
        <v>250.10448473282474</v>
      </c>
      <c r="M67" s="160">
        <v>179.86243925262553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>
      <c r="B68" s="130">
        <v>256.10699236641256</v>
      </c>
      <c r="C68" s="160">
        <v>27.893851157001563</v>
      </c>
      <c r="D68">
        <v>256.10699236641256</v>
      </c>
      <c r="E68" s="160">
        <v>-1666.3494145139748</v>
      </c>
      <c r="F68">
        <v>256.10699236641256</v>
      </c>
      <c r="G68" s="160">
        <v>573.50491548602508</v>
      </c>
      <c r="I68" s="160"/>
      <c r="K68" s="160"/>
      <c r="L68">
        <v>254.10615648854997</v>
      </c>
      <c r="M68" s="160">
        <v>179.86148057062104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>
      <c r="B69" s="130">
        <v>260.10866412213772</v>
      </c>
      <c r="C69" s="160">
        <v>27.903605047795899</v>
      </c>
      <c r="D69">
        <v>260.10866412213772</v>
      </c>
      <c r="E69" s="160">
        <v>-1670.3557905365071</v>
      </c>
      <c r="F69">
        <v>260.10866412213772</v>
      </c>
      <c r="G69" s="160">
        <v>569.49853946349276</v>
      </c>
      <c r="I69" s="160"/>
      <c r="K69" s="160"/>
      <c r="L69">
        <v>258.10782824427514</v>
      </c>
      <c r="M69" s="160">
        <v>179.86050843229671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>
      <c r="B70" s="130">
        <v>264.11033587786289</v>
      </c>
      <c r="C70" s="160">
        <v>27.913427794557109</v>
      </c>
      <c r="D70">
        <v>264.11033587786289</v>
      </c>
      <c r="E70" s="160">
        <v>-1674.3621332930036</v>
      </c>
      <c r="F70">
        <v>264.11033587786289</v>
      </c>
      <c r="G70" s="160">
        <v>565.49219670699631</v>
      </c>
      <c r="I70" s="160"/>
      <c r="K70" s="160"/>
      <c r="L70">
        <v>262.10950000000031</v>
      </c>
      <c r="M70" s="160">
        <v>179.85952255233096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>
      <c r="B71" s="130">
        <v>268.11200763358806</v>
      </c>
      <c r="C71" s="160">
        <v>27.923320377522725</v>
      </c>
      <c r="D71">
        <v>268.11200763358806</v>
      </c>
      <c r="E71" s="160">
        <v>-1678.3684427798594</v>
      </c>
      <c r="F71">
        <v>268.11200763358806</v>
      </c>
      <c r="G71" s="160">
        <v>561.48588722014051</v>
      </c>
      <c r="I71" s="160"/>
      <c r="K71" s="160"/>
      <c r="L71">
        <v>266.11117175572548</v>
      </c>
      <c r="M71" s="160">
        <v>179.85852263727855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>
      <c r="B72" s="130">
        <v>272.11367938931323</v>
      </c>
      <c r="C72" s="160">
        <v>27.933283798012717</v>
      </c>
      <c r="D72">
        <v>272.11367938931323</v>
      </c>
      <c r="E72" s="160">
        <v>-1682.3747189933656</v>
      </c>
      <c r="F72">
        <v>272.11367938931323</v>
      </c>
      <c r="G72" s="160">
        <v>557.47961100663429</v>
      </c>
      <c r="I72" s="160"/>
      <c r="K72" s="160"/>
      <c r="L72">
        <v>270.11284351145065</v>
      </c>
      <c r="M72" s="160">
        <v>179.85750838527912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>
      <c r="B73" s="130">
        <v>276.1153511450384</v>
      </c>
      <c r="C73" s="160">
        <v>27.943319079038456</v>
      </c>
      <c r="D73">
        <v>276.1153511450384</v>
      </c>
      <c r="E73" s="160">
        <v>-1686.380961929706</v>
      </c>
      <c r="F73">
        <v>276.1153511450384</v>
      </c>
      <c r="G73" s="160">
        <v>553.47336807029387</v>
      </c>
      <c r="I73" s="160"/>
      <c r="K73" s="160"/>
      <c r="L73">
        <v>274.11451526717582</v>
      </c>
      <c r="M73" s="160">
        <v>179.85647948575274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>
      <c r="B74" s="130">
        <v>280.11702290076357</v>
      </c>
      <c r="C74" s="160">
        <v>27.95342726593379</v>
      </c>
      <c r="D74">
        <v>280.11702290076357</v>
      </c>
      <c r="E74" s="160">
        <v>-1690.3871715849525</v>
      </c>
      <c r="F74">
        <v>280.11702290076357</v>
      </c>
      <c r="G74" s="160">
        <v>549.46715841504738</v>
      </c>
      <c r="I74" s="160"/>
      <c r="K74" s="160"/>
      <c r="L74">
        <v>278.11618702290099</v>
      </c>
      <c r="M74" s="160">
        <v>179.85543561908378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>
      <c r="B75" s="130">
        <v>284.11869465648874</v>
      </c>
      <c r="C75" s="160">
        <v>27.963609427009281</v>
      </c>
      <c r="D75">
        <v>284.11869465648874</v>
      </c>
      <c r="E75" s="160">
        <v>-1694.3933479550619</v>
      </c>
      <c r="F75">
        <v>284.11869465648874</v>
      </c>
      <c r="G75" s="160">
        <v>545.46098204493796</v>
      </c>
      <c r="I75" s="160"/>
      <c r="K75" s="160"/>
      <c r="L75">
        <v>282.11785877862616</v>
      </c>
      <c r="M75" s="160">
        <v>179.85437645628912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>
      <c r="B76" s="130">
        <v>288.12036641221391</v>
      </c>
      <c r="C76" s="160">
        <v>27.973866654230552</v>
      </c>
      <c r="D76">
        <v>288.12036641221391</v>
      </c>
      <c r="E76" s="160">
        <v>-1698.3994910358708</v>
      </c>
      <c r="F76">
        <v>288.12036641221391</v>
      </c>
      <c r="G76" s="160">
        <v>541.45483896412907</v>
      </c>
      <c r="I76" s="160"/>
      <c r="K76" s="160"/>
      <c r="L76">
        <v>286.11953053435133</v>
      </c>
      <c r="M76" s="160">
        <v>179.85330165867293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>
      <c r="B77" s="130">
        <v>292.12203816793908</v>
      </c>
      <c r="C77" s="160">
        <v>27.984200063921868</v>
      </c>
      <c r="D77">
        <v>292.12203816793908</v>
      </c>
      <c r="E77" s="160">
        <v>-1702.4056008230921</v>
      </c>
      <c r="F77">
        <v>292.12203816793908</v>
      </c>
      <c r="G77" s="160">
        <v>537.44872917690782</v>
      </c>
      <c r="I77" s="160"/>
      <c r="K77" s="160"/>
      <c r="L77">
        <v>290.1212022900765</v>
      </c>
      <c r="M77" s="160">
        <v>179.8522108774653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>
      <c r="B78" s="130">
        <v>296.12370992366425</v>
      </c>
      <c r="C78" s="160">
        <v>27.994610797496104</v>
      </c>
      <c r="D78">
        <v>296.12370992366425</v>
      </c>
      <c r="E78" s="160">
        <v>-1706.4116773123094</v>
      </c>
      <c r="F78">
        <v>296.12370992366425</v>
      </c>
      <c r="G78" s="160">
        <v>533.4426526876905</v>
      </c>
      <c r="I78" s="160"/>
      <c r="K78" s="160"/>
      <c r="L78">
        <v>294.12287404580167</v>
      </c>
      <c r="M78" s="160">
        <v>179.85110375344468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>
      <c r="B79" s="130">
        <v>300.12538167938942</v>
      </c>
      <c r="C79" s="160">
        <v>28.005100022212194</v>
      </c>
      <c r="D79">
        <v>300.12538167938942</v>
      </c>
      <c r="E79" s="160">
        <v>-1710.4177204989714</v>
      </c>
      <c r="F79">
        <v>300.12538167938942</v>
      </c>
      <c r="G79" s="160">
        <v>529.43660950102844</v>
      </c>
      <c r="I79" s="160"/>
      <c r="K79" s="160"/>
      <c r="L79">
        <v>298.12454580152684</v>
      </c>
      <c r="M79" s="160">
        <v>179.84997991654396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>
      <c r="B80" s="130">
        <v>304.12705343511459</v>
      </c>
      <c r="C80" s="160">
        <v>28.015668931961454</v>
      </c>
      <c r="D80">
        <v>304.12705343511459</v>
      </c>
      <c r="E80" s="160">
        <v>-1714.4237303783907</v>
      </c>
      <c r="F80">
        <v>304.12705343511459</v>
      </c>
      <c r="G80" s="160">
        <v>525.43059962160919</v>
      </c>
      <c r="I80" s="160"/>
      <c r="K80" s="160"/>
      <c r="L80">
        <v>302.12621755725201</v>
      </c>
      <c r="M80" s="160">
        <v>179.84883898543751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>
      <c r="B81" s="130">
        <v>308.12872519083976</v>
      </c>
      <c r="C81" s="160">
        <v>28.026318748084005</v>
      </c>
      <c r="D81">
        <v>308.12872519083976</v>
      </c>
      <c r="E81" s="160">
        <v>-1718.4297069457321</v>
      </c>
      <c r="F81">
        <v>308.12872519083976</v>
      </c>
      <c r="G81" s="160">
        <v>521.42462305426784</v>
      </c>
      <c r="I81" s="160"/>
      <c r="K81" s="160"/>
      <c r="L81">
        <v>306.12788931297717</v>
      </c>
      <c r="M81" s="160">
        <v>179.84768056710985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>
      <c r="B82" s="130">
        <v>312.13039694656493</v>
      </c>
      <c r="C82" s="160">
        <v>28.037050720216708</v>
      </c>
      <c r="D82">
        <v>312.13039694656493</v>
      </c>
      <c r="E82" s="160">
        <v>-1722.4356501960131</v>
      </c>
      <c r="F82">
        <v>312.13039694656493</v>
      </c>
      <c r="G82" s="160">
        <v>517.41867980398683</v>
      </c>
      <c r="I82" s="160"/>
      <c r="K82" s="160"/>
      <c r="L82">
        <v>310.12956106870234</v>
      </c>
      <c r="M82" s="160">
        <v>179.84650425640476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>
      <c r="B83" s="130">
        <v>316.1320687022901</v>
      </c>
      <c r="C83" s="160">
        <v>28.047866127174132</v>
      </c>
      <c r="D83">
        <v>316.1320687022901</v>
      </c>
      <c r="E83" s="160">
        <v>-1726.4415601240946</v>
      </c>
      <c r="F83">
        <v>316.1320687022901</v>
      </c>
      <c r="G83" s="160">
        <v>513.41276987590527</v>
      </c>
      <c r="I83" s="160"/>
      <c r="K83" s="160"/>
      <c r="L83">
        <v>314.13123282442751</v>
      </c>
      <c r="M83" s="160">
        <v>179.84530963555198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>
      <c r="B84" s="130">
        <v>320.13374045801527</v>
      </c>
      <c r="C84" s="160">
        <v>28.058766277864066</v>
      </c>
      <c r="D84">
        <v>320.13374045801527</v>
      </c>
      <c r="E84" s="160">
        <v>-1730.4474367246751</v>
      </c>
      <c r="F84">
        <v>320.13374045801527</v>
      </c>
      <c r="G84" s="160">
        <v>509.40689327532482</v>
      </c>
      <c r="I84" s="160"/>
      <c r="K84" s="160"/>
      <c r="L84">
        <v>318.13290458015268</v>
      </c>
      <c r="M84" s="160">
        <v>179.84409627367268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>
      <c r="B85" s="130">
        <v>324.13541221374044</v>
      </c>
      <c r="C85" s="160">
        <v>28.069752512239194</v>
      </c>
      <c r="D85">
        <v>324.13541221374044</v>
      </c>
      <c r="E85" s="160">
        <v>-1734.4532799922856</v>
      </c>
      <c r="F85">
        <v>324.13541221374044</v>
      </c>
      <c r="G85" s="160">
        <v>505.40105000771428</v>
      </c>
      <c r="I85" s="160"/>
      <c r="K85" s="160"/>
      <c r="L85">
        <v>322.13457633587785</v>
      </c>
      <c r="M85" s="160">
        <v>179.84286372626201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>
      <c r="B86" s="130">
        <v>328.13708396946561</v>
      </c>
      <c r="C86" s="160">
        <v>28.08082620228674</v>
      </c>
      <c r="D86">
        <v>328.13708396946561</v>
      </c>
      <c r="E86" s="160">
        <v>-1738.4590899212817</v>
      </c>
      <c r="F86">
        <v>328.13708396946561</v>
      </c>
      <c r="G86" s="160">
        <v>501.39524007871819</v>
      </c>
      <c r="I86" s="160"/>
      <c r="K86" s="160"/>
      <c r="L86">
        <v>326.13624809160302</v>
      </c>
      <c r="M86" s="160">
        <v>179.84161153464493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>
      <c r="B87" s="130">
        <v>332.13875572519078</v>
      </c>
      <c r="C87" s="160">
        <v>28.091988753057816</v>
      </c>
      <c r="D87">
        <v>332.13875572519078</v>
      </c>
      <c r="E87" s="160">
        <v>-1742.4648665058373</v>
      </c>
      <c r="F87">
        <v>332.13875572519078</v>
      </c>
      <c r="G87" s="160">
        <v>497.38946349416256</v>
      </c>
      <c r="I87" s="160"/>
      <c r="K87" s="160"/>
      <c r="L87">
        <v>330.13791984732819</v>
      </c>
      <c r="M87" s="160">
        <v>179.84033922540803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>
      <c r="B88" s="130">
        <v>336.14042748091595</v>
      </c>
      <c r="C88" s="160">
        <v>28.103241603738507</v>
      </c>
      <c r="D88">
        <v>336.14042748091595</v>
      </c>
      <c r="E88" s="160">
        <v>-1746.4706097399358</v>
      </c>
      <c r="F88">
        <v>336.14042748091595</v>
      </c>
      <c r="G88" s="160">
        <v>493.38372026006414</v>
      </c>
      <c r="I88" s="160"/>
      <c r="K88" s="160"/>
      <c r="L88">
        <v>334.13959160305336</v>
      </c>
      <c r="M88" s="160">
        <v>179.83904630980189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>
      <c r="B89" s="130">
        <v>340.14209923664112</v>
      </c>
      <c r="C89" s="160">
        <v>28.114586228764615</v>
      </c>
      <c r="D89">
        <v>340.14209923664112</v>
      </c>
      <c r="E89" s="160">
        <v>-1750.4763196173647</v>
      </c>
      <c r="F89">
        <v>340.14209923664112</v>
      </c>
      <c r="G89" s="160">
        <v>489.37801038263524</v>
      </c>
      <c r="I89" s="160"/>
      <c r="K89" s="160"/>
      <c r="L89">
        <v>338.14126335877853</v>
      </c>
      <c r="M89" s="160">
        <v>179.83773228311586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>
      <c r="B90" s="130">
        <v>344.14377099236629</v>
      </c>
      <c r="C90" s="160">
        <v>28.126024138982345</v>
      </c>
      <c r="D90">
        <v>344.14377099236629</v>
      </c>
      <c r="E90" s="160">
        <v>-1754.4819961317046</v>
      </c>
      <c r="F90">
        <v>344.14377099236629</v>
      </c>
      <c r="G90" s="160">
        <v>485.3723338682953</v>
      </c>
      <c r="I90" s="160"/>
      <c r="K90" s="160"/>
      <c r="L90">
        <v>342.1429351145037</v>
      </c>
      <c r="M90" s="160">
        <v>179.83639662402032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>
      <c r="B91" s="130">
        <v>348.14544274809145</v>
      </c>
      <c r="C91" s="160">
        <v>28.137556882857133</v>
      </c>
      <c r="D91">
        <v>348.14544274809145</v>
      </c>
      <c r="E91" s="160">
        <v>-1758.4876392763235</v>
      </c>
      <c r="F91">
        <v>348.14544274809145</v>
      </c>
      <c r="G91" s="160">
        <v>481.36669072367636</v>
      </c>
      <c r="I91" s="160"/>
      <c r="K91" s="160"/>
      <c r="L91">
        <v>346.14460687022887</v>
      </c>
      <c r="M91" s="160">
        <v>179.8350387938774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>
      <c r="B92" s="130">
        <v>352.14711450381662</v>
      </c>
      <c r="C92" s="160">
        <v>28.149186047733053</v>
      </c>
      <c r="D92">
        <v>352.14711450381662</v>
      </c>
      <c r="E92" s="160">
        <v>-1762.4932490443662</v>
      </c>
      <c r="F92">
        <v>352.14711450381662</v>
      </c>
      <c r="G92" s="160">
        <v>477.36108095563372</v>
      </c>
      <c r="I92" s="160"/>
      <c r="K92" s="160"/>
      <c r="L92">
        <v>350.14627862595404</v>
      </c>
      <c r="M92" s="160">
        <v>179.8336582360167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>
      <c r="B93" s="130">
        <v>356.14878625954179</v>
      </c>
      <c r="C93" s="160">
        <v>28.160913261145417</v>
      </c>
      <c r="D93">
        <v>356.14878625954179</v>
      </c>
      <c r="E93" s="160">
        <v>-1766.4988254287439</v>
      </c>
      <c r="F93">
        <v>356.14878625954179</v>
      </c>
      <c r="G93" s="160">
        <v>473.35550457125601</v>
      </c>
      <c r="I93" s="160"/>
      <c r="K93" s="160"/>
      <c r="L93">
        <v>354.14795038167921</v>
      </c>
      <c r="M93" s="160">
        <v>179.83225437497364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>
      <c r="B94" s="130">
        <v>360.15045801526696</v>
      </c>
      <c r="C94" s="160">
        <v>28.17274019218917</v>
      </c>
      <c r="D94">
        <v>360.15045801526696</v>
      </c>
      <c r="E94" s="160">
        <v>-1770.5043684221268</v>
      </c>
      <c r="F94">
        <v>360.15045801526696</v>
      </c>
      <c r="G94" s="160">
        <v>469.34996157787305</v>
      </c>
      <c r="I94" s="160"/>
      <c r="K94" s="160"/>
      <c r="L94">
        <v>358.14962213740438</v>
      </c>
      <c r="M94" s="160">
        <v>179.83082661569068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>
      <c r="B95" s="130">
        <v>364.15212977099213</v>
      </c>
      <c r="C95" s="160">
        <v>28.184668552946118</v>
      </c>
      <c r="D95">
        <v>364.15212977099213</v>
      </c>
      <c r="E95" s="160">
        <v>-1774.5098780169319</v>
      </c>
      <c r="F95">
        <v>364.15212977099213</v>
      </c>
      <c r="G95" s="160">
        <v>465.34445198306798</v>
      </c>
      <c r="I95" s="160"/>
      <c r="K95" s="160"/>
      <c r="L95">
        <v>362.15129389312955</v>
      </c>
      <c r="M95" s="160">
        <v>179.82937434267473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>
      <c r="B96" s="130">
        <v>368.1538015267173</v>
      </c>
      <c r="C96" s="160">
        <v>28.19670009997386</v>
      </c>
      <c r="D96">
        <v>368.1538015267173</v>
      </c>
      <c r="E96" s="160">
        <v>-1778.5153542053117</v>
      </c>
      <c r="F96">
        <v>368.1538015267173</v>
      </c>
      <c r="G96" s="160">
        <v>461.33897579468817</v>
      </c>
      <c r="I96" s="160"/>
      <c r="K96" s="160"/>
      <c r="L96">
        <v>366.15296564885472</v>
      </c>
      <c r="M96" s="160">
        <v>179.82789691911384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>
      <c r="B97" s="130">
        <v>372.15547328244247</v>
      </c>
      <c r="C97" s="160">
        <v>28.208836635859829</v>
      </c>
      <c r="D97">
        <v>372.15547328244247</v>
      </c>
      <c r="E97" s="160">
        <v>-1782.5207969791447</v>
      </c>
      <c r="F97">
        <v>372.15547328244247</v>
      </c>
      <c r="G97" s="160">
        <v>457.33353302085516</v>
      </c>
      <c r="I97" s="160"/>
      <c r="K97" s="160"/>
      <c r="L97">
        <v>370.15463740457989</v>
      </c>
      <c r="M97" s="160">
        <v>179.82639368594496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>
      <c r="B98" s="130">
        <v>376.15714503816764</v>
      </c>
      <c r="C98" s="160">
        <v>28.221080010843753</v>
      </c>
      <c r="D98">
        <v>376.15714503816764</v>
      </c>
      <c r="E98" s="160">
        <v>-1786.5262063300208</v>
      </c>
      <c r="F98">
        <v>376.15714503816764</v>
      </c>
      <c r="G98" s="160">
        <v>453.32812366997905</v>
      </c>
      <c r="I98" s="160"/>
      <c r="K98" s="160"/>
      <c r="L98">
        <v>374.15630916030506</v>
      </c>
      <c r="M98" s="160">
        <v>179.82486396087404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>
      <c r="B99" s="130">
        <v>380.15881679389281</v>
      </c>
      <c r="C99" s="160">
        <v>28.233432124512287</v>
      </c>
      <c r="D99">
        <v>380.15881679389281</v>
      </c>
      <c r="E99" s="160">
        <v>-1790.5315822492298</v>
      </c>
      <c r="F99">
        <v>380.15881679389281</v>
      </c>
      <c r="G99" s="160">
        <v>449.32274775077008</v>
      </c>
      <c r="I99" s="160"/>
      <c r="K99" s="160"/>
      <c r="L99">
        <v>378.15798091603023</v>
      </c>
      <c r="M99" s="160">
        <v>179.82330703734283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>
      <c r="B100" s="130">
        <v>384.16048854961798</v>
      </c>
      <c r="C100" s="160">
        <v>28.245894927569609</v>
      </c>
      <c r="D100">
        <v>384.16048854961798</v>
      </c>
      <c r="E100" s="160">
        <v>-1794.5369247277479</v>
      </c>
      <c r="F100">
        <v>384.16048854961798</v>
      </c>
      <c r="G100" s="160">
        <v>445.31740527225202</v>
      </c>
      <c r="I100" s="160"/>
      <c r="K100" s="160"/>
      <c r="L100">
        <v>382.1596526717554</v>
      </c>
      <c r="M100" s="160">
        <v>179.82172218344127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>
      <c r="B101" s="130">
        <v>388.16216030534315</v>
      </c>
      <c r="C101" s="160">
        <v>28.258470423688205</v>
      </c>
      <c r="D101">
        <v>388.16216030534315</v>
      </c>
      <c r="E101" s="160">
        <v>-1798.5422337562225</v>
      </c>
      <c r="F101">
        <v>388.16216030534315</v>
      </c>
      <c r="G101" s="160">
        <v>441.31209624377743</v>
      </c>
      <c r="I101" s="160"/>
      <c r="K101" s="160"/>
      <c r="L101">
        <v>386.16132442748057</v>
      </c>
      <c r="M101" s="160">
        <v>179.820108640759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>
      <c r="B102" s="130">
        <v>392.16383206106832</v>
      </c>
      <c r="C102" s="160">
        <v>28.271160671444122</v>
      </c>
      <c r="D102">
        <v>392.16383206106832</v>
      </c>
      <c r="E102" s="160">
        <v>-1802.5475093249586</v>
      </c>
      <c r="F102">
        <v>392.16383206106832</v>
      </c>
      <c r="G102" s="160">
        <v>437.30682067504131</v>
      </c>
      <c r="I102" s="160"/>
      <c r="K102" s="160"/>
      <c r="L102">
        <v>390.16299618320573</v>
      </c>
      <c r="M102" s="160">
        <v>179.81846562317639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>
      <c r="B103" s="130">
        <v>396.16550381679349</v>
      </c>
      <c r="C103" s="160">
        <v>28.283967786341478</v>
      </c>
      <c r="D103">
        <v>396.16550381679349</v>
      </c>
      <c r="E103" s="160">
        <v>-1806.5527514239009</v>
      </c>
      <c r="F103">
        <v>396.16550381679349</v>
      </c>
      <c r="G103" s="160">
        <v>433.30157857609902</v>
      </c>
      <c r="I103" s="160"/>
      <c r="K103" s="160"/>
      <c r="L103">
        <v>394.1646679389309</v>
      </c>
      <c r="M103" s="160">
        <v>179.81679231558599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>
      <c r="B104" s="130">
        <v>400.16717557251866</v>
      </c>
      <c r="C104" s="160">
        <v>28.296893942931131</v>
      </c>
      <c r="D104">
        <v>400.16717557251866</v>
      </c>
      <c r="E104" s="160">
        <v>-1810.5579600426195</v>
      </c>
      <c r="F104">
        <v>400.16717557251866</v>
      </c>
      <c r="G104" s="160">
        <v>429.29636995738042</v>
      </c>
      <c r="I104" s="160"/>
      <c r="K104" s="160"/>
      <c r="L104">
        <v>398.16633969465607</v>
      </c>
      <c r="M104" s="160">
        <v>179.81508787254472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>
      <c r="B105" s="130">
        <v>404.16884732824383</v>
      </c>
      <c r="C105" s="160">
        <v>28.309941377028867</v>
      </c>
      <c r="D105">
        <v>404.16884732824383</v>
      </c>
      <c r="E105" s="160">
        <v>-1814.56313517029</v>
      </c>
      <c r="F105">
        <v>404.16884732824383</v>
      </c>
      <c r="G105" s="160">
        <v>425.29119482970987</v>
      </c>
      <c r="I105" s="160"/>
      <c r="K105" s="160"/>
      <c r="L105">
        <v>402.16801145038124</v>
      </c>
      <c r="M105" s="160">
        <v>179.81335141684877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>
      <c r="B106" s="130">
        <v>408.170519083969</v>
      </c>
      <c r="C106" s="160">
        <v>28.323112388038691</v>
      </c>
      <c r="D106">
        <v>408.170519083969</v>
      </c>
      <c r="E106" s="160">
        <v>-1818.5682767956757</v>
      </c>
      <c r="F106">
        <v>408.170519083969</v>
      </c>
      <c r="G106" s="160">
        <v>421.28605320432416</v>
      </c>
      <c r="I106" s="160"/>
      <c r="K106" s="160"/>
      <c r="L106">
        <v>406.16968320610641</v>
      </c>
      <c r="M106" s="160">
        <v>179.81158203802852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>
      <c r="B107" s="130">
        <v>412.17219083969417</v>
      </c>
      <c r="C107" s="160">
        <v>28.336409341387373</v>
      </c>
      <c r="D107">
        <v>412.17219083969417</v>
      </c>
      <c r="E107" s="160">
        <v>-1822.5733849071082</v>
      </c>
      <c r="F107">
        <v>412.17219083969417</v>
      </c>
      <c r="G107" s="160">
        <v>417.28094509289167</v>
      </c>
      <c r="I107" s="160"/>
      <c r="K107" s="160"/>
      <c r="L107">
        <v>410.17135496183158</v>
      </c>
      <c r="M107" s="160">
        <v>179.8097787907559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>
      <c r="B108" s="130">
        <v>416.17386259541934</v>
      </c>
      <c r="C108" s="160">
        <v>28.349834671076593</v>
      </c>
      <c r="D108">
        <v>416.17386259541934</v>
      </c>
      <c r="E108" s="160">
        <v>-1826.5784594924651</v>
      </c>
      <c r="F108">
        <v>416.17386259541934</v>
      </c>
      <c r="G108" s="160">
        <v>413.27587050753482</v>
      </c>
      <c r="I108" s="160"/>
      <c r="K108" s="160"/>
      <c r="L108">
        <v>414.17302671755675</v>
      </c>
      <c r="M108" s="160">
        <v>179.80794069316022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>
      <c r="B109" s="130">
        <v>420.17553435114451</v>
      </c>
      <c r="C109" s="160">
        <v>28.363390882359635</v>
      </c>
      <c r="D109">
        <v>420.17553435114451</v>
      </c>
      <c r="E109" s="160">
        <v>-1830.5835005391491</v>
      </c>
      <c r="F109">
        <v>420.17553435114451</v>
      </c>
      <c r="G109" s="160">
        <v>409.27082946085079</v>
      </c>
      <c r="I109" s="160"/>
      <c r="K109" s="160"/>
      <c r="L109">
        <v>418.17469847328192</v>
      </c>
      <c r="M109" s="160">
        <v>179.80606672504496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>
      <c r="B110" s="130">
        <v>424.17720610686968</v>
      </c>
      <c r="C110" s="160">
        <v>28.37708055454997</v>
      </c>
      <c r="D110">
        <v>424.17720610686968</v>
      </c>
      <c r="E110" s="160">
        <v>-1834.5885080340636</v>
      </c>
      <c r="F110">
        <v>424.17720610686968</v>
      </c>
      <c r="G110" s="160">
        <v>405.26582196593631</v>
      </c>
      <c r="I110" s="160"/>
      <c r="K110" s="160"/>
      <c r="L110">
        <v>422.17637022900709</v>
      </c>
      <c r="M110" s="160">
        <v>179.80415582599935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>
      <c r="B111" s="130">
        <v>428.17887786259485</v>
      </c>
      <c r="C111" s="160">
        <v>28.390906343969611</v>
      </c>
      <c r="D111">
        <v>428.17887786259485</v>
      </c>
      <c r="E111" s="160">
        <v>-1838.5934819635886</v>
      </c>
      <c r="F111">
        <v>428.17887786259485</v>
      </c>
      <c r="G111" s="160">
        <v>401.26084803641129</v>
      </c>
      <c r="I111" s="160"/>
      <c r="K111" s="160"/>
      <c r="L111">
        <v>426.17804198473226</v>
      </c>
      <c r="M111" s="160">
        <v>179.80220689339686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>
      <c r="B112" s="130">
        <v>432.18054961832001</v>
      </c>
      <c r="C112" s="160">
        <v>28.404870987045648</v>
      </c>
      <c r="D112">
        <v>432.18054961832001</v>
      </c>
      <c r="E112" s="160">
        <v>-1842.5984223135533</v>
      </c>
      <c r="F112">
        <v>432.18054961832001</v>
      </c>
      <c r="G112" s="160">
        <v>397.25590768644656</v>
      </c>
      <c r="I112" s="160"/>
      <c r="K112" s="160"/>
      <c r="L112">
        <v>430.17971374045743</v>
      </c>
      <c r="M112" s="160">
        <v>179.80021878027378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>
      <c r="B113" s="130">
        <v>436.18222137404518</v>
      </c>
      <c r="C113" s="160">
        <v>28.418977303564091</v>
      </c>
      <c r="D113">
        <v>436.18222137404518</v>
      </c>
      <c r="E113" s="160">
        <v>-1846.6033290692085</v>
      </c>
      <c r="F113">
        <v>436.18222137404518</v>
      </c>
      <c r="G113" s="160">
        <v>393.25100093079141</v>
      </c>
      <c r="I113" s="160"/>
      <c r="K113" s="160"/>
      <c r="L113">
        <v>434.1813854961826</v>
      </c>
      <c r="M113" s="160">
        <v>179.79819029307643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>
      <c r="B114" s="130">
        <v>440.18389312977035</v>
      </c>
      <c r="C114" s="160">
        <v>28.433228200090518</v>
      </c>
      <c r="D114">
        <v>440.18389312977035</v>
      </c>
      <c r="E114" s="160">
        <v>-1850.6082022151963</v>
      </c>
      <c r="F114">
        <v>440.18389312977035</v>
      </c>
      <c r="G114" s="160">
        <v>389.24612778480355</v>
      </c>
      <c r="I114" s="160"/>
      <c r="K114" s="160"/>
      <c r="L114">
        <v>438.18305725190777</v>
      </c>
      <c r="M114" s="160">
        <v>179.7961201892731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>
      <c r="B115" s="130">
        <v>444.18556488549552</v>
      </c>
      <c r="C115" s="160">
        <v>28.447626673568109</v>
      </c>
      <c r="D115">
        <v>444.18556488549552</v>
      </c>
      <c r="E115" s="160">
        <v>-1854.6130417355205</v>
      </c>
      <c r="F115">
        <v>444.18556488549552</v>
      </c>
      <c r="G115" s="160">
        <v>385.24128826447941</v>
      </c>
      <c r="I115" s="160"/>
      <c r="K115" s="160"/>
      <c r="L115">
        <v>442.18472900763294</v>
      </c>
      <c r="M115" s="160">
        <v>179.79400717481391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>
      <c r="B116" s="130">
        <v>448.18723664122069</v>
      </c>
      <c r="C116" s="160">
        <v>28.462175815104075</v>
      </c>
      <c r="D116">
        <v>448.18723664122069</v>
      </c>
      <c r="E116" s="160">
        <v>-1858.6178476135087</v>
      </c>
      <c r="F116">
        <v>448.18723664122069</v>
      </c>
      <c r="G116" s="160">
        <v>381.23648238649116</v>
      </c>
      <c r="I116" s="160"/>
      <c r="K116" s="160"/>
      <c r="L116">
        <v>446.18640076335811</v>
      </c>
      <c r="M116" s="160">
        <v>179.7918499014333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>
      <c r="B117" s="130">
        <v>452.18890839694586</v>
      </c>
      <c r="C117" s="160">
        <v>28.476878813956507</v>
      </c>
      <c r="D117">
        <v>452.18890839694586</v>
      </c>
      <c r="E117" s="160">
        <v>-1862.6226198317806</v>
      </c>
      <c r="F117">
        <v>452.18890839694586</v>
      </c>
      <c r="G117" s="160">
        <v>377.23171016821925</v>
      </c>
      <c r="I117" s="160"/>
      <c r="K117" s="160"/>
      <c r="L117">
        <v>450.18807251908328</v>
      </c>
      <c r="M117" s="160">
        <v>179.7896469637804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>
      <c r="B118" s="130">
        <v>456.19058015267103</v>
      </c>
      <c r="C118" s="160">
        <v>28.491738961734505</v>
      </c>
      <c r="D118">
        <v>456.19058015267103</v>
      </c>
      <c r="E118" s="160">
        <v>-1866.6273583722079</v>
      </c>
      <c r="F118">
        <v>456.19058015267103</v>
      </c>
      <c r="G118" s="160">
        <v>373.22697162779195</v>
      </c>
      <c r="I118" s="160"/>
      <c r="K118" s="160"/>
      <c r="L118">
        <v>454.18974427480845</v>
      </c>
      <c r="M118" s="160">
        <v>179.78739689636504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>
      <c r="B119" s="130">
        <v>460.1922519083962</v>
      </c>
      <c r="C119" s="160">
        <v>28.506759656825409</v>
      </c>
      <c r="D119">
        <v>460.1922519083962</v>
      </c>
      <c r="E119" s="160">
        <v>-1870.632063215874</v>
      </c>
      <c r="F119">
        <v>460.1922519083962</v>
      </c>
      <c r="G119" s="160">
        <v>369.22226678412585</v>
      </c>
      <c r="I119" s="160"/>
      <c r="K119" s="160"/>
      <c r="L119">
        <v>458.19141603053362</v>
      </c>
      <c r="M119" s="160">
        <v>179.78509817030601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>
      <c r="B120" s="130">
        <v>464.19392366412137</v>
      </c>
      <c r="C120" s="160">
        <v>28.521944409064055</v>
      </c>
      <c r="D120">
        <v>464.19392366412137</v>
      </c>
      <c r="E120" s="160">
        <v>-1874.6367343430313</v>
      </c>
      <c r="F120">
        <v>464.19392366412137</v>
      </c>
      <c r="G120" s="160">
        <v>365.21759565696857</v>
      </c>
      <c r="I120" s="160"/>
      <c r="K120" s="160"/>
      <c r="L120">
        <v>462.19308778625879</v>
      </c>
      <c r="M120" s="160">
        <v>179.7827491898656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>
      <c r="B121" s="130">
        <v>468.19559541984654</v>
      </c>
      <c r="C121" s="160">
        <v>28.537296844660098</v>
      </c>
      <c r="D121">
        <v>468.19559541984654</v>
      </c>
      <c r="E121" s="160">
        <v>-1878.6413717330531</v>
      </c>
      <c r="F121">
        <v>468.19559541984654</v>
      </c>
      <c r="G121" s="160">
        <v>361.21295826694677</v>
      </c>
      <c r="I121" s="160"/>
      <c r="K121" s="160"/>
      <c r="L121">
        <v>466.19475954198396</v>
      </c>
      <c r="M121" s="160">
        <v>179.78034828875434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>
      <c r="B122" s="130">
        <v>472.19726717557171</v>
      </c>
      <c r="C122" s="160">
        <v>28.552820711400699</v>
      </c>
      <c r="D122">
        <v>472.19726717557171</v>
      </c>
      <c r="E122" s="160">
        <v>-1882.645975364386</v>
      </c>
      <c r="F122">
        <v>472.19726717557171</v>
      </c>
      <c r="G122" s="160">
        <v>357.20835463561389</v>
      </c>
      <c r="I122" s="160"/>
      <c r="K122" s="160"/>
      <c r="L122">
        <v>470.19643129770913</v>
      </c>
      <c r="M122" s="160">
        <v>179.77789372618832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>
      <c r="B123" s="130">
        <v>476.19893893129688</v>
      </c>
      <c r="C123" s="160">
        <v>28.568519884147296</v>
      </c>
      <c r="D123">
        <v>476.19893893129688</v>
      </c>
      <c r="E123" s="160">
        <v>-1886.6505452144975</v>
      </c>
      <c r="F123">
        <v>476.19893893129688</v>
      </c>
      <c r="G123" s="160">
        <v>353.20378478550242</v>
      </c>
      <c r="I123" s="160"/>
      <c r="K123" s="160"/>
      <c r="L123">
        <v>474.19810305343429</v>
      </c>
      <c r="M123" s="160">
        <v>179.77538368267818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>
      <c r="B124" s="130">
        <v>480.20061068702205</v>
      </c>
      <c r="C124" s="160">
        <v>28.584398370646575</v>
      </c>
      <c r="D124">
        <v>480.20061068702205</v>
      </c>
      <c r="E124" s="160">
        <v>-1890.6550812598184</v>
      </c>
      <c r="F124">
        <v>480.20061068702205</v>
      </c>
      <c r="G124" s="160">
        <v>349.19924874018147</v>
      </c>
      <c r="I124" s="160"/>
      <c r="K124" s="160"/>
      <c r="L124">
        <v>478.19977480915946</v>
      </c>
      <c r="M124" s="160">
        <v>179.77281625553013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>
      <c r="B125" s="130">
        <v>484.20228244274722</v>
      </c>
      <c r="C125" s="160">
        <v>28.600460317677484</v>
      </c>
      <c r="D125">
        <v>484.20228244274722</v>
      </c>
      <c r="E125" s="160">
        <v>-1894.6595834756827</v>
      </c>
      <c r="F125">
        <v>484.20228244274722</v>
      </c>
      <c r="G125" s="160">
        <v>345.19474652431722</v>
      </c>
      <c r="I125" s="160"/>
      <c r="K125" s="160"/>
      <c r="L125">
        <v>482.20144656488463</v>
      </c>
      <c r="M125" s="160">
        <v>179.77018945403438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>
      <c r="B126" s="130">
        <v>488.20395419847239</v>
      </c>
      <c r="C126" s="160">
        <v>28.61671001755791</v>
      </c>
      <c r="D126">
        <v>488.20395419847239</v>
      </c>
      <c r="E126" s="160">
        <v>-1898.6640518362638</v>
      </c>
      <c r="F126">
        <v>488.20395419847239</v>
      </c>
      <c r="G126" s="160">
        <v>341.19027816373614</v>
      </c>
      <c r="I126" s="160"/>
      <c r="K126" s="160"/>
      <c r="L126">
        <v>486.2031183206098</v>
      </c>
      <c r="M126" s="160">
        <v>179.76750119431509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>
      <c r="B127" s="130">
        <v>492.20562595419756</v>
      </c>
      <c r="C127" s="160">
        <v>28.633151915036482</v>
      </c>
      <c r="D127">
        <v>492.20562595419756</v>
      </c>
      <c r="E127" s="160">
        <v>-1902.6684863145049</v>
      </c>
      <c r="F127">
        <v>492.20562595419756</v>
      </c>
      <c r="G127" s="160">
        <v>337.185843685495</v>
      </c>
      <c r="I127" s="160"/>
      <c r="K127" s="160"/>
      <c r="L127">
        <v>490.20479007633497</v>
      </c>
      <c r="M127" s="160">
        <v>179.76474929381598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>
      <c r="B128" s="130">
        <v>496.20729770992273</v>
      </c>
      <c r="C128" s="160">
        <v>28.6497906145973</v>
      </c>
      <c r="D128">
        <v>496.20729770992273</v>
      </c>
      <c r="E128" s="160">
        <v>-1906.672886882046</v>
      </c>
      <c r="F128">
        <v>496.20729770992273</v>
      </c>
      <c r="G128" s="160">
        <v>333.1814431179539</v>
      </c>
      <c r="I128" s="160"/>
      <c r="K128" s="160"/>
      <c r="L128">
        <v>494.20646183206014</v>
      </c>
      <c r="M128" s="160">
        <v>179.76193146538759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>
      <c r="B129" s="130">
        <v>500.2089694656479</v>
      </c>
      <c r="C129" s="160">
        <v>28.666630888207585</v>
      </c>
      <c r="D129">
        <v>500.2089694656479</v>
      </c>
      <c r="E129" s="160">
        <v>-1910.6772535091416</v>
      </c>
      <c r="F129">
        <v>500.2089694656479</v>
      </c>
      <c r="G129" s="160">
        <v>329.17707649085833</v>
      </c>
      <c r="I129" s="160"/>
      <c r="K129" s="160"/>
      <c r="L129">
        <v>498.20813358778531</v>
      </c>
      <c r="M129" s="160">
        <v>179.75904531094528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>
      <c r="B130" s="130">
        <v>504.21064122137307</v>
      </c>
      <c r="C130" s="160">
        <v>28.683677683540786</v>
      </c>
      <c r="D130">
        <v>504.21064122137307</v>
      </c>
      <c r="E130" s="160">
        <v>-1914.6815861645787</v>
      </c>
      <c r="F130">
        <v>504.21064122137307</v>
      </c>
      <c r="G130" s="160">
        <v>325.17274383542122</v>
      </c>
      <c r="I130" s="160"/>
      <c r="K130" s="160"/>
      <c r="L130">
        <v>502.20980534351048</v>
      </c>
      <c r="M130" s="160">
        <v>179.75608831466124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>
      <c r="B131" s="130">
        <v>508.21231297709824</v>
      </c>
      <c r="C131" s="160">
        <v>28.700936132710179</v>
      </c>
      <c r="D131">
        <v>508.21231297709824</v>
      </c>
      <c r="E131" s="160">
        <v>-1918.6858848155821</v>
      </c>
      <c r="F131">
        <v>508.21231297709824</v>
      </c>
      <c r="G131" s="160">
        <v>321.16844518441781</v>
      </c>
      <c r="I131" s="160"/>
      <c r="K131" s="160"/>
      <c r="L131">
        <v>506.21147709923565</v>
      </c>
      <c r="M131" s="160">
        <v>179.75305783565474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>
      <c r="B132" s="130">
        <v>512.21398473282341</v>
      </c>
      <c r="C132" s="160">
        <v>28.718411561542826</v>
      </c>
      <c r="D132">
        <v>512.21398473282341</v>
      </c>
      <c r="E132" s="160">
        <v>-1922.6901494277179</v>
      </c>
      <c r="F132">
        <v>512.21398473282341</v>
      </c>
      <c r="G132" s="160">
        <v>317.16418057228202</v>
      </c>
      <c r="I132" s="160"/>
      <c r="K132" s="160"/>
      <c r="L132">
        <v>510.21314885496082</v>
      </c>
      <c r="M132" s="160">
        <v>179.74995110025495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>
      <c r="B133" s="130">
        <v>516.21565648854857</v>
      </c>
      <c r="C133" s="160">
        <v>28.736109499303932</v>
      </c>
      <c r="D133">
        <v>516.21565648854857</v>
      </c>
      <c r="E133" s="160">
        <v>-1926.6943799647859</v>
      </c>
      <c r="F133">
        <v>516.21565648854857</v>
      </c>
      <c r="G133" s="160">
        <v>313.15995003521402</v>
      </c>
      <c r="I133" s="160"/>
      <c r="K133" s="160"/>
      <c r="L133">
        <v>514.21482061068605</v>
      </c>
      <c r="M133" s="160">
        <v>179.74676519554998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>
      <c r="B134" s="130">
        <v>520.21732824427374</v>
      </c>
      <c r="C134" s="160">
        <v>28.754035686914587</v>
      </c>
      <c r="D134">
        <v>520.21732824427374</v>
      </c>
      <c r="E134" s="160">
        <v>-1930.6985763887162</v>
      </c>
      <c r="F134">
        <v>520.21732824427374</v>
      </c>
      <c r="G134" s="160">
        <v>309.15575361128367</v>
      </c>
      <c r="I134" s="160"/>
      <c r="K134" s="160"/>
      <c r="L134">
        <v>518.2164923664111</v>
      </c>
      <c r="M134" s="160">
        <v>179.743497090939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>
      <c r="B135" s="130">
        <v>524.21899999999891</v>
      </c>
      <c r="C135" s="160">
        <v>28.772196053687413</v>
      </c>
      <c r="D135">
        <v>524.21899999999891</v>
      </c>
      <c r="E135" s="160">
        <v>-1934.7027386596023</v>
      </c>
      <c r="F135">
        <v>524.21899999999891</v>
      </c>
      <c r="G135" s="160">
        <v>305.15159134039754</v>
      </c>
      <c r="I135" s="160"/>
      <c r="K135" s="160"/>
      <c r="L135">
        <v>522.21816412213639</v>
      </c>
      <c r="M135" s="160">
        <v>179.74014408860563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>
      <c r="B136" s="130">
        <v>526.21899999999891</v>
      </c>
      <c r="C136" s="160">
        <v>28.781362317739084</v>
      </c>
      <c r="D136">
        <v>526.21899999999891</v>
      </c>
      <c r="E136" s="160">
        <v>-1936.7039705825619</v>
      </c>
      <c r="F136">
        <v>526.21899999999891</v>
      </c>
      <c r="G136" s="160">
        <v>303.15035941743804</v>
      </c>
      <c r="I136" s="160"/>
      <c r="K136" s="160"/>
      <c r="L136">
        <v>525.21899999999891</v>
      </c>
      <c r="M136" s="160">
        <v>179.73756936145196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>
      <c r="B137" s="130">
        <v>528.21899999999891</v>
      </c>
      <c r="C137" s="160">
        <v>28.790589403436236</v>
      </c>
      <c r="D137">
        <v>528.21899999999891</v>
      </c>
      <c r="E137" s="160">
        <v>-1938.7051939584753</v>
      </c>
      <c r="F137">
        <v>528.21899999999891</v>
      </c>
      <c r="G137" s="160">
        <v>301.14913604152457</v>
      </c>
      <c r="I137" s="160"/>
      <c r="K137" s="160"/>
      <c r="L137">
        <v>527.21899999999891</v>
      </c>
      <c r="M137" s="160">
        <v>179.73582693079072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>
      <c r="B138" s="130">
        <v>530.21899999999891</v>
      </c>
      <c r="C138" s="160">
        <v>28.799878149547848</v>
      </c>
      <c r="D138">
        <v>530.21899999999891</v>
      </c>
      <c r="E138" s="160">
        <v>-1940.7064087815993</v>
      </c>
      <c r="F138">
        <v>530.21899999999891</v>
      </c>
      <c r="G138" s="160">
        <v>299.1479212184006</v>
      </c>
      <c r="I138" s="160"/>
      <c r="K138" s="160"/>
      <c r="L138">
        <v>529.21899999999891</v>
      </c>
      <c r="M138" s="160">
        <v>179.73406047111402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>
      <c r="B139" s="130">
        <v>532.21899999999891</v>
      </c>
      <c r="C139" s="160">
        <v>28.809229391435821</v>
      </c>
      <c r="D139">
        <v>532.21899999999891</v>
      </c>
      <c r="E139" s="160">
        <v>-1942.7076150461296</v>
      </c>
      <c r="F139">
        <v>532.21899999999891</v>
      </c>
      <c r="G139" s="160">
        <v>297.14671495387029</v>
      </c>
      <c r="I139" s="160"/>
      <c r="K139" s="160"/>
      <c r="L139">
        <v>531.21899999999891</v>
      </c>
      <c r="M139" s="160">
        <v>179.73227007965895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>
      <c r="B140" s="130">
        <v>534.21899999999891</v>
      </c>
      <c r="C140" s="160">
        <v>28.818643977380209</v>
      </c>
      <c r="D140">
        <v>534.21899999999891</v>
      </c>
      <c r="E140" s="160">
        <v>-1944.7088127461229</v>
      </c>
      <c r="F140">
        <v>534.21899999999891</v>
      </c>
      <c r="G140" s="160">
        <v>295.14551725387696</v>
      </c>
      <c r="I140" s="160"/>
      <c r="K140" s="160"/>
      <c r="L140">
        <v>533.21899999999891</v>
      </c>
      <c r="M140" s="160">
        <v>179.7304553862605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>
      <c r="B141" s="130">
        <v>536.21899999999891</v>
      </c>
      <c r="C141" s="160">
        <v>28.828122772212925</v>
      </c>
      <c r="D141">
        <v>536.21899999999891</v>
      </c>
      <c r="E141" s="160">
        <v>-1946.7100018754768</v>
      </c>
      <c r="F141">
        <v>536.21899999999891</v>
      </c>
      <c r="G141" s="160">
        <v>293.1443281245231</v>
      </c>
      <c r="I141" s="160"/>
      <c r="K141" s="160"/>
      <c r="L141">
        <v>535.21899999999891</v>
      </c>
      <c r="M141" s="160">
        <v>179.72861591671068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>
      <c r="B142" s="130">
        <v>538.21899999999891</v>
      </c>
      <c r="C142" s="160">
        <v>28.837666658431456</v>
      </c>
      <c r="D142">
        <v>538.21899999999891</v>
      </c>
      <c r="E142" s="160">
        <v>-1948.7111824279209</v>
      </c>
      <c r="F142">
        <v>538.21899999999891</v>
      </c>
      <c r="G142" s="160">
        <v>291.14314757207899</v>
      </c>
      <c r="I142" s="160"/>
      <c r="K142" s="160"/>
      <c r="L142">
        <v>537.21899999999891</v>
      </c>
      <c r="M142" s="160">
        <v>179.7267511649064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>
      <c r="B143" s="130">
        <v>540.21899999999891</v>
      </c>
      <c r="C143" s="160">
        <v>28.847276536820686</v>
      </c>
      <c r="D143">
        <v>540.21899999999891</v>
      </c>
      <c r="E143" s="160">
        <v>-1950.7123543970115</v>
      </c>
      <c r="F143">
        <v>540.21899999999891</v>
      </c>
      <c r="G143" s="160">
        <v>289.1419756029884</v>
      </c>
      <c r="I143" s="160"/>
      <c r="K143" s="160"/>
      <c r="L143">
        <v>539.21899999999891</v>
      </c>
      <c r="M143" s="160">
        <v>179.72486060693208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>
      <c r="B144" s="130">
        <v>542.21899999999891</v>
      </c>
      <c r="C144" s="160">
        <v>28.85695332698959</v>
      </c>
      <c r="D144">
        <v>542.21899999999891</v>
      </c>
      <c r="E144" s="160">
        <v>-1952.7135177761247</v>
      </c>
      <c r="F144">
        <v>542.21899999999891</v>
      </c>
      <c r="G144" s="160">
        <v>287.14081222387517</v>
      </c>
      <c r="I144" s="160"/>
      <c r="K144" s="160"/>
      <c r="L144">
        <v>541.21899999999891</v>
      </c>
      <c r="M144" s="160">
        <v>179.72294370349684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>
      <c r="B145" s="130">
        <v>544.21899999999891</v>
      </c>
      <c r="C145" s="160">
        <v>28.866697967905164</v>
      </c>
      <c r="D145">
        <v>544.21899999999891</v>
      </c>
      <c r="E145" s="160">
        <v>-1954.7146725584489</v>
      </c>
      <c r="F145">
        <v>544.21899999999891</v>
      </c>
      <c r="G145" s="160">
        <v>285.13965744155098</v>
      </c>
      <c r="I145" s="160"/>
      <c r="K145" s="160"/>
      <c r="L145">
        <v>543.21899999999891</v>
      </c>
      <c r="M145" s="160">
        <v>179.72099990001243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>
      <c r="B146" s="130">
        <v>546.21899999999891</v>
      </c>
      <c r="C146" s="160">
        <v>28.876511418440817</v>
      </c>
      <c r="D146">
        <v>546.21899999999891</v>
      </c>
      <c r="E146" s="160">
        <v>-1956.7158187369812</v>
      </c>
      <c r="F146">
        <v>546.21899999999891</v>
      </c>
      <c r="G146" s="160">
        <v>283.1385112630187</v>
      </c>
      <c r="I146" s="160"/>
      <c r="K146" s="160"/>
      <c r="L146">
        <v>545.21899999999891</v>
      </c>
      <c r="M146" s="160">
        <v>179.71902862618035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>
      <c r="B147" s="130">
        <v>548.21899999999891</v>
      </c>
      <c r="C147" s="160">
        <v>28.886394657943406</v>
      </c>
      <c r="D147">
        <v>548.21899999999891</v>
      </c>
      <c r="E147" s="160">
        <v>-1958.7169563045168</v>
      </c>
      <c r="F147">
        <v>548.21899999999891</v>
      </c>
      <c r="G147" s="160">
        <v>281.13737369548312</v>
      </c>
      <c r="I147" s="160"/>
      <c r="K147" s="160"/>
      <c r="L147">
        <v>547.21899999999891</v>
      </c>
      <c r="M147" s="160">
        <v>179.71702929545586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>
      <c r="B148" s="130">
        <v>550.21899999999891</v>
      </c>
      <c r="C148" s="160">
        <v>28.896348686820406</v>
      </c>
      <c r="D148">
        <v>550.21899999999891</v>
      </c>
      <c r="E148" s="160">
        <v>-1960.7180852536444</v>
      </c>
      <c r="F148">
        <v>550.21899999999891</v>
      </c>
      <c r="G148" s="160">
        <v>279.13624474635549</v>
      </c>
      <c r="I148" s="160"/>
      <c r="K148" s="160"/>
      <c r="L148">
        <v>549.21899999999891</v>
      </c>
      <c r="M148" s="160">
        <v>179.71500130447265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>
      <c r="B149" s="130">
        <v>552.21899999999891</v>
      </c>
      <c r="C149" s="160">
        <v>28.906374527148262</v>
      </c>
      <c r="D149">
        <v>552.21899999999891</v>
      </c>
      <c r="E149" s="160">
        <v>-1962.7192055767387</v>
      </c>
      <c r="F149">
        <v>552.21899999999891</v>
      </c>
      <c r="G149" s="160">
        <v>277.13512442326123</v>
      </c>
      <c r="I149" s="160"/>
      <c r="K149" s="160"/>
      <c r="L149">
        <v>551.21899999999891</v>
      </c>
      <c r="M149" s="160">
        <v>179.7129440324353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>
      <c r="B150" s="130">
        <v>554.21899999999891</v>
      </c>
      <c r="C150" s="160">
        <v>28.916473223302823</v>
      </c>
      <c r="D150">
        <v>554.21899999999891</v>
      </c>
      <c r="E150" s="160">
        <v>-1964.7203172659497</v>
      </c>
      <c r="F150">
        <v>554.21899999999891</v>
      </c>
      <c r="G150" s="160">
        <v>275.1340127340502</v>
      </c>
      <c r="I150" s="160"/>
      <c r="K150" s="160"/>
      <c r="L150">
        <v>553.21899999999891</v>
      </c>
      <c r="M150" s="160">
        <v>179.7108568404862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>
      <c r="B151" s="130">
        <v>556.21899999999891</v>
      </c>
      <c r="C151" s="160">
        <v>28.926645842612942</v>
      </c>
      <c r="D151">
        <v>556.21899999999891</v>
      </c>
      <c r="E151" s="160">
        <v>-1966.7214203131987</v>
      </c>
      <c r="F151">
        <v>556.21899999999891</v>
      </c>
      <c r="G151" s="160">
        <v>273.13290968680121</v>
      </c>
      <c r="I151" s="160"/>
      <c r="K151" s="160"/>
      <c r="L151">
        <v>555.21899999999891</v>
      </c>
      <c r="M151" s="160">
        <v>179.70873907104297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>
      <c r="B152" s="130">
        <v>558.21899999999891</v>
      </c>
      <c r="C152" s="160">
        <v>28.936893476038136</v>
      </c>
      <c r="D152">
        <v>558.21899999999891</v>
      </c>
      <c r="E152" s="160">
        <v>-1968.7225147101663</v>
      </c>
      <c r="F152">
        <v>558.21899999999891</v>
      </c>
      <c r="G152" s="160">
        <v>271.13181528983364</v>
      </c>
      <c r="I152" s="160"/>
      <c r="K152" s="160"/>
      <c r="L152">
        <v>557.21899999999891</v>
      </c>
      <c r="M152" s="160">
        <v>179.70659004710791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>
      <c r="B153" s="130">
        <v>560.21899999999891</v>
      </c>
      <c r="C153" s="160">
        <v>28.947217238871492</v>
      </c>
      <c r="D153">
        <v>560.21899999999891</v>
      </c>
      <c r="E153" s="160">
        <v>-1970.7236004482857</v>
      </c>
      <c r="F153">
        <v>560.21899999999891</v>
      </c>
      <c r="G153" s="160">
        <v>269.13072955171424</v>
      </c>
      <c r="I153" s="160"/>
      <c r="K153" s="160"/>
      <c r="L153">
        <v>559.21899999999891</v>
      </c>
      <c r="M153" s="160">
        <v>179.70440907154574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>
      <c r="B154" s="130">
        <v>562.21899999999891</v>
      </c>
      <c r="C154" s="160">
        <v>28.957618271468874</v>
      </c>
      <c r="D154">
        <v>562.21899999999891</v>
      </c>
      <c r="E154" s="160">
        <v>-1972.7246775187318</v>
      </c>
      <c r="F154">
        <v>562.21899999999891</v>
      </c>
      <c r="G154" s="160">
        <v>267.12965248126807</v>
      </c>
      <c r="I154" s="160"/>
      <c r="K154" s="160"/>
      <c r="L154">
        <v>561.21899999999891</v>
      </c>
      <c r="M154" s="160">
        <v>179.70219542632907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>
      <c r="B155" s="130">
        <v>564.21899999999891</v>
      </c>
      <c r="C155" s="160">
        <v>28.9680977400057</v>
      </c>
      <c r="D155">
        <v>564.21899999999891</v>
      </c>
      <c r="E155" s="160">
        <v>-1974.7257459124121</v>
      </c>
      <c r="F155">
        <v>564.21899999999891</v>
      </c>
      <c r="G155" s="160">
        <v>265.1285840875878</v>
      </c>
      <c r="I155" s="160"/>
      <c r="K155" s="160"/>
      <c r="L155">
        <v>563.21899999999891</v>
      </c>
      <c r="M155" s="160">
        <v>179.6999483717494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>
      <c r="B156" s="130">
        <v>566.21899999999891</v>
      </c>
      <c r="C156" s="160">
        <v>28.97865683726247</v>
      </c>
      <c r="D156">
        <v>566.21899999999891</v>
      </c>
      <c r="E156" s="160">
        <v>-1976.7268056199571</v>
      </c>
      <c r="F156">
        <v>566.21899999999891</v>
      </c>
      <c r="G156" s="160">
        <v>263.12752438004281</v>
      </c>
      <c r="I156" s="160"/>
      <c r="K156" s="160"/>
      <c r="L156">
        <v>565.21899999999891</v>
      </c>
      <c r="M156" s="160">
        <v>179.6976671455929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>
      <c r="B157" s="130">
        <v>568.21899999999891</v>
      </c>
      <c r="C157" s="160">
        <v>28.989296783440416</v>
      </c>
      <c r="D157">
        <v>568.21899999999891</v>
      </c>
      <c r="E157" s="160">
        <v>-1978.7278566317084</v>
      </c>
      <c r="F157">
        <v>568.21899999999891</v>
      </c>
      <c r="G157" s="160">
        <v>261.1264733682915</v>
      </c>
      <c r="I157" s="160"/>
      <c r="K157" s="160"/>
      <c r="L157">
        <v>567.21899999999891</v>
      </c>
      <c r="M157" s="160">
        <v>179.69535096227739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>
      <c r="B158" s="130">
        <v>570.21899999999891</v>
      </c>
      <c r="C158" s="160">
        <v>29.00001882700867</v>
      </c>
      <c r="D158">
        <v>570.21899999999891</v>
      </c>
      <c r="E158" s="160">
        <v>-1980.7288989377087</v>
      </c>
      <c r="F158">
        <v>570.21899999999891</v>
      </c>
      <c r="G158" s="160">
        <v>259.12543106229123</v>
      </c>
      <c r="I158" s="160"/>
      <c r="K158" s="160"/>
      <c r="L158">
        <v>569.21899999999891</v>
      </c>
      <c r="M158" s="160">
        <v>179.6929990119495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>
      <c r="B159" s="130">
        <v>572.21899999999891</v>
      </c>
      <c r="C159" s="160">
        <v>29.010824245584391</v>
      </c>
      <c r="D159">
        <v>572.21899999999891</v>
      </c>
      <c r="E159" s="160">
        <v>-1982.7299325276888</v>
      </c>
      <c r="F159">
        <v>572.21899999999891</v>
      </c>
      <c r="G159" s="160">
        <v>257.1243974723111</v>
      </c>
      <c r="I159" s="160"/>
      <c r="K159" s="160"/>
      <c r="L159">
        <v>571.21899999999891</v>
      </c>
      <c r="M159" s="160">
        <v>179.69061045954035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>
      <c r="B160" s="130">
        <v>574.21899999999891</v>
      </c>
      <c r="C160" s="160">
        <v>29.021714346847439</v>
      </c>
      <c r="D160">
        <v>574.21899999999891</v>
      </c>
      <c r="E160" s="160">
        <v>-1984.7309573910568</v>
      </c>
      <c r="F160">
        <v>574.21899999999891</v>
      </c>
      <c r="G160" s="160">
        <v>255.1233726089431</v>
      </c>
      <c r="I160" s="160"/>
      <c r="K160" s="160"/>
      <c r="L160">
        <v>573.21899999999891</v>
      </c>
      <c r="M160" s="160">
        <v>179.68818444377567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>
      <c r="B161" s="130">
        <v>576.21899999999891</v>
      </c>
      <c r="C161" s="160">
        <v>29.032690469491214</v>
      </c>
      <c r="D161">
        <v>576.21899999999891</v>
      </c>
      <c r="E161" s="160">
        <v>-1986.731973516884</v>
      </c>
      <c r="F161">
        <v>576.21899999999891</v>
      </c>
      <c r="G161" s="160">
        <v>253.12235648311594</v>
      </c>
      <c r="I161" s="160"/>
      <c r="K161" s="160"/>
      <c r="L161">
        <v>575.21899999999891</v>
      </c>
      <c r="M161" s="160">
        <v>179.6857200761396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>
      <c r="B162" s="130">
        <v>578.21899999999891</v>
      </c>
      <c r="C162" s="160">
        <v>29.043753984211396</v>
      </c>
      <c r="D162">
        <v>578.21899999999891</v>
      </c>
      <c r="E162" s="160">
        <v>-1988.732980893893</v>
      </c>
      <c r="F162">
        <v>578.21899999999891</v>
      </c>
      <c r="G162" s="160">
        <v>251.12134910610689</v>
      </c>
      <c r="I162" s="160"/>
      <c r="K162" s="160"/>
      <c r="L162">
        <v>577.21899999999891</v>
      </c>
      <c r="M162" s="160">
        <v>179.68321643978919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>
      <c r="B163" s="130">
        <v>580.21899999999891</v>
      </c>
      <c r="C163" s="160">
        <v>29.054906294734423</v>
      </c>
      <c r="D163">
        <v>580.21899999999891</v>
      </c>
      <c r="E163" s="160">
        <v>-1990.7339795104415</v>
      </c>
      <c r="F163">
        <v>580.21899999999891</v>
      </c>
      <c r="G163" s="160">
        <v>249.1203504895584</v>
      </c>
      <c r="I163" s="160"/>
      <c r="K163" s="160"/>
      <c r="L163">
        <v>579.21899999999891</v>
      </c>
      <c r="M163" s="160">
        <v>179.68067258841504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>
      <c r="B164" s="130">
        <v>582.21899999999891</v>
      </c>
      <c r="C164" s="160">
        <v>29.066148838887607</v>
      </c>
      <c r="D164">
        <v>582.21899999999891</v>
      </c>
      <c r="E164" s="160">
        <v>-1992.7349693545088</v>
      </c>
      <c r="F164">
        <v>582.21899999999891</v>
      </c>
      <c r="G164" s="160">
        <v>247.11936064549104</v>
      </c>
      <c r="I164" s="160"/>
      <c r="K164" s="160"/>
      <c r="L164">
        <v>581.21899999999891</v>
      </c>
      <c r="M164" s="160">
        <v>179.67808754504927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>
      <c r="B165" s="130">
        <v>584.21899999999891</v>
      </c>
      <c r="C165" s="160">
        <v>29.077483089713006</v>
      </c>
      <c r="D165">
        <v>584.21899999999891</v>
      </c>
      <c r="E165" s="160">
        <v>-1994.7359504136807</v>
      </c>
      <c r="F165">
        <v>584.21899999999891</v>
      </c>
      <c r="G165" s="160">
        <v>245.11837958631918</v>
      </c>
      <c r="I165" s="160"/>
      <c r="K165" s="160"/>
      <c r="L165">
        <v>583.21899999999891</v>
      </c>
      <c r="M165" s="160">
        <v>179.67546030081135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>
      <c r="B166" s="130">
        <v>586.21899999999891</v>
      </c>
      <c r="C166" s="160">
        <v>29.088910556627091</v>
      </c>
      <c r="D166">
        <v>586.21899999999891</v>
      </c>
      <c r="E166" s="160">
        <v>-1996.7369226751325</v>
      </c>
      <c r="F166">
        <v>586.21899999999891</v>
      </c>
      <c r="G166" s="160">
        <v>243.11740732486737</v>
      </c>
      <c r="I166" s="160"/>
      <c r="K166" s="160"/>
      <c r="L166">
        <v>585.21899999999891</v>
      </c>
      <c r="M166" s="160">
        <v>179.67278981359615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>
      <c r="B167" s="130">
        <v>588.21899999999891</v>
      </c>
      <c r="C167" s="160">
        <v>29.10043278662862</v>
      </c>
      <c r="D167">
        <v>588.21899999999891</v>
      </c>
      <c r="E167" s="160">
        <v>-1998.7378861256118</v>
      </c>
      <c r="F167">
        <v>588.21899999999891</v>
      </c>
      <c r="G167" s="160">
        <v>241.1164438743881</v>
      </c>
      <c r="I167" s="160"/>
      <c r="K167" s="160"/>
      <c r="L167">
        <v>587.21899999999891</v>
      </c>
      <c r="M167" s="160">
        <v>179.67007500669263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>
      <c r="B168" s="130">
        <v>590.21899999999891</v>
      </c>
      <c r="C168" s="160">
        <v>29.112051365557065</v>
      </c>
      <c r="D168">
        <v>590.21899999999891</v>
      </c>
      <c r="E168" s="160">
        <v>-2000.73884075142</v>
      </c>
      <c r="F168">
        <v>590.21899999999891</v>
      </c>
      <c r="G168" s="160">
        <v>239.11548924857993</v>
      </c>
      <c r="I168" s="160"/>
      <c r="K168" s="160"/>
      <c r="L168">
        <v>589.21899999999891</v>
      </c>
      <c r="M168" s="160">
        <v>179.66731476733545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>
      <c r="B169" s="130">
        <v>592.21899999999891</v>
      </c>
      <c r="C169" s="160">
        <v>29.123767919404141</v>
      </c>
      <c r="D169">
        <v>592.21899999999891</v>
      </c>
      <c r="E169" s="160">
        <v>-2002.7397865383957</v>
      </c>
      <c r="F169">
        <v>592.21899999999891</v>
      </c>
      <c r="G169" s="160">
        <v>237.11454346160417</v>
      </c>
      <c r="I169" s="160"/>
      <c r="K169" s="160"/>
      <c r="L169">
        <v>591.21899999999891</v>
      </c>
      <c r="M169" s="160">
        <v>179.66450794518414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>
      <c r="B170" s="130">
        <v>594.21899999999891</v>
      </c>
      <c r="C170" s="160">
        <v>29.135584115681265</v>
      </c>
      <c r="D170">
        <v>594.21899999999891</v>
      </c>
      <c r="E170" s="160">
        <v>-2004.7407234718926</v>
      </c>
      <c r="F170">
        <v>594.21899999999891</v>
      </c>
      <c r="G170" s="160">
        <v>235.11360652810731</v>
      </c>
      <c r="I170" s="160"/>
      <c r="K170" s="160"/>
      <c r="L170">
        <v>593.21899999999891</v>
      </c>
      <c r="M170" s="160">
        <v>179.66165335071958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>
      <c r="B171" s="130">
        <v>596.21899999999891</v>
      </c>
      <c r="C171" s="160">
        <v>29.147501664845631</v>
      </c>
      <c r="D171">
        <v>596.21899999999891</v>
      </c>
      <c r="E171" s="160">
        <v>-2006.7416515367593</v>
      </c>
      <c r="F171">
        <v>596.21899999999891</v>
      </c>
      <c r="G171" s="160">
        <v>233.11267846324063</v>
      </c>
      <c r="I171" s="160"/>
      <c r="K171" s="160"/>
      <c r="L171">
        <v>595.21899999999891</v>
      </c>
      <c r="M171" s="160">
        <v>179.65874975356533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>
      <c r="B172" s="130">
        <v>598.21899999999891</v>
      </c>
      <c r="C172" s="160">
        <v>29.159522321788184</v>
      </c>
      <c r="D172">
        <v>598.21899999999891</v>
      </c>
      <c r="E172" s="160">
        <v>-2008.742570717317</v>
      </c>
      <c r="F172">
        <v>598.21899999999891</v>
      </c>
      <c r="G172" s="160">
        <v>231.1117592826829</v>
      </c>
      <c r="I172" s="160"/>
      <c r="K172" s="160"/>
      <c r="L172">
        <v>597.21899999999891</v>
      </c>
      <c r="M172" s="160">
        <v>179.65579588071395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>
      <c r="B173" s="130">
        <v>600.21899999999891</v>
      </c>
      <c r="C173" s="160">
        <v>29.171647887386527</v>
      </c>
      <c r="D173">
        <v>600.21899999999891</v>
      </c>
      <c r="E173" s="160">
        <v>-2010.7434809973379</v>
      </c>
      <c r="F173">
        <v>600.21899999999891</v>
      </c>
      <c r="G173" s="160">
        <v>229.11084900266201</v>
      </c>
      <c r="I173" s="160"/>
      <c r="K173" s="160"/>
      <c r="L173">
        <v>599.21899999999891</v>
      </c>
      <c r="M173" s="160">
        <v>179.65279041466664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>
      <c r="B174" s="130">
        <v>602.21899999999891</v>
      </c>
      <c r="C174" s="160">
        <v>29.183880210126365</v>
      </c>
      <c r="D174">
        <v>602.21899999999891</v>
      </c>
      <c r="E174" s="160">
        <v>-2012.7443823600186</v>
      </c>
      <c r="F174">
        <v>602.21899999999891</v>
      </c>
      <c r="G174" s="160">
        <v>227.10994763998133</v>
      </c>
      <c r="I174" s="160"/>
      <c r="K174" s="160"/>
      <c r="L174">
        <v>601.21899999999891</v>
      </c>
      <c r="M174" s="160">
        <v>179.64973199146928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>
      <c r="B175" s="130">
        <v>604.21899999999891</v>
      </c>
      <c r="C175" s="160">
        <v>29.196221187795015</v>
      </c>
      <c r="D175">
        <v>604.21899999999891</v>
      </c>
      <c r="E175" s="160">
        <v>-2014.7452747879563</v>
      </c>
      <c r="F175">
        <v>604.21899999999891</v>
      </c>
      <c r="G175" s="160">
        <v>225.10905521204359</v>
      </c>
      <c r="I175" s="160"/>
      <c r="K175" s="160"/>
      <c r="L175">
        <v>603.21899999999891</v>
      </c>
      <c r="M175" s="160">
        <v>179.64661919864801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>
      <c r="B176" s="130">
        <v>606.21899999999891</v>
      </c>
      <c r="C176" s="160">
        <v>29.208672769250956</v>
      </c>
      <c r="D176">
        <v>606.21899999999891</v>
      </c>
      <c r="E176" s="160">
        <v>-2016.7461582631208</v>
      </c>
      <c r="F176">
        <v>606.21899999999891</v>
      </c>
      <c r="G176" s="160">
        <v>223.10817173687906</v>
      </c>
      <c r="I176" s="160"/>
      <c r="K176" s="160"/>
      <c r="L176">
        <v>605.21899999999891</v>
      </c>
      <c r="M176" s="160">
        <v>179.64345057303029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>
      <c r="B177" s="130">
        <v>608.21899999999891</v>
      </c>
      <c r="C177" s="160">
        <v>29.221236956273525</v>
      </c>
      <c r="D177">
        <v>608.21899999999891</v>
      </c>
      <c r="E177" s="160">
        <v>-2018.7470327668264</v>
      </c>
      <c r="F177">
        <v>608.21899999999891</v>
      </c>
      <c r="G177" s="160">
        <v>221.10729723317354</v>
      </c>
      <c r="I177" s="160"/>
      <c r="K177" s="160"/>
      <c r="L177">
        <v>607.21899999999891</v>
      </c>
      <c r="M177" s="160">
        <v>179.64022459844881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>
      <c r="B178" s="130">
        <v>610.21899999999891</v>
      </c>
      <c r="C178" s="160">
        <v>29.233915805497141</v>
      </c>
      <c r="D178">
        <v>610.21899999999891</v>
      </c>
      <c r="E178" s="160">
        <v>-2020.7478982797013</v>
      </c>
      <c r="F178">
        <v>610.21899999999891</v>
      </c>
      <c r="G178" s="160">
        <v>219.10643172029859</v>
      </c>
      <c r="I178" s="160"/>
      <c r="K178" s="160"/>
      <c r="L178">
        <v>609.21899999999891</v>
      </c>
      <c r="M178" s="160">
        <v>179.63693970331934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>
      <c r="B179" s="130">
        <v>612.21899999999891</v>
      </c>
      <c r="C179" s="160">
        <v>29.246711430434726</v>
      </c>
      <c r="D179">
        <v>612.21899999999891</v>
      </c>
      <c r="E179" s="160">
        <v>-2022.7487547816568</v>
      </c>
      <c r="F179">
        <v>612.21899999999891</v>
      </c>
      <c r="G179" s="160">
        <v>217.10557521834312</v>
      </c>
      <c r="I179" s="160"/>
      <c r="K179" s="160"/>
      <c r="L179">
        <v>611.21899999999891</v>
      </c>
      <c r="M179" s="160">
        <v>179.63359425808522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>
      <c r="B180" s="130">
        <v>614.21899999999891</v>
      </c>
      <c r="C180" s="160">
        <v>29.259626003595379</v>
      </c>
      <c r="D180">
        <v>614.21899999999891</v>
      </c>
      <c r="E180" s="160">
        <v>-2024.7496022518524</v>
      </c>
      <c r="F180">
        <v>614.21899999999891</v>
      </c>
      <c r="G180" s="160">
        <v>215.10472774814752</v>
      </c>
      <c r="I180" s="160"/>
      <c r="K180" s="160"/>
      <c r="L180">
        <v>613.21899999999891</v>
      </c>
      <c r="M180" s="160">
        <v>179.63018657251689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>
      <c r="B181" s="130">
        <v>616.21899999999891</v>
      </c>
      <c r="C181" s="160">
        <v>29.27266175870156</v>
      </c>
      <c r="D181">
        <v>616.21899999999891</v>
      </c>
      <c r="E181" s="160">
        <v>-2026.7504406686617</v>
      </c>
      <c r="F181">
        <v>616.21899999999891</v>
      </c>
      <c r="G181" s="160">
        <v>213.10388933133822</v>
      </c>
      <c r="I181" s="160"/>
      <c r="K181" s="160"/>
      <c r="L181">
        <v>615.21899999999891</v>
      </c>
      <c r="M181" s="160">
        <v>179.6267148928608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>
      <c r="B182" s="130">
        <v>618.21899999999891</v>
      </c>
      <c r="C182" s="160">
        <v>29.285820993011423</v>
      </c>
      <c r="D182">
        <v>618.21899999999891</v>
      </c>
      <c r="E182" s="160">
        <v>-2028.7512700096343</v>
      </c>
      <c r="F182">
        <v>618.21899999999891</v>
      </c>
      <c r="G182" s="160">
        <v>211.10305999036564</v>
      </c>
      <c r="I182" s="160"/>
      <c r="K182" s="160"/>
      <c r="L182">
        <v>617.21899999999891</v>
      </c>
      <c r="M182" s="160">
        <v>179.62317739882639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>
      <c r="B183" s="130">
        <v>620.21899999999891</v>
      </c>
      <c r="C183" s="160">
        <v>29.299106069752455</v>
      </c>
      <c r="D183">
        <v>620.21899999999891</v>
      </c>
      <c r="E183" s="160">
        <v>-2030.7520902514564</v>
      </c>
      <c r="F183">
        <v>620.21899999999891</v>
      </c>
      <c r="G183" s="160">
        <v>209.10223974854352</v>
      </c>
      <c r="I183" s="160"/>
      <c r="K183" s="160"/>
      <c r="L183">
        <v>619.21899999999891</v>
      </c>
      <c r="M183" s="160">
        <v>179.6195722003973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>
      <c r="B184" s="130">
        <v>622.21899999999891</v>
      </c>
      <c r="C184" s="160">
        <v>29.312519420672796</v>
      </c>
      <c r="D184">
        <v>622.21899999999891</v>
      </c>
      <c r="E184" s="160">
        <v>-2032.7529013699075</v>
      </c>
      <c r="F184">
        <v>622.21899999999891</v>
      </c>
      <c r="G184" s="160">
        <v>207.10142863009241</v>
      </c>
      <c r="I184" s="160"/>
      <c r="K184" s="160"/>
      <c r="L184">
        <v>621.21899999999891</v>
      </c>
      <c r="M184" s="160">
        <v>179.61589733445894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>
      <c r="B185" s="130">
        <v>624.21899999999891</v>
      </c>
      <c r="C185" s="160">
        <v>29.326063548717102</v>
      </c>
      <c r="D185">
        <v>624.21899999999891</v>
      </c>
      <c r="E185" s="160">
        <v>-2034.7537033398191</v>
      </c>
      <c r="F185">
        <v>624.21899999999891</v>
      </c>
      <c r="G185" s="160">
        <v>205.10062666018075</v>
      </c>
      <c r="I185" s="160"/>
      <c r="K185" s="160"/>
      <c r="L185">
        <v>623.21899999999891</v>
      </c>
      <c r="M185" s="160">
        <v>179.61215076123128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>
      <c r="B186" s="130">
        <v>626.21899999999891</v>
      </c>
      <c r="C186" s="160">
        <v>29.339741030834503</v>
      </c>
      <c r="D186">
        <v>626.21899999999891</v>
      </c>
      <c r="E186" s="160">
        <v>-2036.7544961350247</v>
      </c>
      <c r="F186">
        <v>626.21899999999891</v>
      </c>
      <c r="G186" s="160">
        <v>203.09983386497515</v>
      </c>
      <c r="I186" s="160"/>
      <c r="K186" s="160"/>
      <c r="L186">
        <v>625.21899999999891</v>
      </c>
      <c r="M186" s="160">
        <v>179.60833036048243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>
      <c r="B187" s="130">
        <v>628.21899999999891</v>
      </c>
      <c r="C187" s="160">
        <v>29.353554520926338</v>
      </c>
      <c r="D187">
        <v>628.21899999999891</v>
      </c>
      <c r="E187" s="160">
        <v>-2038.7552797283108</v>
      </c>
      <c r="F187">
        <v>628.21899999999891</v>
      </c>
      <c r="G187" s="160">
        <v>201.09905027168907</v>
      </c>
      <c r="I187" s="160"/>
      <c r="K187" s="160"/>
      <c r="L187">
        <v>627.21899999999891</v>
      </c>
      <c r="M187" s="160">
        <v>179.60443392752492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>
      <c r="B188" s="130">
        <v>630.21899999999891</v>
      </c>
      <c r="C188" s="160">
        <v>29.367506752942273</v>
      </c>
      <c r="D188">
        <v>630.21899999999891</v>
      </c>
      <c r="E188" s="160">
        <v>-2040.7560540913646</v>
      </c>
      <c r="F188">
        <v>630.21899999999891</v>
      </c>
      <c r="G188" s="160">
        <v>199.09827590863529</v>
      </c>
      <c r="I188" s="160"/>
      <c r="K188" s="160"/>
      <c r="L188">
        <v>629.21899999999891</v>
      </c>
      <c r="M188" s="160">
        <v>179.6004591689636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>
      <c r="B189" s="130">
        <v>632.21899999999891</v>
      </c>
      <c r="C189" s="160">
        <v>29.381600544133772</v>
      </c>
      <c r="D189">
        <v>632.21899999999891</v>
      </c>
      <c r="E189" s="160">
        <v>-2042.756819194718</v>
      </c>
      <c r="F189">
        <v>632.21899999999891</v>
      </c>
      <c r="G189" s="160">
        <v>197.0975108052819</v>
      </c>
      <c r="I189" s="160"/>
      <c r="K189" s="160"/>
      <c r="L189">
        <v>631.21899999999891</v>
      </c>
      <c r="M189" s="160">
        <v>179.59640369818737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>
      <c r="B190" s="130">
        <v>634.21899999999891</v>
      </c>
      <c r="C190" s="160">
        <v>29.395838798474681</v>
      </c>
      <c r="D190">
        <v>634.21899999999891</v>
      </c>
      <c r="E190" s="160">
        <v>-2044.7575750076862</v>
      </c>
      <c r="F190">
        <v>634.21899999999891</v>
      </c>
      <c r="G190" s="160">
        <v>195.09675499231366</v>
      </c>
      <c r="I190" s="160"/>
      <c r="K190" s="160"/>
      <c r="L190">
        <v>633.21899999999891</v>
      </c>
      <c r="M190" s="160">
        <v>179.59226503058036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>
      <c r="B191" s="130">
        <v>636.21899999999891</v>
      </c>
      <c r="C191" s="160">
        <v>29.41022451025929</v>
      </c>
      <c r="D191">
        <v>636.21899999999891</v>
      </c>
      <c r="E191" s="160">
        <v>-2046.7583214983067</v>
      </c>
      <c r="F191">
        <v>636.21899999999891</v>
      </c>
      <c r="G191" s="160">
        <v>193.09600850169318</v>
      </c>
      <c r="I191" s="160"/>
      <c r="K191" s="160"/>
      <c r="L191">
        <v>635.21899999999891</v>
      </c>
      <c r="M191" s="160">
        <v>179.58804057843761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>
      <c r="B192" s="130">
        <v>638.21899999999891</v>
      </c>
      <c r="C192" s="160">
        <v>29.424760767889058</v>
      </c>
      <c r="D192">
        <v>638.21899999999891</v>
      </c>
      <c r="E192" s="160">
        <v>-2048.7590586332703</v>
      </c>
      <c r="F192">
        <v>638.21899999999891</v>
      </c>
      <c r="G192" s="160">
        <v>191.09527136672978</v>
      </c>
      <c r="I192" s="160"/>
      <c r="K192" s="160"/>
      <c r="L192">
        <v>637.21899999999891</v>
      </c>
      <c r="M192" s="160">
        <v>179.58372764555844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>
      <c r="B193" s="130">
        <v>640.21899999999891</v>
      </c>
      <c r="C193" s="160">
        <v>29.439450757860065</v>
      </c>
      <c r="D193">
        <v>640.21899999999891</v>
      </c>
      <c r="E193" s="160">
        <v>-2050.7597863778515</v>
      </c>
      <c r="F193">
        <v>640.21899999999891</v>
      </c>
      <c r="G193" s="160">
        <v>189.09454362214865</v>
      </c>
      <c r="I193" s="160"/>
      <c r="K193" s="160"/>
      <c r="L193">
        <v>639.21899999999891</v>
      </c>
      <c r="M193" s="160">
        <v>179.57932342149576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>
      <c r="B194" s="130">
        <v>642.21899999999891</v>
      </c>
      <c r="C194" s="160">
        <v>29.454297768964011</v>
      </c>
      <c r="D194">
        <v>642.21899999999891</v>
      </c>
      <c r="E194" s="160">
        <v>-2052.7605046958274</v>
      </c>
      <c r="F194">
        <v>642.21899999999891</v>
      </c>
      <c r="G194" s="160">
        <v>187.0938253041727</v>
      </c>
      <c r="I194" s="160"/>
      <c r="K194" s="160"/>
      <c r="L194">
        <v>641.21899999999891</v>
      </c>
      <c r="M194" s="160">
        <v>179.57482497543617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>
      <c r="B195" s="130">
        <v>644.21899999999891</v>
      </c>
      <c r="C195" s="160">
        <v>29.469305196716718</v>
      </c>
      <c r="D195">
        <v>644.21899999999891</v>
      </c>
      <c r="E195" s="160">
        <v>-2054.7612135494037</v>
      </c>
      <c r="F195">
        <v>644.21899999999891</v>
      </c>
      <c r="G195" s="160">
        <v>185.09311645059643</v>
      </c>
      <c r="I195" s="160"/>
      <c r="K195" s="160"/>
      <c r="L195">
        <v>643.21899999999891</v>
      </c>
      <c r="M195" s="160">
        <v>179.57022924968314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>
      <c r="B196" s="130">
        <v>646.21899999999891</v>
      </c>
      <c r="C196" s="160">
        <v>29.48447654802904</v>
      </c>
      <c r="D196">
        <v>646.21899999999891</v>
      </c>
      <c r="E196" s="160">
        <v>-2056.7619128991228</v>
      </c>
      <c r="F196">
        <v>646.21899999999891</v>
      </c>
      <c r="G196" s="160">
        <v>183.09241710087736</v>
      </c>
      <c r="I196" s="160"/>
      <c r="K196" s="160"/>
      <c r="L196">
        <v>645.21899999999891</v>
      </c>
      <c r="M196" s="160">
        <v>179.56553305270941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>
      <c r="B197" s="130">
        <v>648.21899999999891</v>
      </c>
      <c r="C197" s="160">
        <v>29.499815446136374</v>
      </c>
      <c r="D197">
        <v>648.21899999999891</v>
      </c>
      <c r="E197" s="160">
        <v>-2058.7626027037722</v>
      </c>
      <c r="F197">
        <v>648.21899999999891</v>
      </c>
      <c r="G197" s="160">
        <v>181.09172729622787</v>
      </c>
      <c r="I197" s="160"/>
      <c r="K197" s="160"/>
      <c r="L197">
        <v>647.21899999999891</v>
      </c>
      <c r="M197" s="160">
        <v>179.56073305174783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>
      <c r="B198" s="130">
        <v>650.21899999999891</v>
      </c>
      <c r="C198" s="160">
        <v>29.515325635804057</v>
      </c>
      <c r="D198">
        <v>650.21899999999891</v>
      </c>
      <c r="E198" s="160">
        <v>-2060.7632829202862</v>
      </c>
      <c r="F198">
        <v>650.21899999999891</v>
      </c>
      <c r="G198" s="160">
        <v>179.09104707971392</v>
      </c>
      <c r="I198" s="160"/>
      <c r="K198" s="160"/>
      <c r="L198">
        <v>649.21899999999891</v>
      </c>
      <c r="M198" s="160">
        <v>179.55582576488627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>
      <c r="B199" s="130">
        <v>652.21899999999891</v>
      </c>
      <c r="C199" s="160">
        <v>29.531010988827479</v>
      </c>
      <c r="D199">
        <v>652.21899999999891</v>
      </c>
      <c r="E199" s="160">
        <v>-2062.7639535036433</v>
      </c>
      <c r="F199">
        <v>652.21899999999891</v>
      </c>
      <c r="G199" s="160">
        <v>177.09037649635684</v>
      </c>
      <c r="I199" s="160"/>
      <c r="K199" s="160"/>
      <c r="L199">
        <v>651.21899999999891</v>
      </c>
      <c r="M199" s="160">
        <v>179.55080755262384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>
      <c r="B200" s="130">
        <v>654.21899999999891</v>
      </c>
      <c r="C200" s="160">
        <v>29.546875509847165</v>
      </c>
      <c r="D200">
        <v>654.21899999999891</v>
      </c>
      <c r="E200" s="160">
        <v>-2064.7646144067494</v>
      </c>
      <c r="F200">
        <v>654.21899999999891</v>
      </c>
      <c r="G200" s="160">
        <v>175.08971559325073</v>
      </c>
      <c r="I200" s="160"/>
      <c r="K200" s="160"/>
      <c r="L200">
        <v>653.21899999999891</v>
      </c>
      <c r="M200" s="160">
        <v>179.54567460884377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>
      <c r="B201" s="130">
        <v>656.21899999999891</v>
      </c>
      <c r="C201" s="160">
        <v>29.562923342500721</v>
      </c>
      <c r="D201">
        <v>656.21899999999891</v>
      </c>
      <c r="E201" s="160">
        <v>-2066.7652655803181</v>
      </c>
      <c r="F201">
        <v>656.21899999999891</v>
      </c>
      <c r="G201" s="160">
        <v>173.08906441968202</v>
      </c>
      <c r="I201" s="160"/>
      <c r="K201" s="160"/>
      <c r="L201">
        <v>655.21899999999891</v>
      </c>
      <c r="M201" s="160">
        <v>179.54042295116238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>
      <c r="B202" s="130">
        <v>658.21899999999891</v>
      </c>
      <c r="C202" s="160">
        <v>29.579158775935383</v>
      </c>
      <c r="D202">
        <v>658.21899999999891</v>
      </c>
      <c r="E202" s="160">
        <v>-2068.7659069727456</v>
      </c>
      <c r="F202">
        <v>658.21899999999891</v>
      </c>
      <c r="G202" s="160">
        <v>171.08842302725452</v>
      </c>
      <c r="I202" s="160"/>
      <c r="K202" s="160"/>
      <c r="L202">
        <v>657.21899999999891</v>
      </c>
      <c r="M202" s="160">
        <v>179.53504841059686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>
      <c r="B203" s="130">
        <v>660.21899999999891</v>
      </c>
      <c r="C203" s="160">
        <v>29.595586251706848</v>
      </c>
      <c r="D203">
        <v>660.21899999999891</v>
      </c>
      <c r="E203" s="160">
        <v>-2070.7665385299656</v>
      </c>
      <c r="F203">
        <v>660.21899999999891</v>
      </c>
      <c r="G203" s="160">
        <v>169.08779147003452</v>
      </c>
      <c r="I203" s="160"/>
      <c r="K203" s="160"/>
      <c r="L203">
        <v>659.21899999999891</v>
      </c>
      <c r="M203" s="160">
        <v>179.52954662049436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>
      <c r="B204" s="130">
        <v>662.21899999999891</v>
      </c>
      <c r="C204" s="160">
        <v>29.612210371092168</v>
      </c>
      <c r="D204">
        <v>662.21899999999891</v>
      </c>
      <c r="E204" s="160">
        <v>-2072.7671601953093</v>
      </c>
      <c r="F204">
        <v>662.21899999999891</v>
      </c>
      <c r="G204" s="160">
        <v>167.0871698046908</v>
      </c>
      <c r="I204" s="160"/>
      <c r="K204" s="160"/>
      <c r="L204">
        <v>661.21899999999891</v>
      </c>
      <c r="M204" s="160">
        <v>179.52391300467062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>
      <c r="B205" s="130">
        <v>664.21899999999891</v>
      </c>
      <c r="C205" s="160">
        <v>29.629035902846898</v>
      </c>
      <c r="D205">
        <v>664.21899999999891</v>
      </c>
      <c r="E205" s="160">
        <v>-2074.7677719093394</v>
      </c>
      <c r="F205">
        <v>664.21899999999891</v>
      </c>
      <c r="G205" s="160">
        <v>165.08655809066067</v>
      </c>
      <c r="I205" s="160"/>
      <c r="K205" s="160"/>
      <c r="L205">
        <v>663.21899999999891</v>
      </c>
      <c r="M205" s="160">
        <v>179.51814276467661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>
      <c r="B206" s="130">
        <v>666.21899999999891</v>
      </c>
      <c r="C206" s="160">
        <v>29.646067791438778</v>
      </c>
      <c r="D206">
        <v>666.21899999999891</v>
      </c>
      <c r="E206" s="160">
        <v>-2076.768373609681</v>
      </c>
      <c r="F206">
        <v>666.21899999999891</v>
      </c>
      <c r="G206" s="160">
        <v>163.0859563903191</v>
      </c>
      <c r="I206" s="160"/>
      <c r="K206" s="160"/>
      <c r="L206">
        <v>665.21899999999891</v>
      </c>
      <c r="M206" s="160">
        <v>179.51223086614561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>
      <c r="B207" s="130">
        <v>668.21899999999891</v>
      </c>
      <c r="C207" s="160">
        <v>29.663311165792358</v>
      </c>
      <c r="D207">
        <v>668.21899999999891</v>
      </c>
      <c r="E207" s="160">
        <v>-2078.7689652308413</v>
      </c>
      <c r="F207">
        <v>668.21899999999891</v>
      </c>
      <c r="G207" s="160">
        <v>161.08536476915879</v>
      </c>
      <c r="I207" s="160"/>
      <c r="K207" s="160"/>
      <c r="L207">
        <v>667.21899999999891</v>
      </c>
      <c r="M207" s="160">
        <v>179.50617202415273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>
      <c r="B208" s="130">
        <v>670.21899999999891</v>
      </c>
      <c r="C208" s="160">
        <v>29.680771348578411</v>
      </c>
      <c r="D208">
        <v>670.21899999999891</v>
      </c>
      <c r="E208" s="160">
        <v>-2080.7695467040076</v>
      </c>
      <c r="F208">
        <v>670.21899999999891</v>
      </c>
      <c r="G208" s="160">
        <v>159.08478329599257</v>
      </c>
      <c r="I208" s="160"/>
      <c r="K208" s="160"/>
      <c r="L208">
        <v>669.21899999999891</v>
      </c>
      <c r="M208" s="160">
        <v>179.49996068760166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>
      <c r="B209" s="130">
        <v>672.21899999999891</v>
      </c>
      <c r="C209" s="160">
        <v>29.698453866074395</v>
      </c>
      <c r="D209">
        <v>672.21899999999891</v>
      </c>
      <c r="E209" s="160">
        <v>-2082.7701179568362</v>
      </c>
      <c r="F209">
        <v>672.21899999999891</v>
      </c>
      <c r="G209" s="160">
        <v>157.08421204316392</v>
      </c>
      <c r="I209" s="160"/>
      <c r="K209" s="160"/>
      <c r="L209">
        <v>671.21899999999891</v>
      </c>
      <c r="M209" s="160">
        <v>179.49359102286274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>
      <c r="B210" s="130">
        <v>674.21899999999891</v>
      </c>
      <c r="C210" s="160">
        <v>29.716364458588384</v>
      </c>
      <c r="D210">
        <v>674.21899999999891</v>
      </c>
      <c r="E210" s="160">
        <v>-2084.7706789132244</v>
      </c>
      <c r="F210">
        <v>674.21899999999891</v>
      </c>
      <c r="G210" s="160">
        <v>155.08365108677572</v>
      </c>
      <c r="I210" s="160"/>
      <c r="K210" s="160"/>
      <c r="L210">
        <v>673.21899999999891</v>
      </c>
      <c r="M210" s="160">
        <v>179.48705689762465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>
      <c r="B211" s="130">
        <v>676.21899999999891</v>
      </c>
      <c r="C211" s="160">
        <v>29.73450909132071</v>
      </c>
      <c r="D211">
        <v>676.21899999999891</v>
      </c>
      <c r="E211" s="160">
        <v>-2086.7712294930652</v>
      </c>
      <c r="F211">
        <v>676.21899999999891</v>
      </c>
      <c r="G211" s="160">
        <v>153.0831005069349</v>
      </c>
      <c r="I211" s="160"/>
      <c r="K211" s="160"/>
      <c r="L211">
        <v>675.21899999999891</v>
      </c>
      <c r="M211" s="160">
        <v>179.48035186834764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>
      <c r="B212" s="130">
        <v>678.21899999999891</v>
      </c>
      <c r="C212" s="160">
        <v>29.752893965144235</v>
      </c>
      <c r="D212">
        <v>678.21899999999891</v>
      </c>
      <c r="E212" s="160">
        <v>-2088.7717696119926</v>
      </c>
      <c r="F212">
        <v>678.21899999999891</v>
      </c>
      <c r="G212" s="160">
        <v>151.08256038800755</v>
      </c>
      <c r="I212" s="160"/>
      <c r="K212" s="160"/>
      <c r="L212">
        <v>677.21899999999891</v>
      </c>
      <c r="M212" s="160">
        <v>179.47346918258322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>
      <c r="B213" s="130">
        <v>680.21899999999891</v>
      </c>
      <c r="C213" s="160">
        <v>29.771525525505755</v>
      </c>
      <c r="D213">
        <v>680.21899999999891</v>
      </c>
      <c r="E213" s="160">
        <v>-2090.7722991811265</v>
      </c>
      <c r="F213">
        <v>680.21899999999891</v>
      </c>
      <c r="G213" s="160">
        <v>149.08203081887359</v>
      </c>
      <c r="I213" s="160"/>
      <c r="K213" s="160"/>
      <c r="L213">
        <v>679.21899999999891</v>
      </c>
      <c r="M213" s="160">
        <v>179.46640183277262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>
      <c r="B214" s="130">
        <v>682.21899999999891</v>
      </c>
      <c r="C214" s="160">
        <v>29.790410463550074</v>
      </c>
      <c r="D214">
        <v>682.21899999999891</v>
      </c>
      <c r="E214" s="160">
        <v>-2092.7728181068824</v>
      </c>
      <c r="F214">
        <v>682.21899999999891</v>
      </c>
      <c r="G214" s="160">
        <v>147.08151189311775</v>
      </c>
      <c r="I214" s="160"/>
      <c r="K214" s="160"/>
      <c r="L214">
        <v>681.21899999999891</v>
      </c>
      <c r="M214" s="160">
        <v>179.45914277898336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>
      <c r="B215" s="130">
        <v>684.21899999999891</v>
      </c>
      <c r="C215" s="160">
        <v>29.809555690531617</v>
      </c>
      <c r="D215">
        <v>684.21899999999891</v>
      </c>
      <c r="E215" s="160">
        <v>-2094.773326291026</v>
      </c>
      <c r="F215">
        <v>684.21899999999891</v>
      </c>
      <c r="G215" s="160">
        <v>145.08100370897409</v>
      </c>
      <c r="I215" s="160"/>
      <c r="K215" s="160"/>
      <c r="L215">
        <v>683.21899999999891</v>
      </c>
      <c r="M215" s="160">
        <v>179.45168571396522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>
      <c r="B216" s="130">
        <v>685.21899999999891</v>
      </c>
      <c r="C216" s="160">
        <v>29.819228544630224</v>
      </c>
      <c r="D216">
        <v>685.21899999999891</v>
      </c>
      <c r="E216" s="160">
        <v>-2095.7735763184246</v>
      </c>
      <c r="F216">
        <v>685.21899999999891</v>
      </c>
      <c r="G216" s="160">
        <v>144.08075368157552</v>
      </c>
      <c r="I216" s="160"/>
      <c r="K216" s="160"/>
      <c r="L216">
        <v>684.71899999999891</v>
      </c>
      <c r="M216" s="160">
        <v>179.44594208918969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>
      <c r="B217" s="130">
        <v>686.21899999999891</v>
      </c>
      <c r="C217" s="160">
        <v>29.828969209374872</v>
      </c>
      <c r="D217">
        <v>686.21899999999891</v>
      </c>
      <c r="E217" s="160">
        <v>-2096.7738236208802</v>
      </c>
      <c r="F217">
        <v>686.21899999999891</v>
      </c>
      <c r="G217" s="160">
        <v>143.08050637911992</v>
      </c>
      <c r="I217" s="160"/>
      <c r="K217" s="160"/>
      <c r="L217">
        <v>685.71899999999891</v>
      </c>
      <c r="M217" s="160">
        <v>179.44205664242409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>
      <c r="B218" s="130">
        <v>687.21899999999891</v>
      </c>
      <c r="C218" s="160">
        <v>29.838778668434987</v>
      </c>
      <c r="D218">
        <v>687.21899999999891</v>
      </c>
      <c r="E218" s="160">
        <v>-2097.7740681841474</v>
      </c>
      <c r="F218">
        <v>687.21899999999891</v>
      </c>
      <c r="G218" s="160">
        <v>142.08026181585274</v>
      </c>
      <c r="I218" s="160"/>
      <c r="K218" s="160"/>
      <c r="L218">
        <v>686.71899999999891</v>
      </c>
      <c r="M218" s="160">
        <v>179.43811483071119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>
      <c r="B219" s="130">
        <v>688.21899999999891</v>
      </c>
      <c r="C219" s="160">
        <v>29.848657915210545</v>
      </c>
      <c r="D219">
        <v>688.21899999999891</v>
      </c>
      <c r="E219" s="160">
        <v>-2098.774309993682</v>
      </c>
      <c r="F219">
        <v>688.21899999999891</v>
      </c>
      <c r="G219" s="160">
        <v>141.08002000631814</v>
      </c>
      <c r="I219" s="160"/>
      <c r="K219" s="160"/>
      <c r="L219">
        <v>687.71899999999891</v>
      </c>
      <c r="M219" s="160">
        <v>179.43411609618485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>
      <c r="B220" s="130">
        <v>689.21899999999891</v>
      </c>
      <c r="C220" s="160">
        <v>29.858607958364082</v>
      </c>
      <c r="D220">
        <v>689.21899999999891</v>
      </c>
      <c r="E220" s="160">
        <v>-2099.7745490345792</v>
      </c>
      <c r="F220">
        <v>689.21899999999891</v>
      </c>
      <c r="G220" s="160">
        <v>140.07978096542092</v>
      </c>
      <c r="I220" s="160"/>
      <c r="K220" s="160"/>
      <c r="L220">
        <v>688.71899999999891</v>
      </c>
      <c r="M220" s="160">
        <v>179.43005956408373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>
      <c r="B221" s="130">
        <v>690.21899999999891</v>
      </c>
      <c r="C221" s="160">
        <v>29.868629825108137</v>
      </c>
      <c r="D221">
        <v>690.21899999999891</v>
      </c>
      <c r="E221" s="160">
        <v>-2100.7747852915354</v>
      </c>
      <c r="F221">
        <v>690.21899999999891</v>
      </c>
      <c r="G221" s="160">
        <v>139.07954470846471</v>
      </c>
      <c r="I221" s="160"/>
      <c r="K221" s="160"/>
      <c r="L221">
        <v>689.71899999999891</v>
      </c>
      <c r="M221" s="160">
        <v>179.4259441713227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>
      <c r="B222" s="130">
        <v>691.21899999999891</v>
      </c>
      <c r="C222" s="160">
        <v>29.878724563291087</v>
      </c>
      <c r="D222">
        <v>691.21899999999891</v>
      </c>
      <c r="E222" s="160">
        <v>-2101.775018748815</v>
      </c>
      <c r="F222">
        <v>691.21899999999891</v>
      </c>
      <c r="G222" s="160">
        <v>138.07931125118512</v>
      </c>
      <c r="I222" s="160"/>
      <c r="K222" s="160"/>
      <c r="L222">
        <v>690.71899999999891</v>
      </c>
      <c r="M222" s="160">
        <v>179.42176873531704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>
      <c r="B223" s="130">
        <v>692.21899999999891</v>
      </c>
      <c r="C223" s="160">
        <v>29.888893242843942</v>
      </c>
      <c r="D223">
        <v>692.21899999999891</v>
      </c>
      <c r="E223" s="160">
        <v>-2102.7752493902308</v>
      </c>
      <c r="F223">
        <v>692.21899999999891</v>
      </c>
      <c r="G223" s="160">
        <v>137.07908060976933</v>
      </c>
      <c r="I223" s="160"/>
      <c r="K223" s="160"/>
      <c r="L223">
        <v>691.71899999999891</v>
      </c>
      <c r="M223" s="160">
        <v>179.41753199059184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>
      <c r="B224" s="130">
        <v>693.21899999999891</v>
      </c>
      <c r="C224" s="160">
        <v>29.899136956892356</v>
      </c>
      <c r="D224">
        <v>693.21899999999891</v>
      </c>
      <c r="E224" s="160">
        <v>-2103.7754771991213</v>
      </c>
      <c r="F224">
        <v>693.21899999999891</v>
      </c>
      <c r="G224" s="160">
        <v>136.07885280087885</v>
      </c>
      <c r="I224" s="160"/>
      <c r="K224" s="160"/>
      <c r="L224">
        <v>692.71899999999891</v>
      </c>
      <c r="M224" s="160">
        <v>179.41323260795397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>
      <c r="B225" s="130">
        <v>694.21899999999891</v>
      </c>
      <c r="C225" s="160">
        <v>29.909456822698928</v>
      </c>
      <c r="D225">
        <v>694.21899999999891</v>
      </c>
      <c r="E225" s="160">
        <v>-2104.775702158327</v>
      </c>
      <c r="F225">
        <v>694.21899999999891</v>
      </c>
      <c r="G225" s="160">
        <v>135.0786278416731</v>
      </c>
      <c r="I225" s="160"/>
      <c r="K225" s="160"/>
      <c r="L225">
        <v>693.71899999999891</v>
      </c>
      <c r="M225" s="160">
        <v>179.4088692042115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>
      <c r="B226" s="130">
        <v>695.21899999999891</v>
      </c>
      <c r="C226" s="160">
        <v>29.919853982525972</v>
      </c>
      <c r="D226">
        <v>695.21899999999891</v>
      </c>
      <c r="E226" s="160">
        <v>-2105.7759242501752</v>
      </c>
      <c r="F226">
        <v>695.21899999999891</v>
      </c>
      <c r="G226" s="160">
        <v>134.07840574982492</v>
      </c>
      <c r="I226" s="160"/>
      <c r="K226" s="160"/>
      <c r="L226">
        <v>694.71899999999891</v>
      </c>
      <c r="M226" s="160">
        <v>179.40444034673291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>
      <c r="B227" s="130">
        <v>696.21899999999891</v>
      </c>
      <c r="C227" s="160">
        <v>29.930329604468124</v>
      </c>
      <c r="D227">
        <v>696.21899999999891</v>
      </c>
      <c r="E227" s="160">
        <v>-2106.7761434564582</v>
      </c>
      <c r="F227">
        <v>696.21899999999891</v>
      </c>
      <c r="G227" s="160">
        <v>133.07818654354196</v>
      </c>
      <c r="I227" s="160"/>
      <c r="K227" s="160"/>
      <c r="L227">
        <v>695.71899999999891</v>
      </c>
      <c r="M227" s="160">
        <v>179.39994455517049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>
      <c r="B228" s="130">
        <v>697.21899999999891</v>
      </c>
      <c r="C228" s="160">
        <v>29.940884883282482</v>
      </c>
      <c r="D228">
        <v>697.21899999999891</v>
      </c>
      <c r="E228" s="160">
        <v>-2107.7763597584108</v>
      </c>
      <c r="F228">
        <v>697.21899999999891</v>
      </c>
      <c r="G228" s="160">
        <v>132.07797024158936</v>
      </c>
      <c r="I228" s="160"/>
      <c r="K228" s="160"/>
      <c r="L228">
        <v>696.71899999999891</v>
      </c>
      <c r="M228" s="160">
        <v>179.39538030160062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>
      <c r="B229" s="130">
        <v>698.21899999999891</v>
      </c>
      <c r="C229" s="160">
        <v>29.951521041231853</v>
      </c>
      <c r="D229">
        <v>698.21899999999891</v>
      </c>
      <c r="E229" s="160">
        <v>-2108.7765731366899</v>
      </c>
      <c r="F229">
        <v>698.21899999999891</v>
      </c>
      <c r="G229" s="160">
        <v>131.07775686331024</v>
      </c>
      <c r="I229" s="160"/>
      <c r="K229" s="160"/>
      <c r="L229">
        <v>697.71899999999891</v>
      </c>
      <c r="M229" s="160">
        <v>179.39074600977324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>
      <c r="B230" s="130">
        <v>699.21899999999891</v>
      </c>
      <c r="C230" s="160">
        <v>29.962239328950439</v>
      </c>
      <c r="D230">
        <v>699.21899999999891</v>
      </c>
      <c r="E230" s="160">
        <v>-2109.7767835713516</v>
      </c>
      <c r="F230">
        <v>699.21899999999891</v>
      </c>
      <c r="G230" s="160">
        <v>130.07754642864847</v>
      </c>
      <c r="I230" s="160"/>
      <c r="K230" s="160"/>
      <c r="L230">
        <v>698.71899999999891</v>
      </c>
      <c r="M230" s="160">
        <v>179.38604005382459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>
      <c r="B231" s="130">
        <v>700.21899999999891</v>
      </c>
      <c r="C231" s="160">
        <v>29.973041026337722</v>
      </c>
      <c r="D231">
        <v>700.21899999999891</v>
      </c>
      <c r="E231" s="160">
        <v>-2110.7769910418283</v>
      </c>
      <c r="F231">
        <v>700.21899999999891</v>
      </c>
      <c r="G231" s="160">
        <v>129.07733895817182</v>
      </c>
      <c r="I231" s="160"/>
      <c r="K231" s="160"/>
      <c r="L231">
        <v>699.71899999999891</v>
      </c>
      <c r="M231" s="160">
        <v>179.38126075666125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>
      <c r="B232" s="130">
        <v>701.21899999999891</v>
      </c>
      <c r="C232" s="160">
        <v>29.98392744348449</v>
      </c>
      <c r="D232">
        <v>701.21899999999891</v>
      </c>
      <c r="E232" s="160">
        <v>-2111.7771955269041</v>
      </c>
      <c r="F232">
        <v>701.21899999999891</v>
      </c>
      <c r="G232" s="160">
        <v>128.07713447309607</v>
      </c>
      <c r="I232" s="160"/>
      <c r="K232" s="160"/>
      <c r="L232">
        <v>700.71899999999891</v>
      </c>
      <c r="M232" s="160">
        <v>179.37640638811789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>
      <c r="B233" s="130">
        <v>702.21899999999891</v>
      </c>
      <c r="C233" s="160">
        <v>29.994899921633962</v>
      </c>
      <c r="D233">
        <v>702.21899999999891</v>
      </c>
      <c r="E233" s="160">
        <v>-2112.777397004686</v>
      </c>
      <c r="F233">
        <v>702.21899999999891</v>
      </c>
      <c r="G233" s="160">
        <v>127.07693299531411</v>
      </c>
      <c r="I233" s="160"/>
      <c r="K233" s="160"/>
      <c r="L233">
        <v>701.71899999999891</v>
      </c>
      <c r="M233" s="160">
        <v>179.37147516294272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>
      <c r="B234" s="130">
        <v>703.21899999999891</v>
      </c>
      <c r="C234" s="160">
        <v>30.005959834180523</v>
      </c>
      <c r="D234">
        <v>703.21899999999891</v>
      </c>
      <c r="E234" s="160">
        <v>-2113.777595452581</v>
      </c>
      <c r="F234">
        <v>703.21899999999891</v>
      </c>
      <c r="G234" s="160">
        <v>126.07673454741916</v>
      </c>
      <c r="I234" s="160"/>
      <c r="K234" s="160"/>
      <c r="L234">
        <v>702.71899999999891</v>
      </c>
      <c r="M234" s="160">
        <v>179.3664652386465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>
      <c r="B235" s="130">
        <v>704.21899999999891</v>
      </c>
      <c r="C235" s="160">
        <v>30.017108587708318</v>
      </c>
      <c r="D235">
        <v>704.21899999999891</v>
      </c>
      <c r="E235" s="160">
        <v>-2114.7777908472654</v>
      </c>
      <c r="F235">
        <v>704.21899999999891</v>
      </c>
      <c r="G235" s="160">
        <v>125.07653915273477</v>
      </c>
      <c r="I235" s="160"/>
      <c r="K235" s="160"/>
      <c r="L235">
        <v>703.71899999999891</v>
      </c>
      <c r="M235" s="160">
        <v>179.36137471321393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>
      <c r="B236" s="130">
        <v>705.21899999999891</v>
      </c>
      <c r="C236" s="160">
        <v>30.028347623071873</v>
      </c>
      <c r="D236">
        <v>705.21899999999891</v>
      </c>
      <c r="E236" s="160">
        <v>-2115.7779831646553</v>
      </c>
      <c r="F236">
        <v>705.21899999999891</v>
      </c>
      <c r="G236" s="160">
        <v>124.07634683534479</v>
      </c>
      <c r="I236" s="160"/>
      <c r="K236" s="160"/>
      <c r="L236">
        <v>704.71899999999891</v>
      </c>
      <c r="M236" s="160">
        <v>179.35620162269609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>
      <c r="B237" s="130">
        <v>706.21899999999891</v>
      </c>
      <c r="C237" s="160">
        <v>30.039678416521053</v>
      </c>
      <c r="D237">
        <v>706.21899999999891</v>
      </c>
      <c r="E237" s="160">
        <v>-2116.7781723798757</v>
      </c>
      <c r="F237">
        <v>706.21899999999891</v>
      </c>
      <c r="G237" s="160">
        <v>123.07615762012438</v>
      </c>
      <c r="I237" s="160"/>
      <c r="K237" s="160"/>
      <c r="L237">
        <v>705.71899999999891</v>
      </c>
      <c r="M237" s="160">
        <v>179.35094393866902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>
      <c r="B238" s="130">
        <v>707.21899999999891</v>
      </c>
      <c r="C238" s="160">
        <v>30.051102480872498</v>
      </c>
      <c r="D238">
        <v>707.21899999999891</v>
      </c>
      <c r="E238" s="160">
        <v>-2117.778358467227</v>
      </c>
      <c r="F238">
        <v>707.21899999999891</v>
      </c>
      <c r="G238" s="160">
        <v>122.07597153277311</v>
      </c>
      <c r="I238" s="160"/>
      <c r="K238" s="160"/>
      <c r="L238">
        <v>706.71899999999891</v>
      </c>
      <c r="M238" s="160">
        <v>179.3455995655689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>
      <c r="B239" s="130">
        <v>708.21899999999891</v>
      </c>
      <c r="C239" s="160">
        <v>30.062621366730049</v>
      </c>
      <c r="D239">
        <v>708.21899999999891</v>
      </c>
      <c r="E239" s="160">
        <v>-2118.7785414001514</v>
      </c>
      <c r="F239">
        <v>708.21899999999891</v>
      </c>
      <c r="G239" s="160">
        <v>121.07578859984869</v>
      </c>
      <c r="I239" s="160"/>
      <c r="K239" s="160"/>
      <c r="L239">
        <v>707.71899999999891</v>
      </c>
      <c r="M239" s="160">
        <v>179.34016633788534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>
      <c r="B240" s="130">
        <v>709.21899999999891</v>
      </c>
      <c r="C240" s="160">
        <v>30.074236663756615</v>
      </c>
      <c r="D240">
        <v>709.21899999999891</v>
      </c>
      <c r="E240" s="160">
        <v>-2119.7787211511959</v>
      </c>
      <c r="F240">
        <v>709.21899999999891</v>
      </c>
      <c r="G240" s="160">
        <v>120.07560884880422</v>
      </c>
      <c r="I240" s="160"/>
      <c r="K240" s="160"/>
      <c r="L240">
        <v>708.71899999999891</v>
      </c>
      <c r="M240" s="160">
        <v>179.33464201721094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>
      <c r="B241" s="130">
        <v>710.21899999999891</v>
      </c>
      <c r="C241" s="160">
        <v>30.085950002000121</v>
      </c>
      <c r="D241">
        <v>710.21899999999891</v>
      </c>
      <c r="E241" s="160">
        <v>-2120.7788976919755</v>
      </c>
      <c r="F241">
        <v>710.21899999999891</v>
      </c>
      <c r="G241" s="160">
        <v>119.07543230802457</v>
      </c>
      <c r="I241" s="160"/>
      <c r="K241" s="160"/>
      <c r="L241">
        <v>709.71899999999891</v>
      </c>
      <c r="M241" s="160">
        <v>179.32902428914315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>
      <c r="B242" s="130">
        <v>711.21899999999891</v>
      </c>
      <c r="C242" s="160">
        <v>30.097763053276381</v>
      </c>
      <c r="D242">
        <v>711.21899999999891</v>
      </c>
      <c r="E242" s="160">
        <v>-2121.779070993131</v>
      </c>
      <c r="F242">
        <v>711.21899999999891</v>
      </c>
      <c r="G242" s="160">
        <v>118.07525900686915</v>
      </c>
      <c r="I242" s="160"/>
      <c r="K242" s="160"/>
      <c r="L242">
        <v>710.71899999999891</v>
      </c>
      <c r="M242" s="160">
        <v>179.32331076001856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>
      <c r="B243" s="130">
        <v>712.21899999999891</v>
      </c>
      <c r="C243" s="160">
        <v>30.109677532611791</v>
      </c>
      <c r="D243">
        <v>712.21899999999891</v>
      </c>
      <c r="E243" s="160">
        <v>-2122.7792410242896</v>
      </c>
      <c r="F243">
        <v>712.21899999999891</v>
      </c>
      <c r="G243" s="160">
        <v>117.07508897571051</v>
      </c>
      <c r="I243" s="160"/>
      <c r="K243" s="160"/>
      <c r="L243">
        <v>711.71899999999891</v>
      </c>
      <c r="M243" s="160">
        <v>179.3174989534875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>
      <c r="B244" s="130">
        <v>713.21899999999891</v>
      </c>
      <c r="C244" s="160">
        <v>30.121695199749098</v>
      </c>
      <c r="D244">
        <v>713.21899999999891</v>
      </c>
      <c r="E244" s="160">
        <v>-2123.7794077540184</v>
      </c>
      <c r="F244">
        <v>713.21899999999891</v>
      </c>
      <c r="G244" s="160">
        <v>116.07492224598172</v>
      </c>
      <c r="I244" s="160"/>
      <c r="K244" s="160"/>
      <c r="L244">
        <v>712.71899999999891</v>
      </c>
      <c r="M244" s="160">
        <v>179.31158630689453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>
      <c r="B245" s="130">
        <v>714.21899999999891</v>
      </c>
      <c r="C245" s="160">
        <v>30.133817860719503</v>
      </c>
      <c r="D245">
        <v>714.21899999999891</v>
      </c>
      <c r="E245" s="160">
        <v>-2124.7795711497788</v>
      </c>
      <c r="F245">
        <v>714.21899999999891</v>
      </c>
      <c r="G245" s="160">
        <v>115.07475885022131</v>
      </c>
      <c r="I245" s="160"/>
      <c r="K245" s="160"/>
      <c r="L245">
        <v>713.71899999999891</v>
      </c>
      <c r="M245" s="160">
        <v>179.30557016747878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>
      <c r="B246" s="130">
        <v>715.21899999999891</v>
      </c>
      <c r="C246" s="160">
        <v>30.14604736948468</v>
      </c>
      <c r="D246">
        <v>715.21899999999891</v>
      </c>
      <c r="E246" s="160">
        <v>-2125.7797311778754</v>
      </c>
      <c r="F246">
        <v>715.21899999999891</v>
      </c>
      <c r="G246" s="160">
        <v>114.0745988221247</v>
      </c>
      <c r="I246" s="160"/>
      <c r="K246" s="160"/>
      <c r="L246">
        <v>714.71899999999891</v>
      </c>
      <c r="M246" s="160">
        <v>179.29944778836338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>
      <c r="B247" s="130">
        <v>716.21899999999891</v>
      </c>
      <c r="C247" s="160">
        <v>30.158385629652521</v>
      </c>
      <c r="D247">
        <v>716.21899999999891</v>
      </c>
      <c r="E247" s="160">
        <v>-2126.7798878034096</v>
      </c>
      <c r="F247">
        <v>716.21899999999891</v>
      </c>
      <c r="G247" s="160">
        <v>113.07444219659055</v>
      </c>
      <c r="I247" s="160"/>
      <c r="K247" s="160"/>
      <c r="L247">
        <v>715.71899999999891</v>
      </c>
      <c r="M247" s="160">
        <v>179.29321632433465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>
      <c r="B248" s="130">
        <v>717.21899999999891</v>
      </c>
      <c r="C248" s="160">
        <v>30.17083459627057</v>
      </c>
      <c r="D248">
        <v>717.21899999999891</v>
      </c>
      <c r="E248" s="160">
        <v>-2127.7800409902184</v>
      </c>
      <c r="F248">
        <v>717.21899999999891</v>
      </c>
      <c r="G248" s="160">
        <v>112.07428900978175</v>
      </c>
      <c r="I248" s="160"/>
      <c r="K248" s="160"/>
      <c r="L248">
        <v>716.71899999999891</v>
      </c>
      <c r="M248" s="160">
        <v>179.28687282738022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>
      <c r="B249" s="130">
        <v>718.21899999999891</v>
      </c>
      <c r="C249" s="160">
        <v>30.183396277701497</v>
      </c>
      <c r="D249">
        <v>718.21899999999891</v>
      </c>
      <c r="E249" s="160">
        <v>-2128.7801907008197</v>
      </c>
      <c r="F249">
        <v>718.21899999999891</v>
      </c>
      <c r="G249" s="160">
        <v>111.07413929918039</v>
      </c>
      <c r="I249" s="160"/>
      <c r="K249" s="160"/>
      <c r="L249">
        <v>717.71899999999891</v>
      </c>
      <c r="M249" s="160">
        <v>179.28041424199233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>
      <c r="B250" s="130">
        <v>719.21899999999891</v>
      </c>
      <c r="C250" s="160">
        <v>30.196072737585112</v>
      </c>
      <c r="D250">
        <v>719.21899999999891</v>
      </c>
      <c r="E250" s="160">
        <v>-2129.7803368963532</v>
      </c>
      <c r="F250">
        <v>719.21899999999891</v>
      </c>
      <c r="G250" s="160">
        <v>110.0739931036469</v>
      </c>
      <c r="I250" s="160"/>
      <c r="K250" s="160"/>
      <c r="L250">
        <v>718.71899999999891</v>
      </c>
      <c r="M250" s="160">
        <v>179.27383740020636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>
      <c r="B251" s="130">
        <v>720.21899999999891</v>
      </c>
      <c r="C251" s="160">
        <v>30.208866096891803</v>
      </c>
      <c r="D251">
        <v>720.21899999999891</v>
      </c>
      <c r="E251" s="160">
        <v>-2130.7804795365132</v>
      </c>
      <c r="F251">
        <v>720.21899999999891</v>
      </c>
      <c r="G251" s="160">
        <v>109.07385046348691</v>
      </c>
      <c r="I251" s="160"/>
      <c r="K251" s="160"/>
      <c r="L251">
        <v>719.71899999999891</v>
      </c>
      <c r="M251" s="160">
        <v>179.26713901635642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>
      <c r="B252" s="130">
        <v>721.21899999999891</v>
      </c>
      <c r="C252" s="160">
        <v>30.221778536072602</v>
      </c>
      <c r="D252">
        <v>721.21899999999891</v>
      </c>
      <c r="E252" s="160">
        <v>-2131.7806185794811</v>
      </c>
      <c r="F252">
        <v>721.21899999999891</v>
      </c>
      <c r="G252" s="160">
        <v>108.07371142051898</v>
      </c>
      <c r="I252" s="160"/>
      <c r="K252" s="160"/>
      <c r="L252">
        <v>720.71899999999891</v>
      </c>
      <c r="M252" s="160">
        <v>179.26031568153829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>
      <c r="B253" s="130">
        <v>722.21899999999891</v>
      </c>
      <c r="C253" s="160">
        <v>30.234812297311375</v>
      </c>
      <c r="D253">
        <v>722.21899999999891</v>
      </c>
      <c r="E253" s="160">
        <v>-2132.7807539818568</v>
      </c>
      <c r="F253">
        <v>722.21899999999891</v>
      </c>
      <c r="G253" s="160">
        <v>107.07357601814329</v>
      </c>
      <c r="I253" s="160"/>
      <c r="K253" s="160"/>
      <c r="L253">
        <v>721.71899999999891</v>
      </c>
      <c r="M253" s="160">
        <v>179.2533638577564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>
      <c r="B254" s="130">
        <v>723.21899999999891</v>
      </c>
      <c r="C254" s="160">
        <v>30.24796968688505</v>
      </c>
      <c r="D254">
        <v>723.21899999999891</v>
      </c>
      <c r="E254" s="160">
        <v>-2133.7808856985803</v>
      </c>
      <c r="F254">
        <v>723.21899999999891</v>
      </c>
      <c r="G254" s="160">
        <v>106.07344430141984</v>
      </c>
      <c r="I254" s="160"/>
      <c r="K254" s="160"/>
      <c r="L254">
        <v>722.71899999999891</v>
      </c>
      <c r="M254" s="160">
        <v>179.24627987172715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>
      <c r="B255" s="130">
        <v>724.21899999999891</v>
      </c>
      <c r="C255" s="160">
        <v>30.261253077638226</v>
      </c>
      <c r="D255">
        <v>724.21899999999891</v>
      </c>
      <c r="E255" s="160">
        <v>-2134.7810136828498</v>
      </c>
      <c r="F255">
        <v>724.21899999999891</v>
      </c>
      <c r="G255" s="160">
        <v>105.07331631715033</v>
      </c>
      <c r="I255" s="160"/>
      <c r="K255" s="160"/>
      <c r="L255">
        <v>723.71899999999891</v>
      </c>
      <c r="M255" s="160">
        <v>179.23905990832111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>
      <c r="B256" s="130">
        <v>725.21899999999891</v>
      </c>
      <c r="C256" s="160">
        <v>30.274664911578878</v>
      </c>
      <c r="D256">
        <v>725.21899999999891</v>
      </c>
      <c r="E256" s="160">
        <v>-2135.7811378860401</v>
      </c>
      <c r="F256">
        <v>725.21899999999891</v>
      </c>
      <c r="G256" s="160">
        <v>104.07319211395998</v>
      </c>
      <c r="I256" s="160"/>
      <c r="K256" s="160"/>
      <c r="L256">
        <v>724.71899999999891</v>
      </c>
      <c r="M256" s="160">
        <v>179.23170000362518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>
      <c r="B257" s="130">
        <v>726.21899999999891</v>
      </c>
      <c r="C257" s="160">
        <v>30.288207702602378</v>
      </c>
      <c r="D257">
        <v>726.21899999999891</v>
      </c>
      <c r="E257" s="160">
        <v>-2136.7812582576112</v>
      </c>
      <c r="F257">
        <v>726.21899999999891</v>
      </c>
      <c r="G257" s="160">
        <v>103.07307174238895</v>
      </c>
      <c r="I257" s="160"/>
      <c r="K257" s="160"/>
      <c r="L257">
        <v>725.71899999999891</v>
      </c>
      <c r="M257" s="160">
        <v>179.22419603758172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>
      <c r="B258" s="130">
        <v>727.21899999999891</v>
      </c>
      <c r="C258" s="160">
        <v>30.301884039351581</v>
      </c>
      <c r="D258">
        <v>727.21899999999891</v>
      </c>
      <c r="E258" s="160">
        <v>-2137.7813747450136</v>
      </c>
      <c r="F258">
        <v>727.21899999999891</v>
      </c>
      <c r="G258" s="160">
        <v>102.07295525498648</v>
      </c>
      <c r="I258" s="160"/>
      <c r="K258" s="160"/>
      <c r="L258">
        <v>726.71899999999891</v>
      </c>
      <c r="M258" s="160">
        <v>179.21654372619093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>
      <c r="B259" s="130">
        <v>728.21899999999891</v>
      </c>
      <c r="C259" s="160">
        <v>30.315696588221257</v>
      </c>
      <c r="D259">
        <v>728.21899999999891</v>
      </c>
      <c r="E259" s="160">
        <v>-2138.7814872935855</v>
      </c>
      <c r="F259">
        <v>728.21899999999891</v>
      </c>
      <c r="G259" s="160">
        <v>101.07284270641458</v>
      </c>
      <c r="I259" s="160"/>
      <c r="K259" s="160"/>
      <c r="L259">
        <v>727.71899999999891</v>
      </c>
      <c r="M259" s="160">
        <v>179.2087386132317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>
      <c r="B260" s="130">
        <v>729.21899999999891</v>
      </c>
      <c r="C260" s="160">
        <v>30.32964809651574</v>
      </c>
      <c r="D260">
        <v>729.21899999999891</v>
      </c>
      <c r="E260" s="160">
        <v>-2139.7815958464471</v>
      </c>
      <c r="F260">
        <v>729.21899999999891</v>
      </c>
      <c r="G260" s="160">
        <v>100.07273415355303</v>
      </c>
      <c r="I260" s="160"/>
      <c r="K260" s="160"/>
      <c r="L260">
        <v>728.71899999999891</v>
      </c>
      <c r="M260" s="160">
        <v>179.20077606148143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>
      <c r="B261" s="130">
        <v>730.21899999999891</v>
      </c>
      <c r="C261" s="160">
        <v>30.343741395769324</v>
      </c>
      <c r="D261">
        <v>730.21899999999891</v>
      </c>
      <c r="E261" s="160">
        <v>-2140.7817003443843</v>
      </c>
      <c r="F261">
        <v>730.21899999999891</v>
      </c>
      <c r="G261" s="160">
        <v>99.072629655615856</v>
      </c>
      <c r="I261" s="160"/>
      <c r="K261" s="160"/>
      <c r="L261">
        <v>729.71899999999891</v>
      </c>
      <c r="M261" s="160">
        <v>179.19265124338108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>
      <c r="B262" s="130">
        <v>731.21899999999891</v>
      </c>
      <c r="C262" s="160">
        <v>30.357979405239668</v>
      </c>
      <c r="D262">
        <v>731.21899999999891</v>
      </c>
      <c r="E262" s="160">
        <v>-2141.7818007257315</v>
      </c>
      <c r="F262">
        <v>731.21899999999891</v>
      </c>
      <c r="G262" s="160">
        <v>98.072529274268618</v>
      </c>
      <c r="I262" s="160"/>
      <c r="K262" s="160"/>
      <c r="L262">
        <v>730.71899999999891</v>
      </c>
      <c r="M262" s="160">
        <v>179.18435913112171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>
      <c r="B263" s="130">
        <v>732.21899999999891</v>
      </c>
      <c r="C263" s="160">
        <v>30.372365135585156</v>
      </c>
      <c r="D263">
        <v>732.21899999999891</v>
      </c>
      <c r="E263" s="160">
        <v>-2142.7818969262398</v>
      </c>
      <c r="F263">
        <v>732.21899999999891</v>
      </c>
      <c r="G263" s="160">
        <v>97.072433073760294</v>
      </c>
      <c r="I263" s="160"/>
      <c r="K263" s="160"/>
      <c r="L263">
        <v>731.71899999999891</v>
      </c>
      <c r="M263" s="160">
        <v>179.17589448609107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>
      <c r="B264" s="130">
        <v>733.21899999999891</v>
      </c>
      <c r="C264" s="160">
        <v>30.386901692738117</v>
      </c>
      <c r="D264">
        <v>733.21899999999891</v>
      </c>
      <c r="E264" s="160">
        <v>-2143.781988878939</v>
      </c>
      <c r="F264">
        <v>733.21899999999891</v>
      </c>
      <c r="G264" s="160">
        <v>96.072341121061072</v>
      </c>
      <c r="I264" s="160"/>
      <c r="K264" s="160"/>
      <c r="L264">
        <v>732.71899999999891</v>
      </c>
      <c r="M264" s="160">
        <v>179.16725184764653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>
      <c r="B265" s="130">
        <v>734.21899999999891</v>
      </c>
      <c r="C265" s="160">
        <v>30.401592281986563</v>
      </c>
      <c r="D265">
        <v>734.21899999999891</v>
      </c>
      <c r="E265" s="160">
        <v>-2144.7820765139968</v>
      </c>
      <c r="F265">
        <v>734.21899999999891</v>
      </c>
      <c r="G265" s="160">
        <v>95.072253486003319</v>
      </c>
      <c r="I265" s="160"/>
      <c r="K265" s="160"/>
      <c r="L265">
        <v>733.71899999999891</v>
      </c>
      <c r="M265" s="160">
        <v>179.15842552116402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>
      <c r="B266" s="130">
        <v>735.21899999999891</v>
      </c>
      <c r="C266" s="160">
        <v>30.416440212278218</v>
      </c>
      <c r="D266">
        <v>735.21899999999891</v>
      </c>
      <c r="E266" s="160">
        <v>-2145.7821597585566</v>
      </c>
      <c r="F266">
        <v>735.21899999999891</v>
      </c>
      <c r="G266" s="160">
        <v>94.072170241443473</v>
      </c>
      <c r="I266" s="160"/>
      <c r="K266" s="160"/>
      <c r="L266">
        <v>734.71899999999891</v>
      </c>
      <c r="M266" s="160">
        <v>179.14940956528258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>
      <c r="B267" s="130">
        <v>736.21899999999891</v>
      </c>
      <c r="C267" s="160">
        <v>30.431448900761634</v>
      </c>
      <c r="D267">
        <v>736.21899999999891</v>
      </c>
      <c r="E267" s="160">
        <v>-2146.7822385365766</v>
      </c>
      <c r="F267">
        <v>736.21899999999891</v>
      </c>
      <c r="G267" s="160">
        <v>93.072091463423476</v>
      </c>
      <c r="I267" s="160"/>
      <c r="K267" s="160"/>
      <c r="L267">
        <v>735.71899999999891</v>
      </c>
      <c r="M267" s="160">
        <v>179.1401977783201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>
      <c r="B268" s="130">
        <v>737.21899999999891</v>
      </c>
      <c r="C268" s="160">
        <v>30.446621877580299</v>
      </c>
      <c r="D268">
        <v>737.21899999999891</v>
      </c>
      <c r="E268" s="160">
        <v>-2147.7823127686543</v>
      </c>
      <c r="F268">
        <v>737.21899999999891</v>
      </c>
      <c r="G268" s="160">
        <v>92.072017231345853</v>
      </c>
      <c r="I268" s="160"/>
      <c r="K268" s="160"/>
      <c r="L268">
        <v>736.71899999999891</v>
      </c>
      <c r="M268" s="160">
        <v>179.13078368376463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>
      <c r="B269" s="130">
        <v>738.21899999999891</v>
      </c>
      <c r="C269" s="160">
        <v>30.461962790937093</v>
      </c>
      <c r="D269">
        <v>738.21899999999891</v>
      </c>
      <c r="E269" s="160">
        <v>-2148.7823823718318</v>
      </c>
      <c r="F269">
        <v>738.21899999999891</v>
      </c>
      <c r="G269" s="160">
        <v>91.071947628168346</v>
      </c>
      <c r="I269" s="160"/>
      <c r="K269" s="160"/>
      <c r="L269">
        <v>737.71899999999891</v>
      </c>
      <c r="M269" s="160">
        <v>179.12116051476622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>
      <c r="B270" s="130">
        <v>739.21899999999891</v>
      </c>
      <c r="C270" s="160">
        <v>30.477475412447642</v>
      </c>
      <c r="D270">
        <v>739.21899999999891</v>
      </c>
      <c r="E270" s="160">
        <v>-2149.7824472593998</v>
      </c>
      <c r="F270">
        <v>739.21899999999891</v>
      </c>
      <c r="G270" s="160">
        <v>90.071882740600358</v>
      </c>
      <c r="I270" s="160"/>
      <c r="K270" s="160"/>
      <c r="L270">
        <v>738.71899999999891</v>
      </c>
      <c r="M270" s="160">
        <v>179.11132119758128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>
      <c r="B271" s="130">
        <v>740.21899999999891</v>
      </c>
      <c r="C271" s="160">
        <v>30.49316364280282</v>
      </c>
      <c r="D271">
        <v>740.21899999999891</v>
      </c>
      <c r="E271" s="160">
        <v>-2150.7825073406816</v>
      </c>
      <c r="F271">
        <v>740.21899999999891</v>
      </c>
      <c r="G271" s="160">
        <v>89.071822659318514</v>
      </c>
      <c r="I271" s="160"/>
      <c r="K271" s="160"/>
      <c r="L271">
        <v>739.71899999999891</v>
      </c>
      <c r="M271" s="160">
        <v>179.10125833384075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>
      <c r="B272" s="130">
        <v>741.21899999999891</v>
      </c>
      <c r="C272" s="160">
        <v>30.509031517762217</v>
      </c>
      <c r="D272">
        <v>741.21899999999891</v>
      </c>
      <c r="E272" s="160">
        <v>-2151.7825625207984</v>
      </c>
      <c r="F272">
        <v>741.21899999999891</v>
      </c>
      <c r="G272" s="160">
        <v>88.071767479201753</v>
      </c>
      <c r="I272" s="160"/>
      <c r="K272" s="160"/>
      <c r="L272">
        <v>740.71899999999891</v>
      </c>
      <c r="M272" s="160">
        <v>179.09096418156815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>
      <c r="B273" s="130">
        <v>742.21899999999891</v>
      </c>
      <c r="C273" s="160">
        <v>30.525083214502381</v>
      </c>
      <c r="D273">
        <v>742.21899999999891</v>
      </c>
      <c r="E273" s="160">
        <v>-2152.7826127004278</v>
      </c>
      <c r="F273">
        <v>742.21899999999891</v>
      </c>
      <c r="G273" s="160">
        <v>87.071717299572356</v>
      </c>
      <c r="I273" s="160"/>
      <c r="K273" s="160"/>
      <c r="L273">
        <v>741.71899999999891</v>
      </c>
      <c r="M273" s="160">
        <v>179.08043063484516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>
      <c r="B274" s="130">
        <v>743.21899999999891</v>
      </c>
      <c r="C274" s="160">
        <v>30.541323058345458</v>
      </c>
      <c r="D274">
        <v>743.21899999999891</v>
      </c>
      <c r="E274" s="160">
        <v>-2153.7826577755377</v>
      </c>
      <c r="F274">
        <v>743.21899999999891</v>
      </c>
      <c r="G274" s="160">
        <v>86.071672224462418</v>
      </c>
      <c r="I274" s="160"/>
      <c r="K274" s="160"/>
      <c r="L274">
        <v>742.71899999999891</v>
      </c>
      <c r="M274" s="160">
        <v>179.06964920199036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>
      <c r="B275" s="130">
        <v>744.21899999999891</v>
      </c>
      <c r="C275" s="160">
        <v>30.55775552989633</v>
      </c>
      <c r="D275">
        <v>744.21899999999891</v>
      </c>
      <c r="E275" s="160">
        <v>-2154.782697637098</v>
      </c>
      <c r="F275">
        <v>744.21899999999891</v>
      </c>
      <c r="G275" s="160">
        <v>85.071632362902164</v>
      </c>
      <c r="I275" s="160"/>
      <c r="K275" s="160"/>
      <c r="L275">
        <v>743.71899999999891</v>
      </c>
      <c r="M275" s="160">
        <v>179.05861098213245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>
      <c r="B276" s="130">
        <v>745.21899999999891</v>
      </c>
      <c r="C276" s="160">
        <v>30.57438527261862</v>
      </c>
      <c r="D276">
        <v>745.21899999999891</v>
      </c>
      <c r="E276" s="160">
        <v>-2155.7827321707832</v>
      </c>
      <c r="F276">
        <v>745.21899999999891</v>
      </c>
      <c r="G276" s="160">
        <v>84.071597829216898</v>
      </c>
      <c r="I276" s="160"/>
      <c r="K276" s="160"/>
      <c r="L276">
        <v>744.71899999999891</v>
      </c>
      <c r="M276" s="160">
        <v>179.04730664005271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>
      <c r="B277" s="130">
        <v>746.21899999999891</v>
      </c>
      <c r="C277" s="160">
        <v>30.591217100882794</v>
      </c>
      <c r="D277">
        <v>746.21899999999891</v>
      </c>
      <c r="E277" s="160">
        <v>-2156.7827612566402</v>
      </c>
      <c r="F277">
        <v>746.21899999999891</v>
      </c>
      <c r="G277" s="160">
        <v>83.071568743359876</v>
      </c>
      <c r="I277" s="160"/>
      <c r="K277" s="160"/>
      <c r="L277">
        <v>745.71899999999891</v>
      </c>
      <c r="M277" s="160">
        <v>179.03572637910062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>
      <c r="B278" s="130">
        <v>747.21899999999891</v>
      </c>
      <c r="C278" s="160">
        <v>30.608256008522481</v>
      </c>
      <c r="D278">
        <v>747.21899999999891</v>
      </c>
      <c r="E278" s="160">
        <v>-2157.7827847687386</v>
      </c>
      <c r="F278">
        <v>747.21899999999891</v>
      </c>
      <c r="G278" s="160">
        <v>82.071545231261553</v>
      </c>
      <c r="I278" s="160"/>
      <c r="K278" s="160"/>
      <c r="L278">
        <v>746.71899999999891</v>
      </c>
      <c r="M278" s="160">
        <v>179.02385991205469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>
      <c r="B279" s="130">
        <v>748.21899999999891</v>
      </c>
      <c r="C279" s="160">
        <v>30.625507177938541</v>
      </c>
      <c r="D279">
        <v>748.21899999999891</v>
      </c>
      <c r="E279" s="160">
        <v>-2158.7828025747895</v>
      </c>
      <c r="F279">
        <v>748.21899999999891</v>
      </c>
      <c r="G279" s="160">
        <v>81.071527425210661</v>
      </c>
      <c r="I279" s="160"/>
      <c r="K279" s="160"/>
      <c r="L279">
        <v>747.71899999999891</v>
      </c>
      <c r="M279" s="160">
        <v>179.01169642970544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>
      <c r="B280" s="130">
        <v>749.21899999999891</v>
      </c>
      <c r="C280" s="160">
        <v>30.642975989794088</v>
      </c>
      <c r="D280">
        <v>749.21899999999891</v>
      </c>
      <c r="E280" s="160">
        <v>-2159.7828145357407</v>
      </c>
      <c r="F280">
        <v>749.21899999999891</v>
      </c>
      <c r="G280" s="160">
        <v>80.071515464259392</v>
      </c>
      <c r="I280" s="160"/>
      <c r="K280" s="160"/>
      <c r="L280">
        <v>748.71899999999891</v>
      </c>
      <c r="M280" s="160">
        <v>178.99922456696808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>
      <c r="B281" s="130">
        <v>750.21899999999891</v>
      </c>
      <c r="C281" s="160">
        <v>30.660668033347708</v>
      </c>
      <c r="D281">
        <v>750.21899999999891</v>
      </c>
      <c r="E281" s="160">
        <v>-2160.7828205053324</v>
      </c>
      <c r="F281">
        <v>750.21899999999891</v>
      </c>
      <c r="G281" s="160">
        <v>79.07150949466768</v>
      </c>
      <c r="I281" s="160"/>
      <c r="K281" s="160"/>
      <c r="L281">
        <v>749.71899999999891</v>
      </c>
      <c r="M281" s="160">
        <v>178.98643236627373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>
      <c r="B282" s="130">
        <v>751.21899999999891</v>
      </c>
      <c r="C282" s="160">
        <v>30.678589117476768</v>
      </c>
      <c r="D282">
        <v>751.21899999999891</v>
      </c>
      <c r="E282" s="160">
        <v>-2161.782820329624</v>
      </c>
      <c r="F282">
        <v>751.21899999999891</v>
      </c>
      <c r="G282" s="160">
        <v>78.071509670376145</v>
      </c>
      <c r="I282" s="160"/>
      <c r="K282" s="160"/>
      <c r="L282">
        <v>750.71899999999891</v>
      </c>
      <c r="M282" s="160">
        <v>178.97330723799624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>
      <c r="B283" s="130">
        <v>752.21899999999891</v>
      </c>
      <c r="C283" s="160">
        <v>30.696745282447687</v>
      </c>
      <c r="D283">
        <v>752.21899999999891</v>
      </c>
      <c r="E283" s="160">
        <v>-2162.7828138464806</v>
      </c>
      <c r="F283">
        <v>752.21899999999891</v>
      </c>
      <c r="G283" s="160">
        <v>77.071516153519497</v>
      </c>
      <c r="I283" s="160"/>
      <c r="K283" s="160"/>
      <c r="L283">
        <v>751.71899999999891</v>
      </c>
      <c r="M283" s="160">
        <v>178.9598359176085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>
      <c r="B284" s="130">
        <v>753.21899999999891</v>
      </c>
      <c r="C284" s="160">
        <v>30.715142812495795</v>
      </c>
      <c r="D284">
        <v>753.21899999999891</v>
      </c>
      <c r="E284" s="160">
        <v>-2163.7828008850151</v>
      </c>
      <c r="F284">
        <v>753.21899999999891</v>
      </c>
      <c r="G284" s="160">
        <v>76.071529114984969</v>
      </c>
      <c r="I284" s="160"/>
      <c r="K284" s="160"/>
      <c r="L284">
        <v>752.71899999999891</v>
      </c>
      <c r="M284" s="160">
        <v>178.94600441924337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>
      <c r="B285" s="130">
        <v>754.21899999999891</v>
      </c>
      <c r="C285" s="160">
        <v>30.733788249283698</v>
      </c>
      <c r="D285">
        <v>754.21899999999891</v>
      </c>
      <c r="E285" s="160">
        <v>-2164.7827812649884</v>
      </c>
      <c r="F285">
        <v>754.21899999999891</v>
      </c>
      <c r="G285" s="160">
        <v>75.071548735011675</v>
      </c>
      <c r="I285" s="160"/>
      <c r="K285" s="160"/>
      <c r="L285">
        <v>753.71899999999891</v>
      </c>
      <c r="M285" s="160">
        <v>178.93179798531102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>
      <c r="B286" s="130">
        <v>755.21899999999891</v>
      </c>
      <c r="C286" s="160">
        <v>30.752688406314149</v>
      </c>
      <c r="D286">
        <v>755.21899999999891</v>
      </c>
      <c r="E286" s="160">
        <v>-2165.7827547961533</v>
      </c>
      <c r="F286">
        <v>755.21899999999891</v>
      </c>
      <c r="G286" s="160">
        <v>74.071575203846805</v>
      </c>
      <c r="I286" s="160"/>
      <c r="K286" s="160"/>
      <c r="L286">
        <v>754.71899999999891</v>
      </c>
      <c r="M286" s="160">
        <v>178.91720103174123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>
      <c r="B287" s="130">
        <v>756.21899999999891</v>
      </c>
      <c r="C287" s="160">
        <v>30.771850384381416</v>
      </c>
      <c r="D287">
        <v>756.21899999999891</v>
      </c>
      <c r="E287" s="160">
        <v>-2166.7827212775487</v>
      </c>
      <c r="F287">
        <v>756.21899999999891</v>
      </c>
      <c r="G287" s="160">
        <v>73.071608722451401</v>
      </c>
      <c r="I287" s="160"/>
      <c r="K287" s="160"/>
      <c r="L287">
        <v>755.71899999999891</v>
      </c>
      <c r="M287" s="160">
        <v>178.90219708842167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>
      <c r="B288" s="130">
        <v>757.21899999999891</v>
      </c>
      <c r="C288" s="160">
        <v>30.791281588154163</v>
      </c>
      <c r="D288">
        <v>757.21899999999891</v>
      </c>
      <c r="E288" s="160">
        <v>-2167.7826804967267</v>
      </c>
      <c r="F288">
        <v>757.21899999999891</v>
      </c>
      <c r="G288" s="160">
        <v>72.07164950327342</v>
      </c>
      <c r="I288" s="160"/>
      <c r="K288" s="160"/>
      <c r="L288">
        <v>756.71899999999891</v>
      </c>
      <c r="M288" s="160">
        <v>178.88676873428469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>
      <c r="B289" s="130">
        <v>758.21899999999891</v>
      </c>
      <c r="C289" s="160">
        <v>30.810989743992856</v>
      </c>
      <c r="D289">
        <v>758.21899999999891</v>
      </c>
      <c r="E289" s="160">
        <v>-2168.7826322289129</v>
      </c>
      <c r="F289">
        <v>758.21899999999891</v>
      </c>
      <c r="G289" s="160">
        <v>71.071697771087202</v>
      </c>
      <c r="I289" s="160"/>
      <c r="K289" s="160"/>
      <c r="L289">
        <v>757.71899999999891</v>
      </c>
      <c r="M289" s="160">
        <v>178.8708975264914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>
      <c r="B290" s="130">
        <v>759.21899999999891</v>
      </c>
      <c r="C290" s="160">
        <v>30.830982919116124</v>
      </c>
      <c r="D290">
        <v>759.21899999999891</v>
      </c>
      <c r="E290" s="160">
        <v>-2169.7825762360949</v>
      </c>
      <c r="F290">
        <v>759.21899999999891</v>
      </c>
      <c r="G290" s="160">
        <v>70.071753763905235</v>
      </c>
      <c r="I290" s="160"/>
      <c r="K290" s="160"/>
      <c r="L290">
        <v>758.71899999999891</v>
      </c>
      <c r="M290" s="160">
        <v>178.85456392305059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>
      <c r="B291" s="130">
        <v>760.21899999999891</v>
      </c>
      <c r="C291" s="160">
        <v>30.851269542243578</v>
      </c>
      <c r="D291">
        <v>760.21899999999891</v>
      </c>
      <c r="E291" s="160">
        <v>-2170.782512266022</v>
      </c>
      <c r="F291">
        <v>760.21899999999891</v>
      </c>
      <c r="G291" s="160">
        <v>69.07181773397815</v>
      </c>
      <c r="I291" s="160"/>
      <c r="K291" s="160"/>
      <c r="L291">
        <v>759.71899999999891</v>
      </c>
      <c r="M291" s="160">
        <v>178.83774719811194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>
      <c r="B292" s="130">
        <v>761.21899999999891</v>
      </c>
      <c r="C292" s="160">
        <v>30.871858425856939</v>
      </c>
      <c r="D292">
        <v>761.21899999999891</v>
      </c>
      <c r="E292" s="160">
        <v>-2171.7824400511167</v>
      </c>
      <c r="F292">
        <v>761.21899999999891</v>
      </c>
      <c r="G292" s="160">
        <v>68.071889948883381</v>
      </c>
      <c r="I292" s="160"/>
      <c r="K292" s="160"/>
      <c r="L292">
        <v>760.71899999999891</v>
      </c>
      <c r="M292" s="160">
        <v>178.82042534912819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>
      <c r="B293" s="130">
        <v>762.21899999999891</v>
      </c>
      <c r="C293" s="160">
        <v>30.892758790238215</v>
      </c>
      <c r="D293">
        <v>762.21899999999891</v>
      </c>
      <c r="E293" s="160">
        <v>-2172.7823593072785</v>
      </c>
      <c r="F293">
        <v>762.21899999999891</v>
      </c>
      <c r="G293" s="160">
        <v>67.071970692721607</v>
      </c>
      <c r="I293" s="160"/>
      <c r="K293" s="160"/>
      <c r="L293">
        <v>761.71899999999891</v>
      </c>
      <c r="M293" s="160">
        <v>178.8025749948969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>
      <c r="B294" s="130">
        <v>763.21899999999891</v>
      </c>
      <c r="C294" s="160">
        <v>30.913980289462415</v>
      </c>
      <c r="D294">
        <v>763.21899999999891</v>
      </c>
      <c r="E294" s="160">
        <v>-2173.7822697325778</v>
      </c>
      <c r="F294">
        <v>763.21899999999891</v>
      </c>
      <c r="G294" s="160">
        <v>66.07206026742233</v>
      </c>
      <c r="I294" s="160"/>
      <c r="K294" s="160"/>
      <c r="L294">
        <v>762.71899999999891</v>
      </c>
      <c r="M294" s="160">
        <v>178.78417126342805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>
      <c r="B295" s="130">
        <v>764.21899999999891</v>
      </c>
      <c r="C295" s="160">
        <v>30.935533039543795</v>
      </c>
      <c r="D295">
        <v>764.21899999999891</v>
      </c>
      <c r="E295" s="160">
        <v>-2174.7821710058188</v>
      </c>
      <c r="F295">
        <v>764.21899999999891</v>
      </c>
      <c r="G295" s="160">
        <v>65.072158994181336</v>
      </c>
      <c r="I295" s="160"/>
      <c r="K295" s="160"/>
      <c r="L295">
        <v>763.71899999999891</v>
      </c>
      <c r="M295" s="160">
        <v>178.76518766837791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>
      <c r="B296" s="130">
        <v>765.21899999999891</v>
      </c>
      <c r="C296" s="160">
        <v>30.957427648959353</v>
      </c>
      <c r="D296">
        <v>765.21899999999891</v>
      </c>
      <c r="E296" s="160">
        <v>-2175.7820627849605</v>
      </c>
      <c r="F296">
        <v>765.21899999999891</v>
      </c>
      <c r="G296" s="160">
        <v>64.072267215039574</v>
      </c>
      <c r="I296" s="160"/>
      <c r="K296" s="160"/>
      <c r="L296">
        <v>764.71899999999891</v>
      </c>
      <c r="M296" s="160">
        <v>178.74559597264931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>
      <c r="B297" s="130">
        <v>766.21899999999891</v>
      </c>
      <c r="C297" s="160">
        <v>30.979675251801115</v>
      </c>
      <c r="D297">
        <v>766.21899999999891</v>
      </c>
      <c r="E297" s="160">
        <v>-2176.7819447053771</v>
      </c>
      <c r="F297">
        <v>766.21899999999891</v>
      </c>
      <c r="G297" s="160">
        <v>63.072385294623018</v>
      </c>
      <c r="I297" s="160"/>
      <c r="K297" s="160"/>
      <c r="L297">
        <v>765.71899999999891</v>
      </c>
      <c r="M297" s="160">
        <v>178.72536603754966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>
      <c r="B298" s="130">
        <v>767.21899999999891</v>
      </c>
      <c r="C298" s="160">
        <v>31.002287543840907</v>
      </c>
      <c r="D298">
        <v>767.21899999999891</v>
      </c>
      <c r="E298" s="160">
        <v>-2177.781816377938</v>
      </c>
      <c r="F298">
        <v>767.21899999999891</v>
      </c>
      <c r="G298" s="160">
        <v>62.072513622062161</v>
      </c>
      <c r="I298" s="160"/>
      <c r="K298" s="160"/>
      <c r="L298">
        <v>766.71899999999891</v>
      </c>
      <c r="M298" s="160">
        <v>178.70446565566527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>
      <c r="B299" s="130">
        <v>768.21899999999891</v>
      </c>
      <c r="C299" s="160">
        <v>31.025276821827788</v>
      </c>
      <c r="D299">
        <v>768.21899999999891</v>
      </c>
      <c r="E299" s="160">
        <v>-2178.7816773868858</v>
      </c>
      <c r="F299">
        <v>768.21899999999891</v>
      </c>
      <c r="G299" s="160">
        <v>61.072652613114315</v>
      </c>
      <c r="I299" s="160"/>
      <c r="K299" s="160"/>
      <c r="L299">
        <v>767.71899999999891</v>
      </c>
      <c r="M299" s="160">
        <v>178.68286036535329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>
      <c r="B300" s="130">
        <v>769.21899999999891</v>
      </c>
      <c r="C300" s="160">
        <v>31.048656026380137</v>
      </c>
      <c r="D300">
        <v>769.21899999999891</v>
      </c>
      <c r="E300" s="160">
        <v>-2179.7815272874855</v>
      </c>
      <c r="F300">
        <v>769.21899999999891</v>
      </c>
      <c r="G300" s="160">
        <v>60.072802712514658</v>
      </c>
      <c r="I300" s="160"/>
      <c r="K300" s="160"/>
      <c r="L300">
        <v>768.71899999999891</v>
      </c>
      <c r="M300" s="160">
        <v>178.66051324445232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>
      <c r="B301" s="130">
        <v>770.21899999999891</v>
      </c>
      <c r="C301" s="160">
        <v>31.072438788881673</v>
      </c>
      <c r="D301">
        <v>770.21899999999891</v>
      </c>
      <c r="E301" s="160">
        <v>-2180.7813656034195</v>
      </c>
      <c r="F301">
        <v>770.21899999999891</v>
      </c>
      <c r="G301" s="160">
        <v>59.072964396580574</v>
      </c>
      <c r="I301" s="160"/>
      <c r="K301" s="160"/>
      <c r="L301">
        <v>769.71899999999891</v>
      </c>
      <c r="M301" s="160">
        <v>178.63738468050019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>
      <c r="B302" s="130">
        <v>771.21899999999891</v>
      </c>
      <c r="C302" s="160">
        <v>31.096639482845024</v>
      </c>
      <c r="D302">
        <v>771.21899999999891</v>
      </c>
      <c r="E302" s="160">
        <v>-2181.7811918238826</v>
      </c>
      <c r="F302">
        <v>771.21899999999891</v>
      </c>
      <c r="G302" s="160">
        <v>58.073138176117482</v>
      </c>
      <c r="I302" s="160"/>
      <c r="K302" s="160"/>
      <c r="L302">
        <v>770.71899999999891</v>
      </c>
      <c r="M302" s="160">
        <v>178.61343211431344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>
      <c r="B303" s="130">
        <v>772.21899999999891</v>
      </c>
      <c r="C303" s="160">
        <v>31.121273280267278</v>
      </c>
      <c r="D303">
        <v>772.21899999999891</v>
      </c>
      <c r="E303" s="160">
        <v>-2182.7810054003576</v>
      </c>
      <c r="F303">
        <v>772.21899999999891</v>
      </c>
      <c r="G303" s="160">
        <v>57.073324599642547</v>
      </c>
      <c r="I303" s="160"/>
      <c r="K303" s="160"/>
      <c r="L303">
        <v>771.71899999999891</v>
      </c>
      <c r="M303" s="160">
        <v>178.58860975348256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>
      <c r="B304" s="130">
        <v>773.21899999999891</v>
      </c>
      <c r="C304" s="160">
        <v>31.146356213571028</v>
      </c>
      <c r="D304">
        <v>773.21899999999891</v>
      </c>
      <c r="E304" s="160">
        <v>-2183.780805743002</v>
      </c>
      <c r="F304">
        <v>773.21899999999891</v>
      </c>
      <c r="G304" s="160">
        <v>56.073524256998098</v>
      </c>
      <c r="I304" s="160"/>
      <c r="K304" s="160"/>
      <c r="L304">
        <v>772.71899999999891</v>
      </c>
      <c r="M304" s="160">
        <v>178.56286825174737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>
      <c r="B305" s="130">
        <v>774.21899999999891</v>
      </c>
      <c r="C305" s="160">
        <v>31.171905243801376</v>
      </c>
      <c r="D305">
        <v>774.21899999999891</v>
      </c>
      <c r="E305" s="160">
        <v>-2184.7805922166153</v>
      </c>
      <c r="F305">
        <v>774.21899999999891</v>
      </c>
      <c r="G305" s="160">
        <v>55.073737783384786</v>
      </c>
      <c r="I305" s="160"/>
      <c r="K305" s="160"/>
      <c r="L305">
        <v>773.71899999999891</v>
      </c>
      <c r="M305" s="160">
        <v>178.53615434989598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>
      <c r="B306" s="130">
        <v>775.21899999999891</v>
      </c>
      <c r="C306" s="160">
        <v>31.197938335834646</v>
      </c>
      <c r="D306">
        <v>775.21899999999891</v>
      </c>
      <c r="E306" s="160">
        <v>-2185.780364136112</v>
      </c>
      <c r="F306">
        <v>775.21899999999891</v>
      </c>
      <c r="G306" s="160">
        <v>54.073965863888134</v>
      </c>
      <c r="I306" s="160"/>
      <c r="K306" s="160"/>
      <c r="L306">
        <v>774.71899999999891</v>
      </c>
      <c r="M306" s="160">
        <v>178.50841047323524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>
      <c r="B307" s="130">
        <v>776.21899999999891</v>
      </c>
      <c r="C307" s="160">
        <v>31.224474541447858</v>
      </c>
      <c r="D307">
        <v>776.21899999999891</v>
      </c>
      <c r="E307" s="160">
        <v>-2186.7801207614343</v>
      </c>
      <c r="F307">
        <v>776.21899999999891</v>
      </c>
      <c r="G307" s="160">
        <v>53.0742092385658</v>
      </c>
      <c r="I307" s="160"/>
      <c r="K307" s="160"/>
      <c r="L307">
        <v>775.71899999999891</v>
      </c>
      <c r="M307" s="160">
        <v>178.47957428028872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>
      <c r="B308" s="130">
        <v>777.21899999999891</v>
      </c>
      <c r="C308" s="160">
        <v>31.251534091198518</v>
      </c>
      <c r="D308">
        <v>777.21899999999891</v>
      </c>
      <c r="E308" s="160">
        <v>-2187.7798612918236</v>
      </c>
      <c r="F308">
        <v>777.21899999999891</v>
      </c>
      <c r="G308" s="160">
        <v>52.074468708176482</v>
      </c>
      <c r="I308" s="160"/>
      <c r="K308" s="160"/>
      <c r="L308">
        <v>776.71899999999891</v>
      </c>
      <c r="M308" s="160">
        <v>178.44957815693647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>
      <c r="B309" s="130">
        <v>778.21899999999891</v>
      </c>
      <c r="C309" s="160">
        <v>31.279138496169335</v>
      </c>
      <c r="D309">
        <v>778.21899999999891</v>
      </c>
      <c r="E309" s="160">
        <v>-2188.7795848593564</v>
      </c>
      <c r="F309">
        <v>778.21899999999891</v>
      </c>
      <c r="G309" s="160">
        <v>51.074745140643699</v>
      </c>
      <c r="I309" s="160"/>
      <c r="K309" s="160"/>
      <c r="L309">
        <v>777.71899999999891</v>
      </c>
      <c r="M309" s="160">
        <v>178.41834864994925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>
      <c r="B310" s="130">
        <v>779.21899999999891</v>
      </c>
      <c r="C310" s="160">
        <v>31.307310660739663</v>
      </c>
      <c r="D310">
        <v>779.21899999999891</v>
      </c>
      <c r="E310" s="160">
        <v>-2189.7792905216324</v>
      </c>
      <c r="F310">
        <v>779.21899999999891</v>
      </c>
      <c r="G310" s="160">
        <v>50.075039478367671</v>
      </c>
      <c r="I310" s="160"/>
      <c r="K310" s="160"/>
      <c r="L310">
        <v>778.71899999999891</v>
      </c>
      <c r="M310" s="160">
        <v>178.38580583373226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>
      <c r="B311" s="130">
        <v>780.21899999999891</v>
      </c>
      <c r="C311" s="160">
        <v>31.336075007648269</v>
      </c>
      <c r="D311">
        <v>780.21899999999891</v>
      </c>
      <c r="E311" s="160">
        <v>-2190.7789772534898</v>
      </c>
      <c r="F311">
        <v>780.21899999999891</v>
      </c>
      <c r="G311" s="160">
        <v>49.075352746510362</v>
      </c>
      <c r="I311" s="160"/>
      <c r="K311" s="160"/>
      <c r="L311">
        <v>779.71899999999891</v>
      </c>
      <c r="M311" s="160">
        <v>178.35186260435586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>
      <c r="B312" s="130">
        <v>781.21899999999891</v>
      </c>
      <c r="C312" s="160">
        <v>31.365457616703047</v>
      </c>
      <c r="D312">
        <v>781.21899999999891</v>
      </c>
      <c r="E312" s="160">
        <v>-2191.7786439376055</v>
      </c>
      <c r="F312">
        <v>781.21899999999891</v>
      </c>
      <c r="G312" s="160">
        <v>48.075686062394652</v>
      </c>
      <c r="I312" s="160"/>
      <c r="K312" s="160"/>
      <c r="L312">
        <v>780.71899999999891</v>
      </c>
      <c r="M312" s="160">
        <v>178.31642389561011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>
      <c r="B313" s="130">
        <v>782.21899999999891</v>
      </c>
      <c r="C313" s="160">
        <v>31.395486378559976</v>
      </c>
      <c r="D313">
        <v>782.21899999999891</v>
      </c>
      <c r="E313" s="160">
        <v>-2192.7782893538051</v>
      </c>
      <c r="F313">
        <v>782.21899999999891</v>
      </c>
      <c r="G313" s="160">
        <v>47.076040646194997</v>
      </c>
      <c r="I313" s="160"/>
      <c r="K313" s="160"/>
      <c r="L313">
        <v>781.71899999999891</v>
      </c>
      <c r="M313" s="160">
        <v>178.2793858131821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>
      <c r="B314" s="130">
        <v>783.21899999999891</v>
      </c>
      <c r="C314" s="160">
        <v>31.426191165019766</v>
      </c>
      <c r="D314">
        <v>783.21899999999891</v>
      </c>
      <c r="E314" s="160">
        <v>-2193.7779121669032</v>
      </c>
      <c r="F314">
        <v>783.21899999999891</v>
      </c>
      <c r="G314" s="160">
        <v>46.076417833096912</v>
      </c>
      <c r="I314" s="160"/>
      <c r="K314" s="160"/>
      <c r="L314">
        <v>782.71899999999891</v>
      </c>
      <c r="M314" s="160">
        <v>178.24063468542161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>
      <c r="B315" s="130">
        <v>784.21899999999891</v>
      </c>
      <c r="C315" s="160">
        <v>31.457604017252514</v>
      </c>
      <c r="D315">
        <v>784.21899999999891</v>
      </c>
      <c r="E315" s="160">
        <v>-2194.7775109128474</v>
      </c>
      <c r="F315">
        <v>784.21899999999891</v>
      </c>
      <c r="G315" s="160">
        <v>45.076819087152671</v>
      </c>
      <c r="I315" s="160"/>
      <c r="K315" s="160"/>
      <c r="L315">
        <v>783.71899999999891</v>
      </c>
      <c r="M315" s="160">
        <v>178.20004603275524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>
      <c r="B316" s="130">
        <v>784.71899999999891</v>
      </c>
      <c r="C316" s="160">
        <v>31.473588875739793</v>
      </c>
      <c r="D316">
        <v>784.71899999999891</v>
      </c>
      <c r="E316" s="160">
        <v>-2195.2773006832235</v>
      </c>
      <c r="F316">
        <v>784.71899999999891</v>
      </c>
      <c r="G316" s="160">
        <v>44.577029316776589</v>
      </c>
      <c r="I316" s="160"/>
      <c r="K316" s="160"/>
      <c r="L316">
        <v>784.46899999999891</v>
      </c>
      <c r="M316" s="160">
        <v>178.16812410566999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>
      <c r="B317" s="130">
        <v>785.21899999999891</v>
      </c>
      <c r="C317" s="160">
        <v>31.489763947555605</v>
      </c>
      <c r="D317">
        <v>785.21899999999891</v>
      </c>
      <c r="E317" s="160">
        <v>-2195.7770838170113</v>
      </c>
      <c r="F317">
        <v>785.21899999999891</v>
      </c>
      <c r="G317" s="160">
        <v>44.077246182988802</v>
      </c>
      <c r="I317" s="160"/>
      <c r="K317" s="160"/>
      <c r="L317">
        <v>784.96899999999891</v>
      </c>
      <c r="M317" s="160">
        <v>178.14631604682211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>
      <c r="B318" s="130">
        <v>785.71899999999891</v>
      </c>
      <c r="C318" s="160">
        <v>31.506133996903831</v>
      </c>
      <c r="D318">
        <v>785.71899999999891</v>
      </c>
      <c r="E318" s="160">
        <v>-2196.276860085708</v>
      </c>
      <c r="F318">
        <v>785.71899999999891</v>
      </c>
      <c r="G318" s="160">
        <v>43.577469914292124</v>
      </c>
      <c r="I318" s="160"/>
      <c r="K318" s="160"/>
      <c r="L318">
        <v>785.46899999999891</v>
      </c>
      <c r="M318" s="160">
        <v>178.12396149244412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>
      <c r="B319" s="130">
        <v>786.21899999999891</v>
      </c>
      <c r="C319" s="160">
        <v>31.522703969160673</v>
      </c>
      <c r="D319">
        <v>786.21899999999891</v>
      </c>
      <c r="E319" s="160">
        <v>-2196.776629249217</v>
      </c>
      <c r="F319">
        <v>786.21899999999891</v>
      </c>
      <c r="G319" s="160">
        <v>43.077700750783151</v>
      </c>
      <c r="I319" s="160"/>
      <c r="K319" s="160"/>
      <c r="L319">
        <v>785.96899999999891</v>
      </c>
      <c r="M319" s="160">
        <v>178.10103964619697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>
      <c r="B320" s="130">
        <v>786.71899999999891</v>
      </c>
      <c r="C320" s="160">
        <v>31.539479000587907</v>
      </c>
      <c r="D320">
        <v>786.71899999999891</v>
      </c>
      <c r="E320" s="160">
        <v>-2197.2763910550912</v>
      </c>
      <c r="F320">
        <v>786.71899999999891</v>
      </c>
      <c r="G320" s="160">
        <v>42.577938944908965</v>
      </c>
      <c r="I320" s="160"/>
      <c r="K320" s="160"/>
      <c r="L320">
        <v>786.46899999999891</v>
      </c>
      <c r="M320" s="160">
        <v>178.07752859592182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>
      <c r="B321" s="130">
        <v>787.21899999999891</v>
      </c>
      <c r="C321" s="160">
        <v>31.5564644284309</v>
      </c>
      <c r="D321">
        <v>787.21899999999891</v>
      </c>
      <c r="E321" s="160">
        <v>-2197.7761452377172</v>
      </c>
      <c r="F321">
        <v>787.21899999999891</v>
      </c>
      <c r="G321" s="160">
        <v>42.078184762282945</v>
      </c>
      <c r="I321" s="160"/>
      <c r="K321" s="160"/>
      <c r="L321">
        <v>786.96899999999891</v>
      </c>
      <c r="M321" s="160">
        <v>178.05340526927586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>
      <c r="B322" s="130">
        <v>787.71899999999891</v>
      </c>
      <c r="C322" s="160">
        <v>31.573665801425509</v>
      </c>
      <c r="D322">
        <v>787.71899999999891</v>
      </c>
      <c r="E322" s="160">
        <v>-2198.2758915174504</v>
      </c>
      <c r="F322">
        <v>787.71899999999891</v>
      </c>
      <c r="G322" s="160">
        <v>41.5784384825497</v>
      </c>
      <c r="I322" s="160"/>
      <c r="K322" s="160"/>
      <c r="L322">
        <v>787.46899999999891</v>
      </c>
      <c r="M322" s="160">
        <v>178.02864538663826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>
      <c r="B323" s="130">
        <v>788.21899999999891</v>
      </c>
      <c r="C323" s="160">
        <v>31.591088890732227</v>
      </c>
      <c r="D323">
        <v>788.21899999999891</v>
      </c>
      <c r="E323" s="160">
        <v>-2198.775629599686</v>
      </c>
      <c r="F323">
        <v>788.21899999999891</v>
      </c>
      <c r="G323" s="160">
        <v>41.078700400314119</v>
      </c>
      <c r="I323" s="160"/>
      <c r="K323" s="160"/>
      <c r="L323">
        <v>787.96899999999891</v>
      </c>
      <c r="M323" s="160">
        <v>178.00322341184207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>
      <c r="B324" s="130">
        <v>788.71899999999891</v>
      </c>
      <c r="C324" s="160">
        <v>31.608739701310377</v>
      </c>
      <c r="D324">
        <v>788.71899999999891</v>
      </c>
      <c r="E324" s="160">
        <v>-2199.2753591738642</v>
      </c>
      <c r="F324">
        <v>788.71899999999891</v>
      </c>
      <c r="G324" s="160">
        <v>40.578970826135901</v>
      </c>
      <c r="I324" s="160"/>
      <c r="K324" s="160"/>
      <c r="L324">
        <v>788.46899999999891</v>
      </c>
      <c r="M324" s="160">
        <v>177.97711250142297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>
      <c r="B325" s="130">
        <v>789.21899999999891</v>
      </c>
      <c r="C325" s="160">
        <v>31.626624483738151</v>
      </c>
      <c r="D325">
        <v>789.21899999999891</v>
      </c>
      <c r="E325" s="160">
        <v>-2199.775079912411</v>
      </c>
      <c r="F325">
        <v>789.21899999999891</v>
      </c>
      <c r="G325" s="160">
        <v>40.079250087589116</v>
      </c>
      <c r="I325" s="160"/>
      <c r="K325" s="160"/>
      <c r="L325">
        <v>788.96899999999891</v>
      </c>
      <c r="M325" s="160">
        <v>177.950284453194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>
      <c r="B326" s="130">
        <v>789.71899999999891</v>
      </c>
      <c r="C326" s="160">
        <v>31.644749746477821</v>
      </c>
      <c r="D326">
        <v>789.71899999999891</v>
      </c>
      <c r="E326" s="160">
        <v>-2200.2747914696006</v>
      </c>
      <c r="F326">
        <v>789.71899999999891</v>
      </c>
      <c r="G326" s="160">
        <v>39.579538530399532</v>
      </c>
      <c r="I326" s="160"/>
      <c r="K326" s="160"/>
      <c r="L326">
        <v>789.46899999999891</v>
      </c>
      <c r="M326" s="160">
        <v>177.92270965483044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>
      <c r="B327" s="130">
        <v>790.21899999999891</v>
      </c>
      <c r="C327" s="160">
        <v>31.663122268576728</v>
      </c>
      <c r="D327">
        <v>790.21899999999891</v>
      </c>
      <c r="E327" s="160">
        <v>-2200.7744934803436</v>
      </c>
      <c r="F327">
        <v>790.21899999999891</v>
      </c>
      <c r="G327" s="160">
        <v>39.07983651965651</v>
      </c>
      <c r="I327" s="160"/>
      <c r="K327" s="160"/>
      <c r="L327">
        <v>789.96899999999891</v>
      </c>
      <c r="M327" s="160">
        <v>177.89435703352598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>
      <c r="B328" s="130">
        <v>790.71899999999891</v>
      </c>
      <c r="C328" s="160">
        <v>31.681749112785962</v>
      </c>
      <c r="D328">
        <v>790.71899999999891</v>
      </c>
      <c r="E328" s="160">
        <v>-2201.274185558892</v>
      </c>
      <c r="F328">
        <v>790.71899999999891</v>
      </c>
      <c r="G328" s="160">
        <v>38.580144441108132</v>
      </c>
      <c r="I328" s="160"/>
      <c r="K328" s="160"/>
      <c r="L328">
        <v>790.46899999999891</v>
      </c>
      <c r="M328" s="160">
        <v>177.86519400766923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>
      <c r="B329" s="130">
        <v>791.21899999999891</v>
      </c>
      <c r="C329" s="160">
        <v>31.700637639067967</v>
      </c>
      <c r="D329">
        <v>791.21899999999891</v>
      </c>
      <c r="E329" s="160">
        <v>-2201.773867297456</v>
      </c>
      <c r="F329">
        <v>791.21899999999891</v>
      </c>
      <c r="G329" s="160">
        <v>38.080462702544082</v>
      </c>
      <c r="I329" s="160"/>
      <c r="K329" s="160"/>
      <c r="L329">
        <v>790.96899999999891</v>
      </c>
      <c r="M329" s="160">
        <v>177.83518644177056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>
      <c r="B330" s="130">
        <v>791.71899999999891</v>
      </c>
      <c r="C330" s="160">
        <v>31.719795518452219</v>
      </c>
      <c r="D330">
        <v>791.71899999999891</v>
      </c>
      <c r="E330" s="160">
        <v>-2202.2735382647302</v>
      </c>
      <c r="F330">
        <v>791.71899999999891</v>
      </c>
      <c r="G330" s="160">
        <v>37.580791735269941</v>
      </c>
      <c r="I330" s="160"/>
      <c r="K330" s="160"/>
      <c r="L330">
        <v>791.46899999999891</v>
      </c>
      <c r="M330" s="160">
        <v>177.80429860603203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>
      <c r="B331" s="130">
        <v>792.21899999999891</v>
      </c>
      <c r="C331" s="160">
        <v>31.739230747184585</v>
      </c>
      <c r="D331">
        <v>792.21899999999891</v>
      </c>
      <c r="E331" s="160">
        <v>-2202.7731980043268</v>
      </c>
      <c r="F331">
        <v>792.21899999999891</v>
      </c>
      <c r="G331" s="160">
        <v>37.081131995673331</v>
      </c>
      <c r="I331" s="160"/>
      <c r="K331" s="160"/>
      <c r="L331">
        <v>791.96899999999891</v>
      </c>
      <c r="M331" s="160">
        <v>177.77249314211588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>
      <c r="B332" s="130">
        <v>792.71899999999891</v>
      </c>
      <c r="C332" s="160">
        <v>31.758951661099861</v>
      </c>
      <c r="D332">
        <v>792.71899999999891</v>
      </c>
      <c r="E332" s="160">
        <v>-2203.2728460331086</v>
      </c>
      <c r="F332">
        <v>792.71899999999891</v>
      </c>
      <c r="G332" s="160">
        <v>36.581483966891483</v>
      </c>
      <c r="I332" s="160"/>
      <c r="K332" s="160"/>
      <c r="L332">
        <v>792.46899999999891</v>
      </c>
      <c r="M332" s="160">
        <v>177.73973103691716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>
      <c r="B333" s="130">
        <v>793.21899999999891</v>
      </c>
      <c r="C333" s="160">
        <v>31.77896695012938</v>
      </c>
      <c r="D333">
        <v>793.21899999999891</v>
      </c>
      <c r="E333" s="160">
        <v>-2203.7724818394199</v>
      </c>
      <c r="F333">
        <v>793.21899999999891</v>
      </c>
      <c r="G333" s="160">
        <v>36.081848160580194</v>
      </c>
      <c r="I333" s="160"/>
      <c r="K333" s="160"/>
      <c r="L333">
        <v>792.96899999999891</v>
      </c>
      <c r="M333" s="160">
        <v>177.70597160639275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>
      <c r="B334" s="130">
        <v>793.71899999999891</v>
      </c>
      <c r="C334" s="160">
        <v>31.799285672834646</v>
      </c>
      <c r="D334">
        <v>793.71899999999891</v>
      </c>
      <c r="E334" s="160">
        <v>-2204.2721048812168</v>
      </c>
      <c r="F334">
        <v>793.71899999999891</v>
      </c>
      <c r="G334" s="160">
        <v>35.582225118783299</v>
      </c>
      <c r="I334" s="160"/>
      <c r="K334" s="160"/>
      <c r="L334">
        <v>793.46899999999891</v>
      </c>
      <c r="M334" s="160">
        <v>177.67117249184602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>
      <c r="B335" s="130">
        <v>794.21899999999891</v>
      </c>
      <c r="C335" s="160">
        <v>31.81991727083501</v>
      </c>
      <c r="D335">
        <v>794.21899999999891</v>
      </c>
      <c r="E335" s="160">
        <v>-2204.7717145840929</v>
      </c>
      <c r="F335">
        <v>794.21899999999891</v>
      </c>
      <c r="G335" s="160">
        <v>35.082615415907185</v>
      </c>
      <c r="I335" s="160"/>
      <c r="K335" s="160"/>
      <c r="L335">
        <v>793.96899999999891</v>
      </c>
      <c r="M335" s="160">
        <v>177.63528967126325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>
      <c r="B336" s="130">
        <v>794.71899999999891</v>
      </c>
      <c r="C336" s="160">
        <v>31.840871582970919</v>
      </c>
      <c r="D336">
        <v>794.71899999999891</v>
      </c>
      <c r="E336" s="160">
        <v>-2205.2713103391943</v>
      </c>
      <c r="F336">
        <v>794.71899999999891</v>
      </c>
      <c r="G336" s="160">
        <v>34.583019660805803</v>
      </c>
      <c r="I336" s="160"/>
      <c r="K336" s="160"/>
      <c r="L336">
        <v>794.46899999999891</v>
      </c>
      <c r="M336" s="160">
        <v>177.59827748872601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>
      <c r="B337" s="130">
        <v>795.21899999999891</v>
      </c>
      <c r="C337" s="160">
        <v>31.86215885901462</v>
      </c>
      <c r="D337">
        <v>795.21899999999891</v>
      </c>
      <c r="E337" s="160">
        <v>-2205.7708915010417</v>
      </c>
      <c r="F337">
        <v>795.21899999999891</v>
      </c>
      <c r="G337" s="160">
        <v>34.083438498958458</v>
      </c>
      <c r="I337" s="160"/>
      <c r="K337" s="160"/>
      <c r="L337">
        <v>794.96899999999891</v>
      </c>
      <c r="M337" s="160">
        <v>177.56008870539813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>
      <c r="B338" s="130">
        <v>795.71899999999891</v>
      </c>
      <c r="C338" s="160">
        <v>31.883789772707026</v>
      </c>
      <c r="D338">
        <v>795.71899999999891</v>
      </c>
      <c r="E338" s="160">
        <v>-2206.2704573852498</v>
      </c>
      <c r="F338">
        <v>795.71899999999891</v>
      </c>
      <c r="G338" s="160">
        <v>33.583872614750362</v>
      </c>
      <c r="I338" s="160"/>
      <c r="K338" s="160"/>
      <c r="L338">
        <v>795.46899999999891</v>
      </c>
      <c r="M338" s="160">
        <v>177.52067457574893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>
      <c r="B339" s="130">
        <v>796.21899999999891</v>
      </c>
      <c r="C339" s="160">
        <v>31.905775433862257</v>
      </c>
      <c r="D339">
        <v>796.21899999999891</v>
      </c>
      <c r="E339" s="160">
        <v>-2206.7700072661469</v>
      </c>
      <c r="F339">
        <v>796.21899999999891</v>
      </c>
      <c r="G339" s="160">
        <v>33.084322733853242</v>
      </c>
      <c r="I339" s="160"/>
      <c r="K339" s="160"/>
      <c r="L339">
        <v>795.96899999999891</v>
      </c>
      <c r="M339" s="160">
        <v>177.47998495332564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>
      <c r="B340" s="130">
        <v>796.71899999999891</v>
      </c>
      <c r="C340" s="160">
        <v>31.928127399240061</v>
      </c>
      <c r="D340">
        <v>796.71899999999891</v>
      </c>
      <c r="E340" s="160">
        <v>-2207.2695403743287</v>
      </c>
      <c r="F340">
        <v>796.71899999999891</v>
      </c>
      <c r="G340" s="160">
        <v>32.584789625671419</v>
      </c>
      <c r="I340" s="160"/>
      <c r="K340" s="160"/>
      <c r="L340">
        <v>796.46899999999891</v>
      </c>
      <c r="M340" s="160">
        <v>177.43796843095612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>
      <c r="B341" s="130">
        <v>797.21899999999891</v>
      </c>
      <c r="C341" s="160">
        <v>31.950857681840535</v>
      </c>
      <c r="D341">
        <v>797.21899999999891</v>
      </c>
      <c r="E341" s="160">
        <v>-2207.7690558941285</v>
      </c>
      <c r="F341">
        <v>797.21899999999891</v>
      </c>
      <c r="G341" s="160">
        <v>32.085274105871576</v>
      </c>
      <c r="I341" s="160"/>
      <c r="K341" s="160"/>
      <c r="L341">
        <v>796.96899999999891</v>
      </c>
      <c r="M341" s="160">
        <v>177.3945725203574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>
      <c r="B342" s="130">
        <v>797.71899999999891</v>
      </c>
      <c r="C342" s="160">
        <v>31.973978758225176</v>
      </c>
      <c r="D342">
        <v>797.71899999999891</v>
      </c>
      <c r="E342" s="160">
        <v>-2208.2685529610394</v>
      </c>
      <c r="F342">
        <v>797.71899999999891</v>
      </c>
      <c r="G342" s="160">
        <v>31.585777038960714</v>
      </c>
      <c r="I342" s="160"/>
      <c r="K342" s="160"/>
      <c r="L342">
        <v>797.46899999999891</v>
      </c>
      <c r="M342" s="160">
        <v>177.34974387717796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>
      <c r="B343" s="130">
        <v>798.21899999999891</v>
      </c>
      <c r="C343" s="160">
        <v>31.997503573412878</v>
      </c>
      <c r="D343">
        <v>798.21899999999891</v>
      </c>
      <c r="E343" s="160">
        <v>-2208.768030659111</v>
      </c>
      <c r="F343">
        <v>798.21899999999891</v>
      </c>
      <c r="G343" s="160">
        <v>31.086299340889127</v>
      </c>
      <c r="I343" s="160"/>
      <c r="K343" s="160"/>
      <c r="L343">
        <v>797.96899999999891</v>
      </c>
      <c r="M343" s="160">
        <v>177.3034285777569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>
      <c r="B344" s="130">
        <v>798.71899999999891</v>
      </c>
      <c r="C344" s="160">
        <v>32.021445542838968</v>
      </c>
      <c r="D344">
        <v>798.71899999999891</v>
      </c>
      <c r="E344" s="160">
        <v>-2209.2674880183458</v>
      </c>
      <c r="F344">
        <v>798.71899999999891</v>
      </c>
      <c r="G344" s="160">
        <v>30.586841981654288</v>
      </c>
      <c r="I344" s="160"/>
      <c r="K344" s="160"/>
      <c r="L344">
        <v>798.46899999999891</v>
      </c>
      <c r="M344" s="160">
        <v>177.25557245452592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>
      <c r="B345" s="130">
        <v>799.21899999999891</v>
      </c>
      <c r="C345" s="160">
        <v>32.045818550799709</v>
      </c>
      <c r="D345">
        <v>799.21899999999891</v>
      </c>
      <c r="E345" s="160">
        <v>-2209.7669240121313</v>
      </c>
      <c r="F345">
        <v>799.21899999999891</v>
      </c>
      <c r="G345" s="160">
        <v>30.087405987868806</v>
      </c>
      <c r="I345" s="160"/>
      <c r="K345" s="160"/>
      <c r="L345">
        <v>798.96899999999891</v>
      </c>
      <c r="M345" s="160">
        <v>177.20612149763306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>
      <c r="B346" s="130">
        <v>799.71899999999891</v>
      </c>
      <c r="C346" s="160">
        <v>32.070636944733714</v>
      </c>
      <c r="D346">
        <v>799.71899999999891</v>
      </c>
      <c r="E346" s="160">
        <v>-2210.26633755476</v>
      </c>
      <c r="F346">
        <v>799.71899999999891</v>
      </c>
      <c r="G346" s="160">
        <v>29.587992445240161</v>
      </c>
      <c r="I346" s="160"/>
      <c r="K346" s="160"/>
      <c r="L346">
        <v>799.46899999999891</v>
      </c>
      <c r="M346" s="160">
        <v>177.15502233099767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>
      <c r="B347" s="130">
        <v>800.21899999999891</v>
      </c>
      <c r="C347" s="160">
        <v>32.095915524614952</v>
      </c>
      <c r="D347">
        <v>800.21899999999891</v>
      </c>
      <c r="E347" s="160">
        <v>-2210.7657274990829</v>
      </c>
      <c r="F347">
        <v>800.21899999999891</v>
      </c>
      <c r="G347" s="160">
        <v>29.088602500917204</v>
      </c>
      <c r="I347" s="160"/>
      <c r="K347" s="160"/>
      <c r="L347">
        <v>799.96899999999891</v>
      </c>
      <c r="M347" s="160">
        <v>177.10222277154426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>
      <c r="B348" s="130">
        <v>800.71899999999891</v>
      </c>
      <c r="C348" s="160">
        <v>32.121669526650834</v>
      </c>
      <c r="D348">
        <v>800.71899999999891</v>
      </c>
      <c r="E348" s="160">
        <v>-2211.2650926343767</v>
      </c>
      <c r="F348">
        <v>800.71899999999891</v>
      </c>
      <c r="G348" s="160">
        <v>28.589237365623376</v>
      </c>
      <c r="I348" s="160"/>
      <c r="K348" s="160"/>
      <c r="L348">
        <v>800.46899999999891</v>
      </c>
      <c r="M348" s="160">
        <v>177.04767248110323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>
      <c r="B349" s="130">
        <v>801.21899999999891</v>
      </c>
      <c r="C349" s="160">
        <v>32.147914600391658</v>
      </c>
      <c r="D349">
        <v>801.21899999999891</v>
      </c>
      <c r="E349" s="160">
        <v>-2211.764431684493</v>
      </c>
      <c r="F349">
        <v>801.21899999999891</v>
      </c>
      <c r="G349" s="160">
        <v>28.089898315507071</v>
      </c>
      <c r="I349" s="160"/>
      <c r="K349" s="160"/>
      <c r="L349">
        <v>800.96899999999891</v>
      </c>
      <c r="M349" s="160">
        <v>176.99132372091199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>
      <c r="B350" s="130">
        <v>801.71899999999891</v>
      </c>
      <c r="C350" s="160">
        <v>32.174666778266335</v>
      </c>
      <c r="D350">
        <v>801.71899999999891</v>
      </c>
      <c r="E350" s="160">
        <v>-2212.2637433063992</v>
      </c>
      <c r="F350">
        <v>801.71899999999891</v>
      </c>
      <c r="G350" s="160">
        <v>27.590586693600926</v>
      </c>
      <c r="I350" s="160"/>
      <c r="K350" s="160"/>
      <c r="L350">
        <v>801.46899999999891</v>
      </c>
      <c r="M350" s="160">
        <v>176.93313221940639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>
      <c r="B351" s="130">
        <v>802.21899999999891</v>
      </c>
      <c r="C351" s="160">
        <v>32.201942436463497</v>
      </c>
      <c r="D351">
        <v>802.21899999999891</v>
      </c>
      <c r="E351" s="160">
        <v>-2212.7630260892111</v>
      </c>
      <c r="F351">
        <v>802.21899999999891</v>
      </c>
      <c r="G351" s="160">
        <v>27.091303910789065</v>
      </c>
      <c r="I351" s="160"/>
      <c r="K351" s="160"/>
      <c r="L351">
        <v>801.96899999999891</v>
      </c>
      <c r="M351" s="160">
        <v>176.87305816424185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>
      <c r="B352" s="130">
        <v>802.71899999999891</v>
      </c>
      <c r="C352" s="160">
        <v>32.229758245977102</v>
      </c>
      <c r="D352">
        <v>802.71899999999891</v>
      </c>
      <c r="E352" s="160">
        <v>-2213.2622785538633</v>
      </c>
      <c r="F352">
        <v>802.71899999999891</v>
      </c>
      <c r="G352" s="160">
        <v>26.592051446136793</v>
      </c>
      <c r="I352" s="160"/>
      <c r="K352" s="160"/>
      <c r="L352">
        <v>802.46899999999891</v>
      </c>
      <c r="M352" s="160">
        <v>176.8110673302817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>
      <c r="B353" s="130">
        <v>803.21899999999891</v>
      </c>
      <c r="C353" s="160">
        <v>32.25813111253364</v>
      </c>
      <c r="D353">
        <v>803.21899999999891</v>
      </c>
      <c r="E353" s="160">
        <v>-2213.7614991535697</v>
      </c>
      <c r="F353">
        <v>803.21899999999891</v>
      </c>
      <c r="G353" s="160">
        <v>26.092830846430388</v>
      </c>
      <c r="I353" s="160"/>
      <c r="K353" s="160"/>
      <c r="L353">
        <v>802.96899999999891</v>
      </c>
      <c r="M353" s="160">
        <v>176.74713235530339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>
      <c r="B354" s="130">
        <v>803.71899999999891</v>
      </c>
      <c r="C354" s="160">
        <v>32.287078104013325</v>
      </c>
      <c r="D354">
        <v>803.71899999999891</v>
      </c>
      <c r="E354" s="160">
        <v>-2214.2606862752514</v>
      </c>
      <c r="F354">
        <v>803.71899999999891</v>
      </c>
      <c r="G354" s="160">
        <v>25.593643724748745</v>
      </c>
      <c r="I354" s="160"/>
      <c r="K354" s="160"/>
      <c r="L354">
        <v>803.46899999999891</v>
      </c>
      <c r="M354" s="160">
        <v>176.68123417561287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>
      <c r="B355" s="130">
        <v>804.21899999999891</v>
      </c>
      <c r="C355" s="160">
        <v>32.316616363872562</v>
      </c>
      <c r="D355">
        <v>804.21899999999891</v>
      </c>
      <c r="E355" s="160">
        <v>-2214.7598382421361</v>
      </c>
      <c r="F355">
        <v>804.21899999999891</v>
      </c>
      <c r="G355" s="160">
        <v>25.094491757864034</v>
      </c>
      <c r="I355" s="160"/>
      <c r="K355" s="160"/>
      <c r="L355">
        <v>803.96899999999891</v>
      </c>
      <c r="M355" s="160">
        <v>176.61336363380502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>
      <c r="B356" s="130">
        <v>804.41899999999896</v>
      </c>
      <c r="C356" s="160">
        <v>32.328602017600701</v>
      </c>
      <c r="D356">
        <v>804.41899999999896</v>
      </c>
      <c r="E356" s="160">
        <v>-2214.9594887304875</v>
      </c>
      <c r="F356">
        <v>804.41899999999896</v>
      </c>
      <c r="G356" s="160">
        <v>24.894841269512654</v>
      </c>
      <c r="I356" s="160"/>
      <c r="K356" s="160"/>
      <c r="L356">
        <v>804.31899999999894</v>
      </c>
      <c r="M356" s="160">
        <v>176.56447537983945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>
      <c r="B357" s="130">
        <v>804.61899999999901</v>
      </c>
      <c r="C357" s="160">
        <v>32.340686104605908</v>
      </c>
      <c r="D357">
        <v>804.61899999999901</v>
      </c>
      <c r="E357" s="160">
        <v>-2215.1591332025355</v>
      </c>
      <c r="F357">
        <v>804.61899999999901</v>
      </c>
      <c r="G357" s="160">
        <v>24.695196797464632</v>
      </c>
      <c r="I357" s="160"/>
      <c r="K357" s="160"/>
      <c r="L357">
        <v>804.51899999999898</v>
      </c>
      <c r="M357" s="160">
        <v>176.5362251070635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>
      <c r="B358" s="130">
        <v>804.81899999999905</v>
      </c>
      <c r="C358" s="160">
        <v>32.35286971142876</v>
      </c>
      <c r="D358">
        <v>804.81899999999905</v>
      </c>
      <c r="E358" s="160">
        <v>-2215.3587715432609</v>
      </c>
      <c r="F358">
        <v>804.81899999999905</v>
      </c>
      <c r="G358" s="160">
        <v>24.495558456739218</v>
      </c>
      <c r="I358" s="160"/>
      <c r="K358" s="160"/>
      <c r="L358">
        <v>804.71899999999903</v>
      </c>
      <c r="M358" s="160">
        <v>176.50766213309828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>
      <c r="B359" s="130">
        <v>805.0189999999991</v>
      </c>
      <c r="C359" s="160">
        <v>32.365153918081511</v>
      </c>
      <c r="D359">
        <v>805.0189999999991</v>
      </c>
      <c r="E359" s="160">
        <v>-2215.5584036364116</v>
      </c>
      <c r="F359">
        <v>805.0189999999991</v>
      </c>
      <c r="G359" s="160">
        <v>24.295926363588478</v>
      </c>
      <c r="I359" s="160"/>
      <c r="K359" s="160"/>
      <c r="L359">
        <v>804.91899999999907</v>
      </c>
      <c r="M359" s="160">
        <v>176.47878829572571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>
      <c r="B360" s="130">
        <v>805.21899999999914</v>
      </c>
      <c r="C360" s="160">
        <v>32.377539796528474</v>
      </c>
      <c r="D360">
        <v>805.21899999999914</v>
      </c>
      <c r="E360" s="160">
        <v>-2215.7580293645901</v>
      </c>
      <c r="F360">
        <v>805.21899999999914</v>
      </c>
      <c r="G360" s="160">
        <v>24.096300635409989</v>
      </c>
      <c r="I360" s="160"/>
      <c r="K360" s="160"/>
      <c r="L360">
        <v>805.11899999999912</v>
      </c>
      <c r="M360" s="160">
        <v>176.44960586829484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>
      <c r="B361" s="130">
        <v>805.41899999999919</v>
      </c>
      <c r="C361" s="160">
        <v>32.390028409078823</v>
      </c>
      <c r="D361">
        <v>805.41899999999919</v>
      </c>
      <c r="E361" s="160">
        <v>-2215.9576486093547</v>
      </c>
      <c r="F361">
        <v>805.41899999999919</v>
      </c>
      <c r="G361" s="160">
        <v>23.896681390645426</v>
      </c>
      <c r="I361" s="160"/>
      <c r="K361" s="160"/>
      <c r="L361">
        <v>805.31899999999916</v>
      </c>
      <c r="M361" s="160">
        <v>176.42011758500479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>
      <c r="B362" s="130">
        <v>805.61899999999923</v>
      </c>
      <c r="C362" s="160">
        <v>32.402620806688432</v>
      </c>
      <c r="D362">
        <v>805.61899999999923</v>
      </c>
      <c r="E362" s="160">
        <v>-2216.1572612513269</v>
      </c>
      <c r="F362">
        <v>805.61899999999923</v>
      </c>
      <c r="G362" s="160">
        <v>23.697068748673246</v>
      </c>
      <c r="I362" s="160"/>
      <c r="K362" s="160"/>
      <c r="L362">
        <v>805.51899999999921</v>
      </c>
      <c r="M362" s="160">
        <v>176.39032666701311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>
      <c r="B363" s="130">
        <v>805.81899999999928</v>
      </c>
      <c r="C363" s="160">
        <v>32.415318027167757</v>
      </c>
      <c r="D363">
        <v>805.81899999999928</v>
      </c>
      <c r="E363" s="160">
        <v>-2216.3568671703147</v>
      </c>
      <c r="F363">
        <v>805.81899999999928</v>
      </c>
      <c r="G363" s="160">
        <v>23.497462829685446</v>
      </c>
      <c r="I363" s="160"/>
      <c r="K363" s="160"/>
      <c r="L363">
        <v>805.71899999999926</v>
      </c>
      <c r="M363" s="160">
        <v>176.36023684957931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>
      <c r="B364" s="130">
        <v>806.01899999999932</v>
      </c>
      <c r="C364" s="160">
        <v>32.42812109329217</v>
      </c>
      <c r="D364">
        <v>806.01899999999932</v>
      </c>
      <c r="E364" s="160">
        <v>-2216.5564662454431</v>
      </c>
      <c r="F364">
        <v>806.01899999999932</v>
      </c>
      <c r="G364" s="160">
        <v>23.297863754557056</v>
      </c>
      <c r="I364" s="160"/>
      <c r="K364" s="160"/>
      <c r="L364">
        <v>805.9189999999993</v>
      </c>
      <c r="M364" s="160">
        <v>176.32985241008481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>
      <c r="B365" s="130">
        <v>806.21899999999937</v>
      </c>
      <c r="C365" s="160">
        <v>32.441031010811692</v>
      </c>
      <c r="D365">
        <v>806.21899999999937</v>
      </c>
      <c r="E365" s="160">
        <v>-2216.7560583552986</v>
      </c>
      <c r="F365">
        <v>806.21899999999937</v>
      </c>
      <c r="G365" s="160">
        <v>23.098271644701526</v>
      </c>
      <c r="I365" s="160"/>
      <c r="K365" s="160"/>
      <c r="L365">
        <v>806.11899999999935</v>
      </c>
      <c r="M365" s="160">
        <v>176.29917819704866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>
      <c r="B366" s="130">
        <v>806.41899999999941</v>
      </c>
      <c r="C366" s="160">
        <v>32.4540487663566</v>
      </c>
      <c r="D366">
        <v>806.41899999999941</v>
      </c>
      <c r="E366" s="160">
        <v>-2216.9556433780863</v>
      </c>
      <c r="F366">
        <v>806.41899999999941</v>
      </c>
      <c r="G366" s="160">
        <v>22.898686621913839</v>
      </c>
      <c r="I366" s="160"/>
      <c r="K366" s="160"/>
      <c r="L366">
        <v>806.31899999999939</v>
      </c>
      <c r="M366" s="160">
        <v>176.26821966012409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>
      <c r="B367" s="130">
        <v>806.61899999999946</v>
      </c>
      <c r="C367" s="160">
        <v>32.467175325235495</v>
      </c>
      <c r="D367">
        <v>806.61899999999946</v>
      </c>
      <c r="E367" s="160">
        <v>-2217.155221191802</v>
      </c>
      <c r="F367">
        <v>806.61899999999946</v>
      </c>
      <c r="G367" s="160">
        <v>22.699108808198162</v>
      </c>
      <c r="I367" s="160"/>
      <c r="K367" s="160"/>
      <c r="L367">
        <v>806.51899999999944</v>
      </c>
      <c r="M367" s="160">
        <v>176.23698288112945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>
      <c r="B368" s="130">
        <v>806.81899999999951</v>
      </c>
      <c r="C368" s="160">
        <v>32.480411629122486</v>
      </c>
      <c r="D368">
        <v>806.81899999999951</v>
      </c>
      <c r="E368" s="160">
        <v>-2217.3547916744174</v>
      </c>
      <c r="F368">
        <v>806.81899999999951</v>
      </c>
      <c r="G368" s="160">
        <v>22.499538325582762</v>
      </c>
      <c r="I368" s="160"/>
      <c r="K368" s="160"/>
      <c r="L368">
        <v>806.71899999999948</v>
      </c>
      <c r="M368" s="160">
        <v>176.20547460599192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>
      <c r="B369" s="130">
        <v>807.01899999999955</v>
      </c>
      <c r="C369" s="160">
        <v>32.49375859363002</v>
      </c>
      <c r="D369">
        <v>807.01899999999955</v>
      </c>
      <c r="E369" s="160">
        <v>-2217.5543547040784</v>
      </c>
      <c r="F369">
        <v>807.01899999999955</v>
      </c>
      <c r="G369" s="160">
        <v>22.29997529592174</v>
      </c>
      <c r="I369" s="160"/>
      <c r="K369" s="160"/>
      <c r="L369">
        <v>806.91899999999953</v>
      </c>
      <c r="M369" s="160">
        <v>176.17370227769266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>
      <c r="B370" s="130">
        <v>807.2189999999996</v>
      </c>
      <c r="C370" s="160">
        <v>32.5072171057638</v>
      </c>
      <c r="D370">
        <v>807.2189999999996</v>
      </c>
      <c r="E370" s="160">
        <v>-2217.7539101593266</v>
      </c>
      <c r="F370">
        <v>807.2189999999996</v>
      </c>
      <c r="G370" s="160">
        <v>22.100419840673567</v>
      </c>
      <c r="I370" s="160"/>
      <c r="K370" s="160"/>
      <c r="L370">
        <v>807.11899999999957</v>
      </c>
      <c r="M370" s="160">
        <v>176.14167407042257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>
      <c r="B371" s="130">
        <v>807.41899999999964</v>
      </c>
      <c r="C371" s="160">
        <v>32.520788021256472</v>
      </c>
      <c r="D371">
        <v>807.41899999999964</v>
      </c>
      <c r="E371" s="160">
        <v>-2217.9534579193269</v>
      </c>
      <c r="F371">
        <v>807.41899999999964</v>
      </c>
      <c r="G371" s="160">
        <v>21.900872080673253</v>
      </c>
      <c r="I371" s="160"/>
      <c r="K371" s="160"/>
      <c r="L371">
        <v>807.31899999999962</v>
      </c>
      <c r="M371" s="160">
        <v>176.10939892437472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>
      <c r="B372" s="130">
        <v>807.61899999999969</v>
      </c>
      <c r="C372" s="160">
        <v>32.534472161776534</v>
      </c>
      <c r="D372">
        <v>807.61899999999969</v>
      </c>
      <c r="E372" s="160">
        <v>-2218.1529978641206</v>
      </c>
      <c r="F372">
        <v>807.61899999999969</v>
      </c>
      <c r="G372" s="160">
        <v>21.701332135879511</v>
      </c>
      <c r="I372" s="160"/>
      <c r="K372" s="160"/>
      <c r="L372">
        <v>807.51899999999966</v>
      </c>
      <c r="M372" s="160">
        <v>176.07688658190398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>
      <c r="B373" s="130">
        <v>807.81899999999973</v>
      </c>
      <c r="C373" s="160">
        <v>32.548270312008945</v>
      </c>
      <c r="D373">
        <v>807.81899999999973</v>
      </c>
      <c r="E373" s="160">
        <v>-2218.3525298748946</v>
      </c>
      <c r="F373">
        <v>807.81899999999973</v>
      </c>
      <c r="G373" s="160">
        <v>21.501800125105547</v>
      </c>
      <c r="I373" s="160"/>
      <c r="K373" s="160"/>
      <c r="L373">
        <v>807.71899999999971</v>
      </c>
      <c r="M373" s="160">
        <v>176.04414762454377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>
      <c r="B374" s="130">
        <v>808.01899999999978</v>
      </c>
      <c r="C374" s="160">
        <v>32.562183216604154</v>
      </c>
      <c r="D374">
        <v>808.01899999999978</v>
      </c>
      <c r="E374" s="160">
        <v>-2218.5520538342662</v>
      </c>
      <c r="F374">
        <v>808.01899999999978</v>
      </c>
      <c r="G374" s="160">
        <v>21.302276165733929</v>
      </c>
      <c r="I374" s="160"/>
      <c r="K374" s="160"/>
      <c r="L374">
        <v>807.91899999999976</v>
      </c>
      <c r="M374" s="160">
        <v>176.01119351094474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>
      <c r="B375" s="130">
        <v>808.21899999999982</v>
      </c>
      <c r="C375" s="160">
        <v>32.576211576991916</v>
      </c>
      <c r="D375">
        <v>808.21899999999982</v>
      </c>
      <c r="E375" s="160">
        <v>-2218.7515696265955</v>
      </c>
      <c r="F375">
        <v>808.21899999999982</v>
      </c>
      <c r="G375" s="160">
        <v>21.102760373404635</v>
      </c>
      <c r="I375" s="160"/>
      <c r="K375" s="160"/>
      <c r="L375">
        <v>808.1189999999998</v>
      </c>
      <c r="M375" s="160">
        <v>175.97803661608117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>
      <c r="B376" s="130">
        <v>808.41899999999987</v>
      </c>
      <c r="C376" s="160">
        <v>32.590356048056677</v>
      </c>
      <c r="D376">
        <v>808.41899999999987</v>
      </c>
      <c r="E376" s="160">
        <v>-2218.9510771383088</v>
      </c>
      <c r="F376">
        <v>808.41899999999987</v>
      </c>
      <c r="G376" s="160">
        <v>20.903252861691271</v>
      </c>
      <c r="I376" s="160"/>
      <c r="K376" s="160"/>
      <c r="L376">
        <v>808.31899999999985</v>
      </c>
      <c r="M376" s="160">
        <v>175.94469027108167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>
      <c r="B377" s="130">
        <v>808.61899999999991</v>
      </c>
      <c r="C377" s="160">
        <v>32.604617234671132</v>
      </c>
      <c r="D377">
        <v>808.61899999999991</v>
      </c>
      <c r="E377" s="160">
        <v>-2219.1505762582501</v>
      </c>
      <c r="F377">
        <v>808.61899999999991</v>
      </c>
      <c r="G377" s="160">
        <v>20.703753741750006</v>
      </c>
      <c r="I377" s="160"/>
      <c r="K377" s="160"/>
      <c r="L377">
        <v>808.51899999999989</v>
      </c>
      <c r="M377" s="160">
        <v>175.91116880434365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>
      <c r="B378" s="130">
        <v>808.81899999999996</v>
      </c>
      <c r="C378" s="160">
        <v>32.618995688084553</v>
      </c>
      <c r="D378">
        <v>808.81899999999996</v>
      </c>
      <c r="E378" s="160">
        <v>-2219.350066878053</v>
      </c>
      <c r="F378">
        <v>808.81899999999996</v>
      </c>
      <c r="G378" s="160">
        <v>20.504263121947133</v>
      </c>
      <c r="I378" s="160"/>
      <c r="K378" s="160"/>
      <c r="L378">
        <v>808.71899999999994</v>
      </c>
      <c r="M378" s="160">
        <v>175.87748758351273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>
      <c r="B379" s="130">
        <v>809.01900000000001</v>
      </c>
      <c r="C379" s="160">
        <v>32.633491902162611</v>
      </c>
      <c r="D379">
        <v>809.01900000000001</v>
      </c>
      <c r="E379" s="160">
        <v>-2219.5495488925353</v>
      </c>
      <c r="F379">
        <v>809.01900000000001</v>
      </c>
      <c r="G379" s="160">
        <v>20.304781107464805</v>
      </c>
      <c r="I379" s="160"/>
      <c r="K379" s="160"/>
      <c r="L379">
        <v>808.91899999999998</v>
      </c>
      <c r="M379" s="160">
        <v>175.84366305841141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>
      <c r="B380" s="130">
        <v>809.21900000000005</v>
      </c>
      <c r="C380" s="160">
        <v>32.648106309476184</v>
      </c>
      <c r="D380">
        <v>809.21900000000005</v>
      </c>
      <c r="E380" s="160">
        <v>-2219.749022200117</v>
      </c>
      <c r="F380">
        <v>809.21900000000005</v>
      </c>
      <c r="G380" s="160">
        <v>20.105307799883121</v>
      </c>
      <c r="I380" s="160"/>
      <c r="K380" s="160"/>
      <c r="L380">
        <v>809.11900000000003</v>
      </c>
      <c r="M380" s="160">
        <v>175.80971280472795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>
      <c r="B381" s="130">
        <v>809.4190000000001</v>
      </c>
      <c r="C381" s="160">
        <v>32.66283927723552</v>
      </c>
      <c r="D381">
        <v>809.4190000000001</v>
      </c>
      <c r="E381" s="160">
        <v>-2219.9484867032643</v>
      </c>
      <c r="F381">
        <v>809.4190000000001</v>
      </c>
      <c r="G381" s="160">
        <v>19.905843296735839</v>
      </c>
      <c r="I381" s="160"/>
      <c r="K381" s="160"/>
      <c r="L381">
        <v>809.31900000000007</v>
      </c>
      <c r="M381" s="160">
        <v>175.7756555688097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>
      <c r="B382" s="130">
        <v>809.61900000000014</v>
      </c>
      <c r="C382" s="160">
        <v>32.677691103064809</v>
      </c>
      <c r="D382">
        <v>809.61900000000014</v>
      </c>
      <c r="E382" s="160">
        <v>-2220.1479423089568</v>
      </c>
      <c r="F382">
        <v>809.61900000000014</v>
      </c>
      <c r="G382" s="160">
        <v>19.706387691043346</v>
      </c>
      <c r="I382" s="160"/>
      <c r="K382" s="160"/>
      <c r="L382">
        <v>809.51900000000012</v>
      </c>
      <c r="M382" s="160">
        <v>175.74151131379861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>
      <c r="B383" s="130">
        <v>809.81900000000019</v>
      </c>
      <c r="C383" s="160">
        <v>32.692662010613212</v>
      </c>
      <c r="D383">
        <v>809.81900000000019</v>
      </c>
      <c r="E383" s="160">
        <v>-2220.3473889291827</v>
      </c>
      <c r="F383">
        <v>809.81900000000019</v>
      </c>
      <c r="G383" s="160">
        <v>19.506941070817447</v>
      </c>
      <c r="I383" s="160"/>
      <c r="K383" s="160"/>
      <c r="L383">
        <v>809.71900000000016</v>
      </c>
      <c r="M383" s="160">
        <v>175.70730126701963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>
      <c r="B384" s="130">
        <v>810.01900000000023</v>
      </c>
      <c r="C384" s="160">
        <v>32.707752145027989</v>
      </c>
      <c r="D384">
        <v>810.01900000000023</v>
      </c>
      <c r="E384" s="160">
        <v>-2220.5468264814581</v>
      </c>
      <c r="F384">
        <v>810.01900000000023</v>
      </c>
      <c r="G384" s="160">
        <v>19.307503518542035</v>
      </c>
      <c r="I384" s="160"/>
      <c r="K384" s="160"/>
      <c r="L384">
        <v>809.91900000000021</v>
      </c>
      <c r="M384" s="160">
        <v>175.67304795996313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>
      <c r="B385" s="130">
        <v>810.21900000000028</v>
      </c>
      <c r="C385" s="160">
        <v>32.722961568202791</v>
      </c>
      <c r="D385">
        <v>810.21900000000028</v>
      </c>
      <c r="E385" s="160">
        <v>-2220.746254889375</v>
      </c>
      <c r="F385">
        <v>810.21900000000028</v>
      </c>
      <c r="G385" s="160">
        <v>19.108075110625123</v>
      </c>
      <c r="I385" s="160"/>
      <c r="K385" s="160"/>
      <c r="L385">
        <v>810.11900000000026</v>
      </c>
      <c r="M385" s="160">
        <v>175.63877529320979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>
      <c r="B386" s="130">
        <v>810.41900000000032</v>
      </c>
      <c r="C386" s="160">
        <v>32.738290253954325</v>
      </c>
      <c r="D386">
        <v>810.41900000000032</v>
      </c>
      <c r="E386" s="160">
        <v>-2220.9456740831752</v>
      </c>
      <c r="F386">
        <v>810.41900000000032</v>
      </c>
      <c r="G386" s="160">
        <v>18.908655916824955</v>
      </c>
      <c r="I386" s="160"/>
      <c r="K386" s="160"/>
      <c r="L386">
        <v>810.3190000000003</v>
      </c>
      <c r="M386" s="160">
        <v>175.60450855753652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>
      <c r="B387" s="130">
        <v>810.61900000000037</v>
      </c>
      <c r="C387" s="160">
        <v>32.753738082922148</v>
      </c>
      <c r="D387">
        <v>810.61900000000037</v>
      </c>
      <c r="E387" s="160">
        <v>-2221.1450840003572</v>
      </c>
      <c r="F387">
        <v>810.61900000000037</v>
      </c>
      <c r="G387" s="160">
        <v>18.709245999642917</v>
      </c>
      <c r="I387" s="160"/>
      <c r="K387" s="160"/>
      <c r="L387">
        <v>810.51900000000035</v>
      </c>
      <c r="M387" s="160">
        <v>175.57027451381808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>
      <c r="B388" s="130">
        <v>810.81900000000041</v>
      </c>
      <c r="C388" s="160">
        <v>32.769304837356927</v>
      </c>
      <c r="D388">
        <v>810.81900000000041</v>
      </c>
      <c r="E388" s="160">
        <v>-2221.3444845863046</v>
      </c>
      <c r="F388">
        <v>810.81900000000041</v>
      </c>
      <c r="G388" s="160">
        <v>18.50984541369553</v>
      </c>
      <c r="I388" s="160"/>
      <c r="K388" s="160"/>
      <c r="L388">
        <v>810.71900000000039</v>
      </c>
      <c r="M388" s="160">
        <v>175.5361014254398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>
      <c r="B389" s="130">
        <v>811.01900000000046</v>
      </c>
      <c r="C389" s="160">
        <v>32.784990195727346</v>
      </c>
      <c r="D389">
        <v>811.01900000000046</v>
      </c>
      <c r="E389" s="160">
        <v>-2221.5438757949482</v>
      </c>
      <c r="F389">
        <v>811.01900000000046</v>
      </c>
      <c r="G389" s="160">
        <v>18.310454205051883</v>
      </c>
      <c r="I389" s="160"/>
      <c r="K389" s="160"/>
      <c r="L389">
        <v>810.91900000000044</v>
      </c>
      <c r="M389" s="160">
        <v>175.50201911096255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>
      <c r="B390" s="130">
        <v>811.21900000000051</v>
      </c>
      <c r="C390" s="160">
        <v>32.800793727139393</v>
      </c>
      <c r="D390">
        <v>811.21900000000051</v>
      </c>
      <c r="E390" s="160">
        <v>-2221.7432575894522</v>
      </c>
      <c r="F390">
        <v>811.21900000000051</v>
      </c>
      <c r="G390" s="160">
        <v>18.111072410547877</v>
      </c>
      <c r="I390" s="160"/>
      <c r="K390" s="160"/>
      <c r="L390">
        <v>811.11900000000048</v>
      </c>
      <c r="M390" s="160">
        <v>175.46805899832876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>
      <c r="B391" s="130">
        <v>811.41900000000055</v>
      </c>
      <c r="C391" s="160">
        <v>32.816714885587636</v>
      </c>
      <c r="D391">
        <v>811.41900000000055</v>
      </c>
      <c r="E391" s="160">
        <v>-2221.9426299429365</v>
      </c>
      <c r="F391">
        <v>811.41900000000055</v>
      </c>
      <c r="G391" s="160">
        <v>17.911700057063626</v>
      </c>
      <c r="I391" s="160"/>
      <c r="K391" s="160"/>
      <c r="L391">
        <v>811.31900000000053</v>
      </c>
      <c r="M391" s="160">
        <v>175.4342541737839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>
      <c r="B392" s="130">
        <v>811.6190000000006</v>
      </c>
      <c r="C392" s="160">
        <v>32.832753004021235</v>
      </c>
      <c r="D392">
        <v>811.6190000000006</v>
      </c>
      <c r="E392" s="160">
        <v>-2222.1419928392215</v>
      </c>
      <c r="F392">
        <v>811.6190000000006</v>
      </c>
      <c r="G392" s="160">
        <v>17.712337160778588</v>
      </c>
      <c r="I392" s="160"/>
      <c r="K392" s="160"/>
      <c r="L392">
        <v>811.51900000000057</v>
      </c>
      <c r="M392" s="160">
        <v>175.40063943540505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>
      <c r="B393" s="130">
        <v>811.81900000000064</v>
      </c>
      <c r="C393" s="160">
        <v>32.84890728823455</v>
      </c>
      <c r="D393">
        <v>811.81900000000064</v>
      </c>
      <c r="E393" s="160">
        <v>-2222.341346273603</v>
      </c>
      <c r="F393">
        <v>811.81900000000064</v>
      </c>
      <c r="G393" s="160">
        <v>17.512983726397124</v>
      </c>
      <c r="I393" s="160"/>
      <c r="K393" s="160"/>
      <c r="L393">
        <v>811.71900000000062</v>
      </c>
      <c r="M393" s="160">
        <v>175.36725134397901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>
      <c r="B394" s="130">
        <v>812.01900000000069</v>
      </c>
      <c r="C394" s="160">
        <v>32.865176810575768</v>
      </c>
      <c r="D394">
        <v>812.01900000000069</v>
      </c>
      <c r="E394" s="160">
        <v>-2222.5406902536547</v>
      </c>
      <c r="F394">
        <v>812.01900000000069</v>
      </c>
      <c r="G394" s="160">
        <v>17.313639746345416</v>
      </c>
      <c r="I394" s="160"/>
      <c r="K394" s="160"/>
      <c r="L394">
        <v>811.91900000000066</v>
      </c>
      <c r="M394" s="160">
        <v>175.334128275746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>
      <c r="B395" s="130">
        <v>812.21900000000073</v>
      </c>
      <c r="C395" s="160">
        <v>32.881560503475356</v>
      </c>
      <c r="D395">
        <v>812.21900000000073</v>
      </c>
      <c r="E395" s="160">
        <v>-2222.7400248000617</v>
      </c>
      <c r="F395">
        <v>812.21900000000073</v>
      </c>
      <c r="G395" s="160">
        <v>17.114305199938372</v>
      </c>
      <c r="I395" s="160"/>
      <c r="K395" s="160"/>
      <c r="L395">
        <v>812.11900000000071</v>
      </c>
      <c r="M395" s="160">
        <v>175.30131047466583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>
      <c r="B396" s="130">
        <v>812.41900000000078</v>
      </c>
      <c r="C396" s="160">
        <v>32.898057152793868</v>
      </c>
      <c r="D396">
        <v>812.41900000000078</v>
      </c>
      <c r="E396" s="160">
        <v>-2222.9393499474763</v>
      </c>
      <c r="F396">
        <v>812.41900000000078</v>
      </c>
      <c r="G396" s="160">
        <v>16.914980052523788</v>
      </c>
      <c r="I396" s="160"/>
      <c r="K396" s="160"/>
      <c r="L396">
        <v>812.31900000000076</v>
      </c>
      <c r="M396" s="160">
        <v>175.26884010464724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>
      <c r="B397" s="130">
        <v>812.61900000000082</v>
      </c>
      <c r="C397" s="160">
        <v>32.914665390989661</v>
      </c>
      <c r="D397">
        <v>812.61900000000082</v>
      </c>
      <c r="E397" s="160">
        <v>-2223.1386657454032</v>
      </c>
      <c r="F397">
        <v>812.61900000000082</v>
      </c>
      <c r="G397" s="160">
        <v>16.715664254596959</v>
      </c>
      <c r="I397" s="160"/>
      <c r="K397" s="160"/>
      <c r="L397">
        <v>812.5190000000008</v>
      </c>
      <c r="M397" s="160">
        <v>175.23676130178654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>
      <c r="B398" s="130">
        <v>812.81900000000087</v>
      </c>
      <c r="C398" s="160">
        <v>32.931383690107303</v>
      </c>
      <c r="D398">
        <v>812.81900000000087</v>
      </c>
      <c r="E398" s="160">
        <v>-2223.3379722591062</v>
      </c>
      <c r="F398">
        <v>812.81900000000087</v>
      </c>
      <c r="G398" s="160">
        <v>16.516357740893909</v>
      </c>
      <c r="I398" s="160"/>
      <c r="K398" s="160"/>
      <c r="L398">
        <v>812.71900000000085</v>
      </c>
      <c r="M398" s="160">
        <v>175.20512022618786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>
      <c r="B399" s="130">
        <v>813.01900000000091</v>
      </c>
      <c r="C399" s="160">
        <v>32.948210354587673</v>
      </c>
      <c r="D399">
        <v>813.01900000000091</v>
      </c>
      <c r="E399" s="160">
        <v>-2223.5372695705414</v>
      </c>
      <c r="F399">
        <v>813.01900000000091</v>
      </c>
      <c r="G399" s="160">
        <v>16.317060429458706</v>
      </c>
      <c r="I399" s="160"/>
      <c r="K399" s="160"/>
      <c r="L399">
        <v>812.91900000000089</v>
      </c>
      <c r="M399" s="160">
        <v>175.17396511360437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>
      <c r="B400" s="130">
        <v>813.21900000000096</v>
      </c>
      <c r="C400" s="160">
        <v>32.96514351390163</v>
      </c>
      <c r="D400">
        <v>813.21900000000096</v>
      </c>
      <c r="E400" s="160">
        <v>-2223.7365577793075</v>
      </c>
      <c r="F400">
        <v>813.21900000000096</v>
      </c>
      <c r="G400" s="160">
        <v>16.117772220692586</v>
      </c>
      <c r="I400" s="160"/>
      <c r="K400" s="160"/>
      <c r="L400">
        <v>813.11900000000094</v>
      </c>
      <c r="M400" s="160">
        <v>175.14334632635976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>
      <c r="B401" s="130">
        <v>813.41900000000101</v>
      </c>
      <c r="C401" s="160">
        <v>32.982181115009034</v>
      </c>
      <c r="D401">
        <v>813.41900000000101</v>
      </c>
      <c r="E401" s="160">
        <v>-2223.9358370036216</v>
      </c>
      <c r="F401">
        <v>813.41900000000101</v>
      </c>
      <c r="G401" s="160">
        <v>15.918492996378518</v>
      </c>
      <c r="I401" s="160"/>
      <c r="K401" s="160"/>
      <c r="L401">
        <v>813.31900000000098</v>
      </c>
      <c r="M401" s="160">
        <v>175.1133164039106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>
      <c r="B402" s="130">
        <v>813.61900000000105</v>
      </c>
      <c r="C402" s="160">
        <v>32.999320914645679</v>
      </c>
      <c r="D402">
        <v>813.61900000000105</v>
      </c>
      <c r="E402" s="160">
        <v>-2224.1351073813062</v>
      </c>
      <c r="F402">
        <v>813.61900000000105</v>
      </c>
      <c r="G402" s="160">
        <v>15.719222618693948</v>
      </c>
      <c r="I402" s="160"/>
      <c r="K402" s="160"/>
      <c r="L402">
        <v>813.51900000000103</v>
      </c>
      <c r="M402" s="160">
        <v>175.08393011236197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>
      <c r="B403" s="130">
        <v>813.8190000000011</v>
      </c>
      <c r="C403" s="160">
        <v>33.01656047144121</v>
      </c>
      <c r="D403">
        <v>813.8190000000011</v>
      </c>
      <c r="E403" s="160">
        <v>-2224.334369070792</v>
      </c>
      <c r="F403">
        <v>813.8190000000011</v>
      </c>
      <c r="G403" s="160">
        <v>15.519960929208082</v>
      </c>
      <c r="I403" s="160"/>
      <c r="K403" s="160"/>
      <c r="L403">
        <v>813.71900000000107</v>
      </c>
      <c r="M403" s="160">
        <v>175.05524449319046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>
      <c r="B404" s="130">
        <v>814.01900000000114</v>
      </c>
      <c r="C404" s="160">
        <v>33.033897137871492</v>
      </c>
      <c r="D404">
        <v>814.01900000000114</v>
      </c>
      <c r="E404" s="160">
        <v>-2224.533622252135</v>
      </c>
      <c r="F404">
        <v>814.01900000000114</v>
      </c>
      <c r="G404" s="160">
        <v>15.320707747865072</v>
      </c>
      <c r="I404" s="160"/>
      <c r="K404" s="160"/>
      <c r="L404">
        <v>813.91900000000112</v>
      </c>
      <c r="M404" s="160">
        <v>175.02731891093265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>
      <c r="B405" s="130">
        <v>814.21900000000119</v>
      </c>
      <c r="C405" s="160">
        <v>33.051328052049357</v>
      </c>
      <c r="D405">
        <v>814.21900000000119</v>
      </c>
      <c r="E405" s="160">
        <v>-2224.7328671280397</v>
      </c>
      <c r="F405">
        <v>814.21900000000119</v>
      </c>
      <c r="G405" s="160">
        <v>15.121462871960375</v>
      </c>
      <c r="I405" s="160"/>
      <c r="K405" s="160"/>
      <c r="L405">
        <v>814.11900000000117</v>
      </c>
      <c r="M405" s="160">
        <v>175.00021509956704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>
      <c r="B406" s="130">
        <v>814.41900000000123</v>
      </c>
      <c r="C406" s="160">
        <v>33.068850129358538</v>
      </c>
      <c r="D406">
        <v>814.41900000000123</v>
      </c>
      <c r="E406" s="160">
        <v>-2224.9321039248839</v>
      </c>
      <c r="F406">
        <v>814.41900000000123</v>
      </c>
      <c r="G406" s="160">
        <v>14.922226075116214</v>
      </c>
      <c r="I406" s="160"/>
      <c r="K406" s="160"/>
      <c r="L406">
        <v>814.31900000000121</v>
      </c>
      <c r="M406" s="160">
        <v>174.97399720736064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>
      <c r="B407" s="130">
        <v>814.61900000000128</v>
      </c>
      <c r="C407" s="160">
        <v>33.086460053935888</v>
      </c>
      <c r="D407">
        <v>814.61900000000128</v>
      </c>
      <c r="E407" s="160">
        <v>-2225.1313328937499</v>
      </c>
      <c r="F407">
        <v>814.61900000000128</v>
      </c>
      <c r="G407" s="160">
        <v>14.722997106250205</v>
      </c>
      <c r="I407" s="160"/>
      <c r="K407" s="160"/>
      <c r="L407">
        <v>814.51900000000126</v>
      </c>
      <c r="M407" s="160">
        <v>174.94873184039432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>
      <c r="B408" s="130">
        <v>814.81900000000132</v>
      </c>
      <c r="C408" s="160">
        <v>33.10415427000769</v>
      </c>
      <c r="D408">
        <v>814.81900000000132</v>
      </c>
      <c r="E408" s="160">
        <v>-2225.3305543114402</v>
      </c>
      <c r="F408">
        <v>814.81900000000132</v>
      </c>
      <c r="G408" s="160">
        <v>14.523775688559908</v>
      </c>
      <c r="I408" s="160"/>
      <c r="K408" s="160"/>
      <c r="L408">
        <v>814.7190000000013</v>
      </c>
      <c r="M408" s="160">
        <v>174.92448810384579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>
      <c r="B409" s="130">
        <v>815.01900000000137</v>
      </c>
      <c r="C409" s="160">
        <v>33.121928973086497</v>
      </c>
      <c r="D409">
        <v>815.01900000000137</v>
      </c>
      <c r="E409" s="160">
        <v>-2225.5297684814964</v>
      </c>
      <c r="F409">
        <v>815.01900000000137</v>
      </c>
      <c r="G409" s="160">
        <v>14.324561518503742</v>
      </c>
      <c r="I409" s="160"/>
      <c r="K409" s="160"/>
      <c r="L409">
        <v>814.91900000000135</v>
      </c>
      <c r="M409" s="160">
        <v>174.90133764190819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>
      <c r="B410" s="130">
        <v>815.21900000000142</v>
      </c>
      <c r="C410" s="160">
        <v>33.139780101035853</v>
      </c>
      <c r="D410">
        <v>815.21900000000142</v>
      </c>
      <c r="E410" s="160">
        <v>-2225.7289757351905</v>
      </c>
      <c r="F410">
        <v>815.21900000000142</v>
      </c>
      <c r="G410" s="160">
        <v>14.12535426480963</v>
      </c>
      <c r="I410" s="160"/>
      <c r="K410" s="160"/>
      <c r="L410">
        <v>815.11900000000139</v>
      </c>
      <c r="M410" s="160">
        <v>174.87935467479701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>
      <c r="B411" s="130">
        <v>815.41900000000146</v>
      </c>
      <c r="C411" s="160">
        <v>33.157703325010367</v>
      </c>
      <c r="D411">
        <v>815.41900000000146</v>
      </c>
      <c r="E411" s="160">
        <v>-2225.9281764325037</v>
      </c>
      <c r="F411">
        <v>815.41900000000146</v>
      </c>
      <c r="G411" s="160">
        <v>13.926153567496385</v>
      </c>
      <c r="I411" s="160"/>
      <c r="K411" s="160"/>
      <c r="L411">
        <v>815.31900000000144</v>
      </c>
      <c r="M411" s="160">
        <v>174.85861603398749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>
      <c r="B412" s="130">
        <v>815.61900000000151</v>
      </c>
      <c r="C412" s="160">
        <v>33.175694040280028</v>
      </c>
      <c r="D412">
        <v>815.61900000000151</v>
      </c>
      <c r="E412" s="160">
        <v>-2226.1273709630686</v>
      </c>
      <c r="F412">
        <v>815.61900000000151</v>
      </c>
      <c r="G412" s="160">
        <v>13.726959036931476</v>
      </c>
      <c r="I412" s="160"/>
      <c r="K412" s="160"/>
      <c r="L412">
        <v>815.51900000000148</v>
      </c>
      <c r="M412" s="160">
        <v>174.83920119428544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>
      <c r="B413" s="130">
        <v>815.81900000000155</v>
      </c>
      <c r="C413" s="160">
        <v>33.193747356947874</v>
      </c>
      <c r="D413">
        <v>815.81900000000155</v>
      </c>
      <c r="E413" s="160">
        <v>-2226.3265597470804</v>
      </c>
      <c r="F413">
        <v>815.81900000000155</v>
      </c>
      <c r="G413" s="160">
        <v>13.527770252919709</v>
      </c>
      <c r="I413" s="160"/>
      <c r="K413" s="160"/>
      <c r="L413">
        <v>815.71900000000153</v>
      </c>
      <c r="M413" s="160">
        <v>174.82119230342013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>
      <c r="B414" s="130">
        <v>816.0190000000016</v>
      </c>
      <c r="C414" s="160">
        <v>33.211858090571184</v>
      </c>
      <c r="D414">
        <v>816.0190000000016</v>
      </c>
      <c r="E414" s="160">
        <v>-2226.5257432361627</v>
      </c>
      <c r="F414">
        <v>816.0190000000016</v>
      </c>
      <c r="G414" s="160">
        <v>13.328586763837393</v>
      </c>
      <c r="I414" s="160"/>
      <c r="K414" s="160"/>
      <c r="L414">
        <v>815.91900000000157</v>
      </c>
      <c r="M414" s="160">
        <v>174.80467420833233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>
      <c r="B415" s="130">
        <v>816.21900000000164</v>
      </c>
      <c r="C415" s="160">
        <v>33.230020752697065</v>
      </c>
      <c r="D415">
        <v>816.21900000000164</v>
      </c>
      <c r="E415" s="160">
        <v>-2226.72492191418</v>
      </c>
      <c r="F415">
        <v>816.21900000000164</v>
      </c>
      <c r="G415" s="160">
        <v>13.12940808582016</v>
      </c>
      <c r="I415" s="160"/>
      <c r="K415" s="160"/>
      <c r="L415">
        <v>816.11900000000162</v>
      </c>
      <c r="M415" s="160">
        <v>174.78973447813178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>
      <c r="B416" s="130">
        <v>816.41900000000169</v>
      </c>
      <c r="C416" s="160">
        <v>33.2482295413242</v>
      </c>
      <c r="D416">
        <v>816.41900000000169</v>
      </c>
      <c r="E416" s="160">
        <v>-2226.9240962979889</v>
      </c>
      <c r="F416">
        <v>816.41900000000169</v>
      </c>
      <c r="G416" s="160">
        <v>12.930233702011265</v>
      </c>
      <c r="I416" s="160"/>
      <c r="K416" s="160"/>
      <c r="L416">
        <v>816.31900000000167</v>
      </c>
      <c r="M416" s="160">
        <v>174.77646342349823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>
      <c r="B417" s="130">
        <v>816.61900000000173</v>
      </c>
      <c r="C417" s="160">
        <v>33.266478331303304</v>
      </c>
      <c r="D417">
        <v>816.61900000000173</v>
      </c>
      <c r="E417" s="160">
        <v>-2227.1232669381188</v>
      </c>
      <c r="F417">
        <v>816.61900000000173</v>
      </c>
      <c r="G417" s="160">
        <v>12.731063061881287</v>
      </c>
      <c r="I417" s="160"/>
      <c r="K417" s="160"/>
      <c r="L417">
        <v>816.51900000000171</v>
      </c>
      <c r="M417" s="160">
        <v>174.76495411219858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>
      <c r="B418" s="130">
        <v>816.81900000000178</v>
      </c>
      <c r="C418" s="160">
        <v>33.284760664689834</v>
      </c>
      <c r="D418">
        <v>816.81900000000178</v>
      </c>
      <c r="E418" s="160">
        <v>-2227.3224344193691</v>
      </c>
      <c r="F418">
        <v>816.81900000000178</v>
      </c>
      <c r="G418" s="160">
        <v>12.531895580631044</v>
      </c>
      <c r="I418" s="160"/>
      <c r="K418" s="160"/>
      <c r="L418">
        <v>816.71900000000176</v>
      </c>
      <c r="M418" s="160">
        <v>174.75530238042137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>
      <c r="B419" s="130">
        <v>817.01900000000182</v>
      </c>
      <c r="C419" s="160">
        <v>33.30306974106341</v>
      </c>
      <c r="D419">
        <v>817.01900000000182</v>
      </c>
      <c r="E419" s="160">
        <v>-2227.5215993613115</v>
      </c>
      <c r="F419">
        <v>817.01900000000182</v>
      </c>
      <c r="G419" s="160">
        <v>12.332730638688645</v>
      </c>
      <c r="I419" s="160"/>
      <c r="K419" s="160"/>
      <c r="L419">
        <v>816.9190000000018</v>
      </c>
      <c r="M419" s="160">
        <v>174.74760683968682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>
      <c r="B420" s="130">
        <v>817.21900000000187</v>
      </c>
      <c r="C420" s="160">
        <v>33.321398407829143</v>
      </c>
      <c r="D420">
        <v>817.21900000000187</v>
      </c>
      <c r="E420" s="160">
        <v>-2227.7207624186913</v>
      </c>
      <c r="F420">
        <v>817.21900000000187</v>
      </c>
      <c r="G420" s="160">
        <v>12.133567581308853</v>
      </c>
      <c r="I420" s="160"/>
      <c r="K420" s="160"/>
      <c r="L420">
        <v>817.11900000000185</v>
      </c>
      <c r="M420" s="160">
        <v>174.74196887920783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>
      <c r="B421" s="130">
        <v>817.41900000000192</v>
      </c>
      <c r="C421" s="160">
        <v>33.339739150517559</v>
      </c>
      <c r="D421">
        <v>817.41900000000192</v>
      </c>
      <c r="E421" s="160">
        <v>-2227.9199242817076</v>
      </c>
      <c r="F421">
        <v>817.41900000000192</v>
      </c>
      <c r="G421" s="160">
        <v>11.93440571829251</v>
      </c>
      <c r="I421" s="160"/>
      <c r="K421" s="160"/>
      <c r="L421">
        <v>817.31900000000189</v>
      </c>
      <c r="M421" s="160">
        <v>174.73849266302781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>
      <c r="B422" s="130">
        <v>817.61900000000196</v>
      </c>
      <c r="C422" s="160">
        <v>33.358084083100088</v>
      </c>
      <c r="D422">
        <v>817.61900000000196</v>
      </c>
      <c r="E422" s="160">
        <v>-2228.1190856761614</v>
      </c>
      <c r="F422">
        <v>817.61900000000196</v>
      </c>
      <c r="G422" s="160">
        <v>11.735244323838742</v>
      </c>
      <c r="I422" s="160"/>
      <c r="K422" s="160"/>
      <c r="L422">
        <v>817.51900000000194</v>
      </c>
      <c r="M422" s="160">
        <v>174.73728512200091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>
      <c r="B423" s="130">
        <v>817.81900000000201</v>
      </c>
      <c r="C423" s="160">
        <v>33.376424938338957</v>
      </c>
      <c r="D423">
        <v>817.81900000000201</v>
      </c>
      <c r="E423" s="160">
        <v>-2228.318247363462</v>
      </c>
      <c r="F423">
        <v>817.81900000000201</v>
      </c>
      <c r="G423" s="160">
        <v>11.53608263653814</v>
      </c>
      <c r="I423" s="160"/>
      <c r="K423" s="160"/>
      <c r="L423">
        <v>817.71900000000198</v>
      </c>
      <c r="M423" s="160">
        <v>174.73845594021054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>
      <c r="B424" s="130">
        <v>818.01900000000205</v>
      </c>
      <c r="C424" s="160">
        <v>33.394753058190659</v>
      </c>
      <c r="D424">
        <v>818.01900000000205</v>
      </c>
      <c r="E424" s="160">
        <v>-2228.5174101404709</v>
      </c>
      <c r="F424">
        <v>818.01900000000205</v>
      </c>
      <c r="G424" s="160">
        <v>11.336919859529189</v>
      </c>
      <c r="I424" s="160"/>
      <c r="K424" s="160"/>
      <c r="L424">
        <v>817.91900000000203</v>
      </c>
      <c r="M424" s="160">
        <v>174.742117535375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>
      <c r="B425" s="130">
        <v>818.2190000000021</v>
      </c>
      <c r="C425" s="160">
        <v>33.413059384283805</v>
      </c>
      <c r="D425">
        <v>818.2190000000021</v>
      </c>
      <c r="E425" s="160">
        <v>-2228.7165748391708</v>
      </c>
      <c r="F425">
        <v>818.2190000000021</v>
      </c>
      <c r="G425" s="160">
        <v>11.137755160829329</v>
      </c>
      <c r="I425" s="160"/>
      <c r="K425" s="160"/>
      <c r="L425">
        <v>818.11900000000207</v>
      </c>
      <c r="M425" s="160">
        <v>174.74838503308581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>
      <c r="B426" s="130">
        <v>818.41900000000214</v>
      </c>
      <c r="C426" s="160">
        <v>33.431334448492976</v>
      </c>
      <c r="D426">
        <v>818.41900000000214</v>
      </c>
      <c r="E426" s="160">
        <v>-2228.9157423261445</v>
      </c>
      <c r="F426">
        <v>818.41900000000214</v>
      </c>
      <c r="G426" s="160">
        <v>10.938587673855636</v>
      </c>
      <c r="I426" s="160"/>
      <c r="K426" s="160"/>
      <c r="L426">
        <v>818.31900000000212</v>
      </c>
      <c r="M426" s="160">
        <v>174.75737623456388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>
      <c r="B427" s="130">
        <v>818.61900000000219</v>
      </c>
      <c r="C427" s="160">
        <v>33.449568363631698</v>
      </c>
      <c r="D427">
        <v>818.61900000000219</v>
      </c>
      <c r="E427" s="160">
        <v>-2229.1149135018422</v>
      </c>
      <c r="F427">
        <v>818.61900000000219</v>
      </c>
      <c r="G427" s="160">
        <v>10.73941649815788</v>
      </c>
      <c r="I427" s="160"/>
      <c r="K427" s="160"/>
      <c r="L427">
        <v>818.51900000000217</v>
      </c>
      <c r="M427" s="160">
        <v>174.76921157733472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>
      <c r="B428" s="130">
        <v>818.81900000000223</v>
      </c>
      <c r="C428" s="160">
        <v>33.467750814288308</v>
      </c>
      <c r="D428">
        <v>818.81900000000223</v>
      </c>
      <c r="E428" s="160">
        <v>-2229.3140892996271</v>
      </c>
      <c r="F428">
        <v>818.81900000000223</v>
      </c>
      <c r="G428" s="160">
        <v>10.540240700373033</v>
      </c>
      <c r="I428" s="160"/>
      <c r="K428" s="160"/>
      <c r="L428">
        <v>818.71900000000221</v>
      </c>
      <c r="M428" s="160">
        <v>174.78401408902639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>
      <c r="B429" s="130">
        <v>819.01900000000228</v>
      </c>
      <c r="C429" s="160">
        <v>33.48587104783055</v>
      </c>
      <c r="D429">
        <v>819.01900000000228</v>
      </c>
      <c r="E429" s="160">
        <v>-2229.5132706845761</v>
      </c>
      <c r="F429">
        <v>819.01900000000228</v>
      </c>
      <c r="G429" s="160">
        <v>10.34105931542399</v>
      </c>
      <c r="I429" s="160"/>
      <c r="K429" s="160"/>
      <c r="L429">
        <v>818.91900000000226</v>
      </c>
      <c r="M429" s="160">
        <v>174.80190933336871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>
      <c r="B430" s="130">
        <v>819.21900000000232</v>
      </c>
      <c r="C430" s="160">
        <v>33.503917865605025</v>
      </c>
      <c r="D430">
        <v>819.21900000000232</v>
      </c>
      <c r="E430" s="160">
        <v>-2229.7124586520176</v>
      </c>
      <c r="F430">
        <v>819.21900000000232</v>
      </c>
      <c r="G430" s="160">
        <v>10.141871347982487</v>
      </c>
      <c r="I430" s="160"/>
      <c r="K430" s="160"/>
      <c r="L430">
        <v>819.1190000000023</v>
      </c>
      <c r="M430" s="160">
        <v>174.82302534843376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>
      <c r="B431" s="130">
        <v>819.41900000000237</v>
      </c>
      <c r="C431" s="160">
        <v>33.521879614359875</v>
      </c>
      <c r="D431">
        <v>819.41900000000237</v>
      </c>
      <c r="E431" s="160">
        <v>-2229.9116542257912</v>
      </c>
      <c r="F431">
        <v>819.41900000000237</v>
      </c>
      <c r="G431" s="160">
        <v>9.9426757742089649</v>
      </c>
      <c r="I431" s="160"/>
      <c r="K431" s="160"/>
      <c r="L431">
        <v>819.31900000000235</v>
      </c>
      <c r="M431" s="160">
        <v>174.84749257670612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>
      <c r="B432" s="130">
        <v>819.61900000000242</v>
      </c>
      <c r="C432" s="160">
        <v>33.53974417791953</v>
      </c>
      <c r="D432">
        <v>819.61900000000242</v>
      </c>
      <c r="E432" s="160">
        <v>-2230.1108584561998</v>
      </c>
      <c r="F432">
        <v>819.61900000000242</v>
      </c>
      <c r="G432" s="160">
        <v>9.7434715438002968</v>
      </c>
      <c r="I432" s="160"/>
      <c r="K432" s="160"/>
      <c r="L432">
        <v>819.51900000000239</v>
      </c>
      <c r="M432" s="160">
        <v>174.87544378642639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>
      <c r="B433" s="130">
        <v>819.81900000000246</v>
      </c>
      <c r="C433" s="160">
        <v>33.557498969142451</v>
      </c>
      <c r="D433">
        <v>819.81900000000246</v>
      </c>
      <c r="E433" s="160">
        <v>-2230.3100724176529</v>
      </c>
      <c r="F433">
        <v>819.81900000000246</v>
      </c>
      <c r="G433" s="160">
        <v>9.5442575823471998</v>
      </c>
      <c r="I433" s="160"/>
      <c r="K433" s="160"/>
      <c r="L433">
        <v>819.71900000000244</v>
      </c>
      <c r="M433" s="160">
        <v>174.90701398443272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>
      <c r="B434" s="130">
        <v>820.01900000000251</v>
      </c>
      <c r="C434" s="160">
        <v>33.575113351991121</v>
      </c>
      <c r="D434">
        <v>820.01900000000251</v>
      </c>
      <c r="E434" s="160">
        <v>-2230.5092987601656</v>
      </c>
      <c r="F434">
        <v>820.01900000000251</v>
      </c>
      <c r="G434" s="160">
        <v>9.3450312398344977</v>
      </c>
      <c r="I434" s="160"/>
      <c r="K434" s="160"/>
      <c r="L434">
        <v>819.91900000000248</v>
      </c>
      <c r="M434" s="160">
        <v>174.9473933772656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>
      <c r="B435" s="130">
        <v>820.21900000000255</v>
      </c>
      <c r="C435" s="160">
        <v>33.592501536615728</v>
      </c>
      <c r="D435">
        <v>820.21900000000255</v>
      </c>
      <c r="E435" s="160">
        <v>-2230.7085448893686</v>
      </c>
      <c r="F435">
        <v>820.21900000000255</v>
      </c>
      <c r="G435" s="160">
        <v>9.1457851106315502</v>
      </c>
      <c r="I435" s="160"/>
      <c r="K435" s="160"/>
      <c r="L435">
        <v>820.11900000000253</v>
      </c>
      <c r="M435" s="160">
        <v>175.01244071999238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>
      <c r="B436" s="130">
        <v>820.4190000000026</v>
      </c>
      <c r="C436" s="160">
        <v>33.609585082054046</v>
      </c>
      <c r="D436">
        <v>820.4190000000026</v>
      </c>
      <c r="E436" s="160">
        <v>-2230.9078172866571</v>
      </c>
      <c r="F436">
        <v>820.4190000000026</v>
      </c>
      <c r="G436" s="160">
        <v>8.9465127133430542</v>
      </c>
      <c r="I436" s="160"/>
      <c r="K436" s="160"/>
      <c r="L436">
        <v>820.31900000000257</v>
      </c>
      <c r="M436" s="160">
        <v>175.10003578143576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>
      <c r="B437" s="130">
        <v>820.61900000000264</v>
      </c>
      <c r="C437" s="160">
        <v>33.626272242273501</v>
      </c>
      <c r="D437">
        <v>820.61900000000264</v>
      </c>
      <c r="E437" s="160">
        <v>-2231.107123185569</v>
      </c>
      <c r="F437">
        <v>820.61900000000264</v>
      </c>
      <c r="G437" s="160">
        <v>8.7472068144311379</v>
      </c>
      <c r="I437" s="160"/>
      <c r="K437" s="160"/>
      <c r="L437">
        <v>820.51900000000262</v>
      </c>
      <c r="M437" s="160">
        <v>175.21399477763401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>
      <c r="B438" s="130">
        <v>820.81900000000269</v>
      </c>
      <c r="C438" s="160">
        <v>33.642441340796161</v>
      </c>
      <c r="D438">
        <v>820.81900000000269</v>
      </c>
      <c r="E438" s="160">
        <v>-2231.3064716985509</v>
      </c>
      <c r="F438">
        <v>820.81900000000269</v>
      </c>
      <c r="G438" s="160">
        <v>8.547858301449196</v>
      </c>
      <c r="I438" s="160"/>
      <c r="K438" s="160"/>
      <c r="L438">
        <v>820.71900000000267</v>
      </c>
      <c r="M438" s="160">
        <v>175.36290741766223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>
      <c r="B439" s="130">
        <v>821.01900000000273</v>
      </c>
      <c r="C439" s="160">
        <v>33.657977147304628</v>
      </c>
      <c r="D439">
        <v>821.01900000000273</v>
      </c>
      <c r="E439" s="160">
        <v>-2231.5058704816711</v>
      </c>
      <c r="F439">
        <v>821.01900000000273</v>
      </c>
      <c r="G439" s="160">
        <v>8.3484595183290367</v>
      </c>
      <c r="I439" s="160"/>
      <c r="K439" s="160"/>
      <c r="L439">
        <v>820.91900000000271</v>
      </c>
      <c r="M439" s="160">
        <v>175.5449001257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>
      <c r="B440" s="130">
        <v>821.21900000000278</v>
      </c>
      <c r="C440" s="160">
        <v>33.672764442739499</v>
      </c>
      <c r="D440">
        <v>821.21900000000278</v>
      </c>
      <c r="E440" s="160">
        <v>-2231.705326086746</v>
      </c>
      <c r="F440">
        <v>821.21900000000278</v>
      </c>
      <c r="G440" s="160">
        <v>8.1490039132540915</v>
      </c>
      <c r="I440" s="160"/>
      <c r="K440" s="160"/>
      <c r="L440">
        <v>821.11900000000276</v>
      </c>
      <c r="M440" s="160">
        <v>175.75994658223331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>
      <c r="B441" s="130">
        <v>821.41900000000282</v>
      </c>
      <c r="C441" s="160">
        <v>33.6866873618415</v>
      </c>
      <c r="D441">
        <v>821.41900000000282</v>
      </c>
      <c r="E441" s="160">
        <v>-2231.9048438082978</v>
      </c>
      <c r="F441">
        <v>821.41900000000282</v>
      </c>
      <c r="G441" s="160">
        <v>7.9494861917023627</v>
      </c>
      <c r="I441" s="160"/>
      <c r="K441" s="160"/>
      <c r="L441">
        <v>821.3190000000028</v>
      </c>
      <c r="M441" s="160">
        <v>176.00820725245899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>
      <c r="B442" s="130">
        <v>821.61900000000287</v>
      </c>
      <c r="C442" s="160">
        <v>33.699622624596316</v>
      </c>
      <c r="D442">
        <v>821.61900000000287</v>
      </c>
      <c r="E442" s="160">
        <v>-2232.1044279111611</v>
      </c>
      <c r="F442">
        <v>821.61900000000287</v>
      </c>
      <c r="G442" s="160">
        <v>7.7499020888390078</v>
      </c>
      <c r="I442" s="160"/>
      <c r="K442" s="160"/>
      <c r="L442">
        <v>821.51900000000285</v>
      </c>
      <c r="M442" s="160">
        <v>176.29178450877561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>
      <c r="B443" s="130">
        <v>821.81900000000292</v>
      </c>
      <c r="C443" s="160">
        <v>33.711434547154646</v>
      </c>
      <c r="D443">
        <v>821.81900000000292</v>
      </c>
      <c r="E443" s="160">
        <v>-2232.3040815605459</v>
      </c>
      <c r="F443">
        <v>821.81900000000292</v>
      </c>
      <c r="G443" s="160">
        <v>7.550248439454208</v>
      </c>
      <c r="I443" s="160"/>
      <c r="K443" s="160"/>
      <c r="L443">
        <v>821.71900000000289</v>
      </c>
      <c r="M443" s="160">
        <v>176.61420983800485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>
      <c r="B444" s="130">
        <v>822.01900000000296</v>
      </c>
      <c r="C444" s="160">
        <v>33.721986034194622</v>
      </c>
      <c r="D444">
        <v>822.01900000000296</v>
      </c>
      <c r="E444" s="160">
        <v>-2232.5038057034576</v>
      </c>
      <c r="F444">
        <v>822.01900000000296</v>
      </c>
      <c r="G444" s="160">
        <v>7.3505242965425168</v>
      </c>
      <c r="I444" s="160"/>
      <c r="K444" s="160"/>
      <c r="L444">
        <v>821.91900000000294</v>
      </c>
      <c r="M444" s="160">
        <v>176.97585800275209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>
      <c r="B445" s="130">
        <v>822.21900000000301</v>
      </c>
      <c r="C445" s="160">
        <v>33.731139473618583</v>
      </c>
      <c r="D445">
        <v>822.21900000000301</v>
      </c>
      <c r="E445" s="160">
        <v>-2232.7035987148747</v>
      </c>
      <c r="F445">
        <v>822.21900000000301</v>
      </c>
      <c r="G445" s="160">
        <v>7.1507312851254028</v>
      </c>
      <c r="I445" s="160"/>
      <c r="K445" s="160"/>
      <c r="L445">
        <v>822.11900000000298</v>
      </c>
      <c r="M445" s="160">
        <v>177.3768503419914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>
      <c r="B446" s="130">
        <v>822.41900000000305</v>
      </c>
      <c r="C446" s="160">
        <v>33.738726447578721</v>
      </c>
      <c r="D446">
        <v>822.41900000000305</v>
      </c>
      <c r="E446" s="160">
        <v>-2232.903457255301</v>
      </c>
      <c r="F446">
        <v>822.41900000000305</v>
      </c>
      <c r="G446" s="160">
        <v>6.9508727446991543</v>
      </c>
      <c r="I446" s="160"/>
      <c r="K446" s="160"/>
      <c r="L446">
        <v>822.31900000000303</v>
      </c>
      <c r="M446" s="160">
        <v>177.82599757002299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>
      <c r="B447" s="130">
        <v>822.6190000000031</v>
      </c>
      <c r="C447" s="160">
        <v>33.744560258412442</v>
      </c>
      <c r="D447">
        <v>822.6190000000031</v>
      </c>
      <c r="E447" s="160">
        <v>-2233.1033745637801</v>
      </c>
      <c r="F447">
        <v>822.6190000000031</v>
      </c>
      <c r="G447" s="160">
        <v>6.7509554362200106</v>
      </c>
      <c r="I447" s="160"/>
      <c r="K447" s="160"/>
      <c r="L447">
        <v>822.51900000000308</v>
      </c>
      <c r="M447" s="160">
        <v>178.32851935650507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>
      <c r="B448" s="130">
        <v>822.81900000000314</v>
      </c>
      <c r="C448" s="160">
        <v>33.74848074668359</v>
      </c>
      <c r="D448">
        <v>822.81900000000314</v>
      </c>
      <c r="E448" s="160">
        <v>-2233.3033384563037</v>
      </c>
      <c r="F448">
        <v>822.81900000000314</v>
      </c>
      <c r="G448" s="160">
        <v>6.5509915436964548</v>
      </c>
      <c r="I448" s="160"/>
      <c r="K448" s="160"/>
      <c r="L448">
        <v>822.71900000000312</v>
      </c>
      <c r="M448" s="160">
        <v>178.87680393934991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>
      <c r="B449" s="130">
        <v>823.01900000000319</v>
      </c>
      <c r="C449" s="160">
        <v>33.750318582861979</v>
      </c>
      <c r="D449">
        <v>823.01900000000319</v>
      </c>
      <c r="E449" s="160">
        <v>-2233.5033322451541</v>
      </c>
      <c r="F449">
        <v>823.01900000000319</v>
      </c>
      <c r="G449" s="160">
        <v>6.3509977548460483</v>
      </c>
      <c r="I449" s="160"/>
      <c r="K449" s="160"/>
      <c r="L449">
        <v>822.91900000000317</v>
      </c>
      <c r="M449" s="160">
        <v>179.47349718637986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>
      <c r="B450" s="130">
        <v>823.21900000000323</v>
      </c>
      <c r="C450" s="160">
        <v>33.749888139095482</v>
      </c>
      <c r="D450">
        <v>823.21900000000323</v>
      </c>
      <c r="E450" s="160">
        <v>-2233.7033339258987</v>
      </c>
      <c r="F450">
        <v>823.21900000000323</v>
      </c>
      <c r="G450" s="160">
        <v>6.1509960741013856</v>
      </c>
      <c r="I450" s="160"/>
      <c r="K450" s="160"/>
      <c r="L450">
        <v>823.11900000000321</v>
      </c>
      <c r="M450" s="160">
        <v>179.87668817098202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>
      <c r="B451" s="130">
        <v>823.41900000000328</v>
      </c>
      <c r="C451" s="160">
        <v>33.746990274108434</v>
      </c>
      <c r="D451">
        <v>823.41900000000328</v>
      </c>
      <c r="E451" s="160">
        <v>-2233.903314984937</v>
      </c>
      <c r="F451">
        <v>823.41900000000328</v>
      </c>
      <c r="G451" s="160">
        <v>5.9510150150631489</v>
      </c>
      <c r="I451" s="160"/>
      <c r="K451" s="160"/>
      <c r="L451">
        <v>823.31900000000326</v>
      </c>
      <c r="M451" s="160">
        <v>179.169802309136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>
      <c r="B452" s="130">
        <v>823.61900000000333</v>
      </c>
      <c r="C452" s="160">
        <v>33.741412575900618</v>
      </c>
      <c r="D452">
        <v>823.61900000000333</v>
      </c>
      <c r="E452" s="160">
        <v>-2234.1032391568392</v>
      </c>
      <c r="F452">
        <v>823.61900000000333</v>
      </c>
      <c r="G452" s="160">
        <v>5.7510908431609096</v>
      </c>
      <c r="I452" s="160"/>
      <c r="K452" s="160"/>
      <c r="L452">
        <v>823.5190000000033</v>
      </c>
      <c r="M452" s="160">
        <v>178.40191565206041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>
      <c r="B453" s="130">
        <v>823.81900000000337</v>
      </c>
      <c r="C453" s="160">
        <v>33.732926120079298</v>
      </c>
      <c r="D453">
        <v>823.81900000000337</v>
      </c>
      <c r="E453" s="160">
        <v>-2234.3030608986774</v>
      </c>
      <c r="F453">
        <v>823.81900000000337</v>
      </c>
      <c r="G453" s="160">
        <v>5.5512691013227595</v>
      </c>
      <c r="I453" s="160"/>
      <c r="K453" s="160"/>
      <c r="L453">
        <v>823.71900000000335</v>
      </c>
      <c r="M453" s="160">
        <v>177.56810210656084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>
      <c r="B454" s="130">
        <v>824.01900000000342</v>
      </c>
      <c r="C454" s="160">
        <v>33.721296744807155</v>
      </c>
      <c r="D454">
        <v>824.01900000000342</v>
      </c>
      <c r="E454" s="160">
        <v>-2234.5027242875403</v>
      </c>
      <c r="F454">
        <v>824.01900000000342</v>
      </c>
      <c r="G454" s="160">
        <v>5.3516057124597864</v>
      </c>
      <c r="I454" s="160"/>
      <c r="K454" s="160"/>
      <c r="L454">
        <v>823.91900000000339</v>
      </c>
      <c r="M454" s="160">
        <v>176.66657882595436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>
      <c r="B455" s="130">
        <v>824.21900000000346</v>
      </c>
      <c r="C455" s="160">
        <v>33.706315589754411</v>
      </c>
      <c r="D455">
        <v>824.21900000000346</v>
      </c>
      <c r="E455" s="160">
        <v>-2234.7021640994622</v>
      </c>
      <c r="F455">
        <v>824.21900000000346</v>
      </c>
      <c r="G455" s="160">
        <v>5.1521659005379661</v>
      </c>
      <c r="I455" s="160"/>
      <c r="K455" s="160"/>
      <c r="L455">
        <v>824.11900000000344</v>
      </c>
      <c r="M455" s="160">
        <v>175.70422784139052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>
      <c r="B456" s="130">
        <v>824.41900000000351</v>
      </c>
      <c r="C456" s="160">
        <v>33.687752721839672</v>
      </c>
      <c r="D456">
        <v>824.41900000000351</v>
      </c>
      <c r="E456" s="160">
        <v>-2234.9013023816642</v>
      </c>
      <c r="F456">
        <v>824.41900000000351</v>
      </c>
      <c r="G456" s="160">
        <v>4.9530276183359092</v>
      </c>
      <c r="I456" s="160"/>
      <c r="K456" s="160"/>
      <c r="L456">
        <v>824.31900000000348</v>
      </c>
      <c r="M456" s="160">
        <v>174.67450760717594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>
      <c r="B457" s="130">
        <v>824.61900000000355</v>
      </c>
      <c r="C457" s="160">
        <v>33.665353608375611</v>
      </c>
      <c r="D457">
        <v>824.61900000000355</v>
      </c>
      <c r="E457" s="160">
        <v>-2235.1000456246984</v>
      </c>
      <c r="F457">
        <v>824.61900000000355</v>
      </c>
      <c r="G457" s="160">
        <v>4.7542843753017223</v>
      </c>
      <c r="I457" s="160"/>
      <c r="K457" s="160"/>
      <c r="L457">
        <v>824.51900000000353</v>
      </c>
      <c r="M457" s="160">
        <v>173.56968408419684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>
      <c r="B458" s="130">
        <v>824.8190000000036</v>
      </c>
      <c r="C458" s="160">
        <v>33.638869572307165</v>
      </c>
      <c r="D458">
        <v>824.8190000000036</v>
      </c>
      <c r="E458" s="160">
        <v>-2235.2982857662591</v>
      </c>
      <c r="F458">
        <v>824.8190000000036</v>
      </c>
      <c r="G458" s="160">
        <v>4.5560442337409768</v>
      </c>
      <c r="I458" s="160"/>
      <c r="K458" s="160"/>
      <c r="L458">
        <v>824.71900000000358</v>
      </c>
      <c r="M458" s="160">
        <v>172.39058562627048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>
      <c r="B459" s="130">
        <v>825.01900000000364</v>
      </c>
      <c r="C459" s="160">
        <v>33.608051502776426</v>
      </c>
      <c r="D459">
        <v>825.01900000000364</v>
      </c>
      <c r="E459" s="160">
        <v>-2235.4958984302548</v>
      </c>
      <c r="F459">
        <v>825.01900000000364</v>
      </c>
      <c r="G459" s="160">
        <v>4.3584315697453349</v>
      </c>
      <c r="I459" s="160"/>
      <c r="K459" s="160"/>
      <c r="L459">
        <v>824.91900000000362</v>
      </c>
      <c r="M459" s="160">
        <v>171.13601467777701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>
      <c r="B460" s="130">
        <v>825.21900000000369</v>
      </c>
      <c r="C460" s="160">
        <v>33.572639613947338</v>
      </c>
      <c r="D460">
        <v>825.21900000000369</v>
      </c>
      <c r="E460" s="160">
        <v>-2235.6927396772771</v>
      </c>
      <c r="F460">
        <v>825.21900000000369</v>
      </c>
      <c r="G460" s="160">
        <v>4.1615903227229865</v>
      </c>
      <c r="I460" s="160"/>
      <c r="K460" s="160"/>
      <c r="L460">
        <v>825.11900000000367</v>
      </c>
      <c r="M460" s="160">
        <v>169.80153427372503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>
      <c r="B461" s="130">
        <v>825.41900000000373</v>
      </c>
      <c r="C461" s="160">
        <v>33.532379053771223</v>
      </c>
      <c r="D461">
        <v>825.41900000000373</v>
      </c>
      <c r="E461" s="160">
        <v>-2235.8886466074046</v>
      </c>
      <c r="F461">
        <v>825.41900000000373</v>
      </c>
      <c r="G461" s="160">
        <v>3.9656833925955652</v>
      </c>
      <c r="I461" s="160"/>
      <c r="K461" s="160"/>
      <c r="L461">
        <v>825.31900000000371</v>
      </c>
      <c r="M461" s="160">
        <v>168.38691084056921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>
      <c r="B462" s="130">
        <v>825.61900000000378</v>
      </c>
      <c r="C462" s="160">
        <v>33.487025689766909</v>
      </c>
      <c r="D462">
        <v>825.61900000000378</v>
      </c>
      <c r="E462" s="160">
        <v>-2236.0834374427623</v>
      </c>
      <c r="F462">
        <v>825.61900000000378</v>
      </c>
      <c r="G462" s="160">
        <v>3.7708925572378575</v>
      </c>
      <c r="I462" s="160"/>
      <c r="K462" s="160"/>
      <c r="L462">
        <v>825.51900000000376</v>
      </c>
      <c r="M462" s="160">
        <v>166.89327091196884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>
      <c r="B463" s="130">
        <v>825.81900000000383</v>
      </c>
      <c r="C463" s="160">
        <v>33.436347977313076</v>
      </c>
      <c r="D463">
        <v>825.81900000000383</v>
      </c>
      <c r="E463" s="160">
        <v>-2236.2769112794626</v>
      </c>
      <c r="F463">
        <v>825.81900000000383</v>
      </c>
      <c r="G463" s="160">
        <v>3.5774187205374801</v>
      </c>
      <c r="I463" s="160"/>
      <c r="K463" s="160"/>
      <c r="L463">
        <v>825.7190000000038</v>
      </c>
      <c r="M463" s="160">
        <v>165.32194593136157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>
      <c r="B464" s="130">
        <v>826.01900000000387</v>
      </c>
      <c r="C464" s="160">
        <v>33.380126536590438</v>
      </c>
      <c r="D464">
        <v>826.01900000000387</v>
      </c>
      <c r="E464" s="160">
        <v>-2236.4688473736164</v>
      </c>
      <c r="F464">
        <v>826.01900000000387</v>
      </c>
      <c r="G464" s="160">
        <v>3.3854826263836912</v>
      </c>
      <c r="I464" s="160"/>
      <c r="K464" s="160"/>
      <c r="L464">
        <v>825.91900000000385</v>
      </c>
      <c r="M464" s="160">
        <v>163.67376881703541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>
      <c r="B465" s="130">
        <v>826.21900000000392</v>
      </c>
      <c r="C465" s="160">
        <v>33.318127160231214</v>
      </c>
      <c r="D465">
        <v>826.21900000000392</v>
      </c>
      <c r="E465" s="160">
        <v>-2236.6589956062212</v>
      </c>
      <c r="F465">
        <v>826.21900000000392</v>
      </c>
      <c r="G465" s="160">
        <v>3.1953343937789214</v>
      </c>
      <c r="I465" s="160"/>
      <c r="K465" s="160"/>
      <c r="L465">
        <v>826.11900000000389</v>
      </c>
      <c r="M465" s="160">
        <v>161.94102118527593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>
      <c r="B466" s="130">
        <v>826.41900000000396</v>
      </c>
      <c r="C466" s="160">
        <v>33.250124411783268</v>
      </c>
      <c r="D466">
        <v>826.41900000000396</v>
      </c>
      <c r="E466" s="160">
        <v>-2236.8470803145583</v>
      </c>
      <c r="F466">
        <v>826.41900000000396</v>
      </c>
      <c r="G466" s="160">
        <v>3.0072496854418205</v>
      </c>
      <c r="I466" s="160"/>
      <c r="K466" s="160"/>
      <c r="L466">
        <v>826.31900000000394</v>
      </c>
      <c r="M466" s="160">
        <v>160.12234857187798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>
      <c r="B467" s="130">
        <v>826.61900000000401</v>
      </c>
      <c r="C467" s="160">
        <v>33.175921356925606</v>
      </c>
      <c r="D467">
        <v>826.61900000000401</v>
      </c>
      <c r="E467" s="160">
        <v>-2237.03280617773</v>
      </c>
      <c r="F467">
        <v>826.61900000000401</v>
      </c>
      <c r="G467" s="160">
        <v>2.8215238222701373</v>
      </c>
      <c r="I467" s="160"/>
      <c r="K467" s="160"/>
      <c r="L467">
        <v>826.51900000000398</v>
      </c>
      <c r="M467" s="160">
        <v>158.2218087465418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>
      <c r="B468" s="130">
        <v>826.81900000000405</v>
      </c>
      <c r="C468" s="160">
        <v>33.095342251755724</v>
      </c>
      <c r="D468">
        <v>826.81900000000405</v>
      </c>
      <c r="E468" s="160">
        <v>-2237.2158557772018</v>
      </c>
      <c r="F468">
        <v>826.81900000000405</v>
      </c>
      <c r="G468" s="160">
        <v>2.6384742227983224</v>
      </c>
      <c r="I468" s="160"/>
      <c r="K468" s="160"/>
      <c r="L468">
        <v>826.71900000000403</v>
      </c>
      <c r="M468" s="160">
        <v>156.24072965397761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>
      <c r="B469" s="130">
        <v>827.0190000000041</v>
      </c>
      <c r="C469" s="160">
        <v>33.008245030928848</v>
      </c>
      <c r="D469">
        <v>827.0190000000041</v>
      </c>
      <c r="E469" s="160">
        <v>-2237.39589516449</v>
      </c>
      <c r="F469">
        <v>827.0190000000041</v>
      </c>
      <c r="G469" s="160">
        <v>2.4584348355101611</v>
      </c>
      <c r="I469" s="160"/>
      <c r="K469" s="160"/>
      <c r="L469">
        <v>826.91900000000408</v>
      </c>
      <c r="M469" s="160">
        <v>154.18380755010921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>
      <c r="B470" s="130">
        <v>827.21900000000414</v>
      </c>
      <c r="C470" s="160">
        <v>32.914515026267999</v>
      </c>
      <c r="D470">
        <v>827.21900000000414</v>
      </c>
      <c r="E470" s="160">
        <v>-2237.5725721363583</v>
      </c>
      <c r="F470">
        <v>827.21900000000414</v>
      </c>
      <c r="G470" s="160">
        <v>2.2817578636418148</v>
      </c>
      <c r="I470" s="160"/>
      <c r="K470" s="160"/>
      <c r="L470">
        <v>827.11900000000412</v>
      </c>
      <c r="M470" s="160">
        <v>152.0533228816509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>
      <c r="B471" s="130">
        <v>827.41900000000419</v>
      </c>
      <c r="C471" s="160">
        <v>32.814062934158436</v>
      </c>
      <c r="D471">
        <v>827.41900000000419</v>
      </c>
      <c r="E471" s="160">
        <v>-2237.7455154894265</v>
      </c>
      <c r="F471">
        <v>827.41900000000419</v>
      </c>
      <c r="G471" s="160">
        <v>2.1088145105736658</v>
      </c>
      <c r="I471" s="160"/>
      <c r="K471" s="160"/>
      <c r="L471">
        <v>827.31900000000417</v>
      </c>
      <c r="M471" s="160">
        <v>149.85034699941875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>
      <c r="B472" s="130">
        <v>827.61900000000423</v>
      </c>
      <c r="C472" s="160">
        <v>32.70683287508794</v>
      </c>
      <c r="D472">
        <v>827.61900000000423</v>
      </c>
      <c r="E472" s="160">
        <v>-2237.9143399590616</v>
      </c>
      <c r="F472">
        <v>827.61900000000423</v>
      </c>
      <c r="G472" s="160">
        <v>1.9399900409384827</v>
      </c>
      <c r="I472" s="160"/>
      <c r="K472" s="160"/>
      <c r="L472">
        <v>827.51900000000421</v>
      </c>
      <c r="M472" s="160">
        <v>147.57803885371874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>
      <c r="B473" s="130">
        <v>827.81900000000428</v>
      </c>
      <c r="C473" s="160">
        <v>32.592808939238481</v>
      </c>
      <c r="D473">
        <v>827.81900000000428</v>
      </c>
      <c r="E473" s="160">
        <v>-2238.0786521352934</v>
      </c>
      <c r="F473">
        <v>827.81900000000428</v>
      </c>
      <c r="G473" s="160">
        <v>1.7756778647067222</v>
      </c>
      <c r="I473" s="160"/>
      <c r="K473" s="160"/>
      <c r="L473">
        <v>827.71900000000426</v>
      </c>
      <c r="M473" s="160">
        <v>145.24140298178753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>
      <c r="B474" s="130">
        <v>828.01900000000433</v>
      </c>
      <c r="C474" s="160">
        <v>32.47201899136995</v>
      </c>
      <c r="D474">
        <v>828.01900000000433</v>
      </c>
      <c r="E474" s="160">
        <v>-2238.2380563422139</v>
      </c>
      <c r="F474">
        <v>828.01900000000433</v>
      </c>
      <c r="G474" s="160">
        <v>1.6162736577862233</v>
      </c>
      <c r="I474" s="160"/>
      <c r="K474" s="160"/>
      <c r="L474">
        <v>827.9190000000043</v>
      </c>
      <c r="M474" s="160">
        <v>142.84664888619821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>
      <c r="B475" s="130">
        <v>828.21900000000437</v>
      </c>
      <c r="C475" s="160">
        <v>32.344531932705564</v>
      </c>
      <c r="D475">
        <v>828.21900000000437</v>
      </c>
      <c r="E475" s="160">
        <v>-2238.3921567240709</v>
      </c>
      <c r="F475">
        <v>828.21900000000437</v>
      </c>
      <c r="G475" s="160">
        <v>1.4621732759292172</v>
      </c>
      <c r="I475" s="160"/>
      <c r="K475" s="160"/>
      <c r="L475">
        <v>828.11900000000435</v>
      </c>
      <c r="M475" s="160">
        <v>140.39908705958564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>
      <c r="B476" s="130">
        <v>828.41900000000442</v>
      </c>
      <c r="C476" s="160">
        <v>32.21045896815103</v>
      </c>
      <c r="D476">
        <v>828.41900000000442</v>
      </c>
      <c r="E476" s="160">
        <v>-2238.5405625359572</v>
      </c>
      <c r="F476">
        <v>828.41900000000442</v>
      </c>
      <c r="G476" s="160">
        <v>1.3137674640429395</v>
      </c>
      <c r="I476" s="160"/>
      <c r="K476" s="160"/>
      <c r="L476">
        <v>828.31900000000439</v>
      </c>
      <c r="M476" s="160">
        <v>137.90467135382522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>
      <c r="B477" s="130">
        <v>828.61900000000446</v>
      </c>
      <c r="C477" s="160">
        <v>32.069954113917241</v>
      </c>
      <c r="D477">
        <v>828.61900000000446</v>
      </c>
      <c r="E477" s="160">
        <v>-2238.6828938392578</v>
      </c>
      <c r="F477">
        <v>828.61900000000446</v>
      </c>
      <c r="G477" s="160">
        <v>1.1714361607423598</v>
      </c>
      <c r="I477" s="160"/>
      <c r="K477" s="160"/>
      <c r="L477">
        <v>828.51900000000444</v>
      </c>
      <c r="M477" s="160">
        <v>135.36998935827626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>
      <c r="B478" s="130">
        <v>828.81900000000451</v>
      </c>
      <c r="C478" s="160">
        <v>31.923213858035009</v>
      </c>
      <c r="D478">
        <v>828.81900000000451</v>
      </c>
      <c r="E478" s="160">
        <v>-2238.8187874842902</v>
      </c>
      <c r="F478">
        <v>828.81900000000451</v>
      </c>
      <c r="G478" s="160">
        <v>1.0355425157099489</v>
      </c>
      <c r="I478" s="160"/>
      <c r="K478" s="160"/>
      <c r="L478">
        <v>828.71900000000448</v>
      </c>
      <c r="M478" s="160">
        <v>132.80224454301245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>
      <c r="B479" s="130">
        <v>829.01900000000455</v>
      </c>
      <c r="C479" s="160">
        <v>31.770475909390065</v>
      </c>
      <c r="D479">
        <v>829.01900000000455</v>
      </c>
      <c r="E479" s="160">
        <v>-2238.9479032407585</v>
      </c>
      <c r="F479">
        <v>829.01900000000455</v>
      </c>
      <c r="G479" s="160">
        <v>0.90642675924163996</v>
      </c>
      <c r="I479" s="160"/>
      <c r="K479" s="160"/>
      <c r="L479">
        <v>828.91900000000453</v>
      </c>
      <c r="M479" s="160">
        <v>130.20923005259263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>
      <c r="B480" s="130">
        <v>829.2190000000046</v>
      </c>
      <c r="C480" s="160">
        <v>31.612016999902696</v>
      </c>
      <c r="D480">
        <v>829.2190000000046</v>
      </c>
      <c r="E480" s="160">
        <v>-2239.0699299196613</v>
      </c>
      <c r="F480">
        <v>829.2190000000046</v>
      </c>
      <c r="G480" s="160">
        <v>0.78440008033885533</v>
      </c>
      <c r="I480" s="160"/>
      <c r="K480" s="160"/>
      <c r="L480">
        <v>829.11900000000458</v>
      </c>
      <c r="M480" s="160">
        <v>127.59929428754019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>
      <c r="B481" s="130">
        <v>829.41900000000464</v>
      </c>
      <c r="C481" s="160">
        <v>31.448149738209032</v>
      </c>
      <c r="D481">
        <v>829.41900000000464</v>
      </c>
      <c r="E481" s="160">
        <v>-2239.1845913197662</v>
      </c>
      <c r="F481">
        <v>829.41900000000464</v>
      </c>
      <c r="G481" s="160">
        <v>0.66973868023387695</v>
      </c>
      <c r="I481" s="160"/>
      <c r="K481" s="160"/>
      <c r="L481">
        <v>829.31900000000462</v>
      </c>
      <c r="M481" s="160">
        <v>124.98129867686903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>
      <c r="B482" s="130">
        <v>829.61900000000469</v>
      </c>
      <c r="C482" s="160">
        <v>31.279218550053571</v>
      </c>
      <c r="D482">
        <v>829.61900000000469</v>
      </c>
      <c r="E482" s="160">
        <v>-2239.2916518289817</v>
      </c>
      <c r="F482">
        <v>829.61900000000469</v>
      </c>
      <c r="G482" s="160">
        <v>0.5626781710184332</v>
      </c>
      <c r="I482" s="160"/>
      <c r="K482" s="160"/>
      <c r="L482">
        <v>829.51900000000467</v>
      </c>
      <c r="M482" s="160">
        <v>122.36456830554692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>
      <c r="B483" s="130">
        <v>829.81900000000473</v>
      </c>
      <c r="C483" s="160">
        <v>31.105594778553957</v>
      </c>
      <c r="D483">
        <v>829.81900000000473</v>
      </c>
      <c r="E483" s="160">
        <v>-2239.3909215168665</v>
      </c>
      <c r="F483">
        <v>829.81900000000473</v>
      </c>
      <c r="G483" s="160">
        <v>0.46340848313366223</v>
      </c>
      <c r="I483" s="160"/>
      <c r="K483" s="160"/>
      <c r="L483">
        <v>829.71900000000471</v>
      </c>
      <c r="M483" s="160">
        <v>119.75883632970002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>
      <c r="B484" s="130">
        <v>830.01900000000478</v>
      </c>
      <c r="C484" s="160">
        <v>30.927671054274256</v>
      </c>
      <c r="D484">
        <v>830.01900000000478</v>
      </c>
      <c r="E484" s="160">
        <v>-2239.4822605693662</v>
      </c>
      <c r="F484">
        <v>830.01900000000478</v>
      </c>
      <c r="G484" s="160">
        <v>0.37206943063392828</v>
      </c>
      <c r="I484" s="160"/>
      <c r="K484" s="160"/>
      <c r="L484">
        <v>829.91900000000476</v>
      </c>
      <c r="M484" s="160">
        <v>117.17418335290705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>
      <c r="B485" s="130">
        <v>830.21900000000483</v>
      </c>
      <c r="C485" s="160">
        <v>30.745855078303734</v>
      </c>
      <c r="D485">
        <v>830.21900000000483</v>
      </c>
      <c r="E485" s="160">
        <v>-2239.5655829402226</v>
      </c>
      <c r="F485">
        <v>830.21900000000483</v>
      </c>
      <c r="G485" s="160">
        <v>0.28874705977750637</v>
      </c>
      <c r="I485" s="160"/>
      <c r="K485" s="160"/>
      <c r="L485">
        <v>830.1190000000048</v>
      </c>
      <c r="M485" s="160">
        <v>114.62097313676334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>
      <c r="B486" s="130">
        <v>830.41900000000487</v>
      </c>
      <c r="C486" s="160">
        <v>30.560562989103861</v>
      </c>
      <c r="D486">
        <v>830.41900000000487</v>
      </c>
      <c r="E486" s="160">
        <v>-2239.6408591243121</v>
      </c>
      <c r="F486">
        <v>830.41900000000487</v>
      </c>
      <c r="G486" s="160">
        <v>0.21347087568801726</v>
      </c>
      <c r="I486" s="160"/>
      <c r="K486" s="160"/>
      <c r="L486">
        <v>830.31900000000485</v>
      </c>
      <c r="M486" s="160">
        <v>112.10978617681421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>
      <c r="B487" s="130">
        <v>830.61900000000492</v>
      </c>
      <c r="C487" s="160">
        <v>30.372212503945232</v>
      </c>
      <c r="D487">
        <v>830.61900000000492</v>
      </c>
      <c r="E487" s="160">
        <v>-2239.7081179947077</v>
      </c>
      <c r="F487">
        <v>830.61900000000492</v>
      </c>
      <c r="G487" s="160">
        <v>0.14621200529245471</v>
      </c>
      <c r="I487" s="160"/>
      <c r="K487" s="160"/>
      <c r="L487">
        <v>830.51900000000489</v>
      </c>
      <c r="M487" s="160">
        <v>109.65135277372715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>
      <c r="B488" s="130">
        <v>830.81900000000496</v>
      </c>
      <c r="C488" s="160">
        <v>30.181216037054178</v>
      </c>
      <c r="D488">
        <v>830.81900000000496</v>
      </c>
      <c r="E488" s="160">
        <v>-2239.7674476853026</v>
      </c>
      <c r="F488">
        <v>830.81900000000496</v>
      </c>
      <c r="G488" s="160">
        <v>8.6882314697504626E-2</v>
      </c>
      <c r="I488" s="160"/>
      <c r="K488" s="160"/>
      <c r="L488">
        <v>830.71900000000494</v>
      </c>
      <c r="M488" s="160">
        <v>107.25648725893687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>
      <c r="B489" s="130">
        <v>831.01900000000501</v>
      </c>
      <c r="C489" s="160">
        <v>29.987973998555557</v>
      </c>
      <c r="D489">
        <v>831.01900000000501</v>
      </c>
      <c r="E489" s="160">
        <v>-2239.8189955418638</v>
      </c>
      <c r="F489">
        <v>831.01900000000501</v>
      </c>
      <c r="G489" s="160">
        <v>3.5334458136276226E-2</v>
      </c>
      <c r="I489" s="160"/>
      <c r="K489" s="160"/>
      <c r="L489">
        <v>830.91900000000498</v>
      </c>
      <c r="M489" s="160">
        <v>104.93602499031225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>
      <c r="B490" s="130">
        <v>831.21900000000505</v>
      </c>
      <c r="C490" s="160">
        <v>29.792870774615668</v>
      </c>
      <c r="D490">
        <v>831.21900000000505</v>
      </c>
      <c r="E490" s="160">
        <v>-2239.8629774232331</v>
      </c>
      <c r="F490">
        <v>831.21900000000505</v>
      </c>
      <c r="G490" s="160">
        <v>-8.6474232330147061E-3</v>
      </c>
      <c r="I490" s="160"/>
      <c r="K490" s="160"/>
      <c r="L490">
        <v>831.11900000000503</v>
      </c>
      <c r="M490" s="160">
        <v>102.70376473288671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>
      <c r="B491" s="130">
        <v>831.4190000000051</v>
      </c>
      <c r="C491" s="160">
        <v>29.596265714966144</v>
      </c>
      <c r="D491">
        <v>831.4190000000051</v>
      </c>
      <c r="E491" s="160">
        <v>-2239.8996671338841</v>
      </c>
      <c r="F491">
        <v>831.4190000000051</v>
      </c>
      <c r="G491" s="160">
        <v>-4.5337133884004288E-2</v>
      </c>
      <c r="I491" s="160"/>
      <c r="K491" s="160"/>
      <c r="L491">
        <v>831.31900000000508</v>
      </c>
      <c r="M491" s="160">
        <v>100.57073528725749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>
      <c r="B492" s="130">
        <v>831.61900000000514</v>
      </c>
      <c r="C492" s="160">
        <v>29.398485678189449</v>
      </c>
      <c r="D492">
        <v>831.61900000000514</v>
      </c>
      <c r="E492" s="160">
        <v>-2239.929378374713</v>
      </c>
      <c r="F492">
        <v>831.61900000000514</v>
      </c>
      <c r="G492" s="160">
        <v>-7.5048374712878285E-2</v>
      </c>
      <c r="I492" s="160"/>
      <c r="K492" s="160"/>
      <c r="L492">
        <v>831.51900000000512</v>
      </c>
      <c r="M492" s="160">
        <v>98.543297936557508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>
      <c r="B493" s="130">
        <v>831.81900000000519</v>
      </c>
      <c r="C493" s="160">
        <v>29.199822065056885</v>
      </c>
      <c r="D493">
        <v>831.81900000000519</v>
      </c>
      <c r="E493" s="160">
        <v>-2239.9524540775728</v>
      </c>
      <c r="F493">
        <v>831.81900000000519</v>
      </c>
      <c r="G493" s="160">
        <v>-9.8124077572720125E-2</v>
      </c>
      <c r="I493" s="160"/>
      <c r="K493" s="160"/>
      <c r="L493">
        <v>831.71900000000517</v>
      </c>
      <c r="M493" s="160">
        <v>96.625481003930673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>
      <c r="B494" s="130">
        <v>832.01900000000524</v>
      </c>
      <c r="C494" s="160">
        <v>29.000528471942268</v>
      </c>
      <c r="D494">
        <v>832.01900000000524</v>
      </c>
      <c r="E494" s="160">
        <v>-2239.9692409975</v>
      </c>
      <c r="F494">
        <v>832.01900000000524</v>
      </c>
      <c r="G494" s="160">
        <v>-0.11491099749991918</v>
      </c>
      <c r="I494" s="160"/>
      <c r="K494" s="160"/>
      <c r="L494">
        <v>831.91900000000521</v>
      </c>
      <c r="M494" s="160">
        <v>94.814778857518462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>
      <c r="B495" s="130">
        <v>832.21900000000528</v>
      </c>
      <c r="C495" s="160">
        <v>28.80082271191722</v>
      </c>
      <c r="D495">
        <v>832.21900000000528</v>
      </c>
      <c r="E495" s="160">
        <v>-2239.9800743447831</v>
      </c>
      <c r="F495">
        <v>832.21900000000528</v>
      </c>
      <c r="G495" s="160">
        <v>-0.12574434478301555</v>
      </c>
      <c r="I495" s="160"/>
      <c r="K495" s="160"/>
      <c r="L495">
        <v>832.11900000000526</v>
      </c>
      <c r="M495" s="160">
        <v>93.105054671166812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>
      <c r="B496" s="130">
        <v>832.41900000000533</v>
      </c>
      <c r="C496" s="160">
        <v>28.600889852305183</v>
      </c>
      <c r="D496">
        <v>832.41900000000533</v>
      </c>
      <c r="E496" s="160">
        <v>-2239.9852333238882</v>
      </c>
      <c r="F496">
        <v>832.41900000000533</v>
      </c>
      <c r="G496" s="160">
        <v>-0.13090332388810566</v>
      </c>
      <c r="I496" s="160"/>
      <c r="K496" s="160"/>
      <c r="L496">
        <v>832.3190000000053</v>
      </c>
      <c r="M496" s="160">
        <v>91.478106965467632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>
      <c r="B497" s="130">
        <v>832.61900000000537</v>
      </c>
      <c r="C497" s="160">
        <v>28.400890650939619</v>
      </c>
      <c r="D497">
        <v>832.61900000000537</v>
      </c>
      <c r="E497" s="160">
        <v>-2239.9849329584572</v>
      </c>
      <c r="F497">
        <v>832.61900000000537</v>
      </c>
      <c r="G497" s="160">
        <v>-0.13060295845707515</v>
      </c>
      <c r="I497" s="160"/>
      <c r="K497" s="160"/>
      <c r="L497">
        <v>832.51900000000535</v>
      </c>
      <c r="M497" s="160">
        <v>89.913951363538615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>
      <c r="B498" s="130">
        <v>832.81900000000542</v>
      </c>
      <c r="C498" s="160">
        <v>28.200969495721122</v>
      </c>
      <c r="D498">
        <v>832.81900000000542</v>
      </c>
      <c r="E498" s="160">
        <v>-2239.9793378022737</v>
      </c>
      <c r="F498">
        <v>832.81900000000542</v>
      </c>
      <c r="G498" s="160">
        <v>-0.1250078022735579</v>
      </c>
      <c r="I498" s="160"/>
      <c r="K498" s="160"/>
      <c r="L498">
        <v>832.71900000000539</v>
      </c>
      <c r="M498" s="160">
        <v>88.396892140066257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>
      <c r="B499" s="130">
        <v>833.01900000000546</v>
      </c>
      <c r="C499" s="160">
        <v>28.00126045707907</v>
      </c>
      <c r="D499">
        <v>833.01900000000546</v>
      </c>
      <c r="E499" s="160">
        <v>-2239.968564052916</v>
      </c>
      <c r="F499">
        <v>833.01900000000546</v>
      </c>
      <c r="G499" s="160">
        <v>-0.11423405291589006</v>
      </c>
      <c r="I499" s="160"/>
      <c r="K499" s="160"/>
      <c r="L499">
        <v>832.91900000000544</v>
      </c>
      <c r="M499" s="160">
        <v>86.912044736173499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>
      <c r="B500" s="130">
        <v>833.21900000000551</v>
      </c>
      <c r="C500" s="160">
        <v>27.801893074827358</v>
      </c>
      <c r="D500">
        <v>833.21900000000551</v>
      </c>
      <c r="E500" s="160">
        <v>-2239.9526763967942</v>
      </c>
      <c r="F500">
        <v>833.21900000000551</v>
      </c>
      <c r="G500" s="160">
        <v>-9.8346396794113389E-2</v>
      </c>
      <c r="I500" s="160"/>
      <c r="K500" s="160"/>
      <c r="L500">
        <v>833.11900000000549</v>
      </c>
      <c r="M500" s="160">
        <v>85.44370808670304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>
      <c r="B501" s="130">
        <v>833.41900000000555</v>
      </c>
      <c r="C501" s="160">
        <v>27.602997185052498</v>
      </c>
      <c r="D501">
        <v>833.41900000000555</v>
      </c>
      <c r="E501" s="160">
        <v>-2239.9316956656508</v>
      </c>
      <c r="F501">
        <v>833.41900000000555</v>
      </c>
      <c r="G501" s="160">
        <v>-7.7365665650631854E-2</v>
      </c>
      <c r="I501" s="160"/>
      <c r="K501" s="160"/>
      <c r="L501">
        <v>833.31900000000553</v>
      </c>
      <c r="M501" s="160">
        <v>83.978366541111811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>
      <c r="B502" s="130">
        <v>833.6190000000056</v>
      </c>
      <c r="C502" s="160">
        <v>27.404706187703489</v>
      </c>
      <c r="D502">
        <v>833.6190000000056</v>
      </c>
      <c r="E502" s="160">
        <v>-2239.9056103882563</v>
      </c>
      <c r="F502">
        <v>833.6190000000056</v>
      </c>
      <c r="G502" s="160">
        <v>-5.128038825614567E-2</v>
      </c>
      <c r="I502" s="160"/>
      <c r="K502" s="160"/>
      <c r="L502">
        <v>833.51900000000558</v>
      </c>
      <c r="M502" s="160">
        <v>82.505745238341419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>
      <c r="B503" s="130">
        <v>833.81900000000564</v>
      </c>
      <c r="C503" s="160">
        <v>27.207158295169485</v>
      </c>
      <c r="D503">
        <v>833.81900000000564</v>
      </c>
      <c r="E503" s="160">
        <v>-2239.8743919851627</v>
      </c>
      <c r="F503">
        <v>833.81900000000564</v>
      </c>
      <c r="G503" s="160">
        <v>-2.0061985162556084E-2</v>
      </c>
      <c r="I503" s="160"/>
      <c r="K503" s="160"/>
      <c r="L503">
        <v>833.71900000000562</v>
      </c>
      <c r="M503" s="160">
        <v>81.019837618361976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>
      <c r="B504" s="130">
        <v>834.01900000000569</v>
      </c>
      <c r="C504" s="160">
        <v>27.010495253980945</v>
      </c>
      <c r="D504">
        <v>834.01900000000569</v>
      </c>
      <c r="E504" s="160">
        <v>-2239.8380133053647</v>
      </c>
      <c r="F504">
        <v>834.01900000000569</v>
      </c>
      <c r="G504" s="160">
        <v>1.6316694635406748E-2</v>
      </c>
      <c r="I504" s="160"/>
      <c r="K504" s="160"/>
      <c r="L504">
        <v>833.91900000000567</v>
      </c>
      <c r="M504" s="160">
        <v>79.519903815708375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>
      <c r="B505" s="130">
        <v>834.21900000000574</v>
      </c>
      <c r="C505" s="160">
        <v>26.814858011283121</v>
      </c>
      <c r="D505">
        <v>834.21900000000574</v>
      </c>
      <c r="E505" s="160">
        <v>-2239.7964701300079</v>
      </c>
      <c r="F505">
        <v>834.21900000000574</v>
      </c>
      <c r="G505" s="160">
        <v>5.7859869992171298E-2</v>
      </c>
      <c r="I505" s="160"/>
      <c r="K505" s="160"/>
      <c r="L505">
        <v>834.11900000000571</v>
      </c>
      <c r="M505" s="160">
        <v>78.011434155199026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>
      <c r="B506" s="130">
        <v>834.41900000000578</v>
      </c>
      <c r="C506" s="160">
        <v>26.6203814389049</v>
      </c>
      <c r="D506">
        <v>834.41900000000578</v>
      </c>
      <c r="E506" s="160">
        <v>-2239.7497942599484</v>
      </c>
      <c r="F506">
        <v>834.41900000000578</v>
      </c>
      <c r="G506" s="160">
        <v>0.10453574005168775</v>
      </c>
      <c r="I506" s="160"/>
      <c r="K506" s="160"/>
      <c r="L506">
        <v>834.31900000000576</v>
      </c>
      <c r="M506" s="160">
        <v>76.50385090205171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>
      <c r="B507" s="130">
        <v>834.61900000000583</v>
      </c>
      <c r="C507" s="160">
        <v>26.4271909365781</v>
      </c>
      <c r="D507">
        <v>834.61900000000583</v>
      </c>
      <c r="E507" s="160">
        <v>-2239.6980524625756</v>
      </c>
      <c r="F507">
        <v>834.61900000000583</v>
      </c>
      <c r="G507" s="160">
        <v>0.15627753742455752</v>
      </c>
      <c r="I507" s="160"/>
      <c r="K507" s="160"/>
      <c r="L507">
        <v>834.5190000000058</v>
      </c>
      <c r="M507" s="160">
        <v>75.006486746053099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>
      <c r="B508" s="130">
        <v>834.81900000000587</v>
      </c>
      <c r="C508" s="160">
        <v>26.235399190806174</v>
      </c>
      <c r="D508">
        <v>834.81900000000587</v>
      </c>
      <c r="E508" s="160">
        <v>-2239.6413451301519</v>
      </c>
      <c r="F508">
        <v>834.81900000000587</v>
      </c>
      <c r="G508" s="160">
        <v>0.21298486984824194</v>
      </c>
      <c r="I508" s="160"/>
      <c r="K508" s="160"/>
      <c r="L508">
        <v>834.71900000000585</v>
      </c>
      <c r="M508" s="160">
        <v>73.528558968549987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>
      <c r="B509" s="130">
        <v>835.01900000000592</v>
      </c>
      <c r="C509" s="160">
        <v>26.045103152209833</v>
      </c>
      <c r="D509">
        <v>835.01900000000592</v>
      </c>
      <c r="E509" s="160">
        <v>-2239.5798046865484</v>
      </c>
      <c r="F509">
        <v>835.01900000000592</v>
      </c>
      <c r="G509" s="160">
        <v>0.27452531345170428</v>
      </c>
      <c r="I509" s="160"/>
      <c r="K509" s="160"/>
      <c r="L509">
        <v>834.91900000000589</v>
      </c>
      <c r="M509" s="160">
        <v>72.0791457349913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>
      <c r="B510" s="130">
        <v>835.21900000000596</v>
      </c>
      <c r="C510" s="160">
        <v>25.856381291670914</v>
      </c>
      <c r="D510">
        <v>835.21900000000596</v>
      </c>
      <c r="E510" s="160">
        <v>-2239.5135937912478</v>
      </c>
      <c r="F510">
        <v>835.21900000000596</v>
      </c>
      <c r="G510" s="160">
        <v>0.34073620875233246</v>
      </c>
      <c r="I510" s="160"/>
      <c r="K510" s="160"/>
      <c r="L510">
        <v>835.11900000000594</v>
      </c>
      <c r="M510" s="160">
        <v>70.66716518631759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>
      <c r="B511" s="130">
        <v>835.41900000000601</v>
      </c>
      <c r="C511" s="160">
        <v>25.669289970920566</v>
      </c>
      <c r="D511">
        <v>835.41900000000601</v>
      </c>
      <c r="E511" s="160">
        <v>-2239.442906612363</v>
      </c>
      <c r="F511">
        <v>835.41900000000601</v>
      </c>
      <c r="G511" s="160">
        <v>0.4114233876371145</v>
      </c>
      <c r="I511" s="160"/>
      <c r="K511" s="160"/>
      <c r="L511">
        <v>835.31900000000599</v>
      </c>
      <c r="M511" s="160">
        <v>69.302342207666953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>
      <c r="B512" s="130">
        <v>835.61900000000605</v>
      </c>
      <c r="C512" s="160">
        <v>25.483860283036073</v>
      </c>
      <c r="D512">
        <v>835.61900000000605</v>
      </c>
      <c r="E512" s="160">
        <v>-2239.3679687182675</v>
      </c>
      <c r="F512">
        <v>835.61900000000605</v>
      </c>
      <c r="G512" s="160">
        <v>0.48636128173257021</v>
      </c>
      <c r="I512" s="160"/>
      <c r="K512" s="160"/>
      <c r="L512">
        <v>835.51900000000603</v>
      </c>
      <c r="M512" s="160">
        <v>67.994837124242565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>
      <c r="B513" s="130">
        <v>835.8190000000061</v>
      </c>
      <c r="C513" s="160">
        <v>25.300098031664156</v>
      </c>
      <c r="D513">
        <v>835.8190000000061</v>
      </c>
      <c r="E513" s="160">
        <v>-2239.2890300662048</v>
      </c>
      <c r="F513">
        <v>835.8190000000061</v>
      </c>
      <c r="G513" s="160">
        <v>0.56529993379535881</v>
      </c>
      <c r="I513" s="160"/>
      <c r="K513" s="160"/>
      <c r="L513">
        <v>835.71900000000608</v>
      </c>
      <c r="M513" s="160">
        <v>66.753116926217501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>
      <c r="B514" s="130">
        <v>836.01900000000614</v>
      </c>
      <c r="C514" s="160">
        <v>25.117985663288348</v>
      </c>
      <c r="D514">
        <v>836.01900000000614</v>
      </c>
      <c r="E514" s="160">
        <v>-2239.2063561237082</v>
      </c>
      <c r="F514">
        <v>836.01900000000614</v>
      </c>
      <c r="G514" s="160">
        <v>0.64797387629187142</v>
      </c>
      <c r="I514" s="160"/>
      <c r="K514" s="160"/>
      <c r="L514">
        <v>835.91900000000612</v>
      </c>
      <c r="M514" s="160">
        <v>65.583274622494514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>
      <c r="B515" s="130">
        <v>836.21900000000619</v>
      </c>
      <c r="C515" s="160">
        <v>24.93747614761195</v>
      </c>
      <c r="D515">
        <v>836.21900000000619</v>
      </c>
      <c r="E515" s="160">
        <v>-2239.1202385839065</v>
      </c>
      <c r="F515">
        <v>836.21900000000619</v>
      </c>
      <c r="G515" s="160">
        <v>0.7340914160936336</v>
      </c>
      <c r="I515" s="160"/>
      <c r="K515" s="160"/>
      <c r="L515">
        <v>836.11900000000617</v>
      </c>
      <c r="M515" s="160">
        <v>64.495108490489088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>
      <c r="B516" s="130">
        <v>836.41900000000624</v>
      </c>
      <c r="C516" s="160">
        <v>24.758490632787318</v>
      </c>
      <c r="D516">
        <v>836.41900000000624</v>
      </c>
      <c r="E516" s="160">
        <v>-2239.0309966522823</v>
      </c>
      <c r="F516">
        <v>836.41900000000624</v>
      </c>
      <c r="G516" s="160">
        <v>0.82333334771783484</v>
      </c>
      <c r="I516" s="160"/>
      <c r="K516" s="160"/>
      <c r="L516">
        <v>836.31900000000621</v>
      </c>
      <c r="M516" s="160">
        <v>63.499219111437029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>
      <c r="B517" s="130">
        <v>836.61900000000628</v>
      </c>
      <c r="C517" s="160">
        <v>24.580943341340024</v>
      </c>
      <c r="D517">
        <v>836.61900000000628</v>
      </c>
      <c r="E517" s="160">
        <v>-2238.9389264749389</v>
      </c>
      <c r="F517">
        <v>836.61900000000628</v>
      </c>
      <c r="G517" s="160">
        <v>0.9154035250612651</v>
      </c>
      <c r="I517" s="160"/>
      <c r="K517" s="160"/>
      <c r="L517">
        <v>836.51900000000626</v>
      </c>
      <c r="M517" s="160">
        <v>62.590232598619806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>
      <c r="B518" s="130">
        <v>836.81900000000633</v>
      </c>
      <c r="C518" s="160">
        <v>24.404700922288942</v>
      </c>
      <c r="D518">
        <v>836.81900000000633</v>
      </c>
      <c r="E518" s="160">
        <v>-2238.8443823611042</v>
      </c>
      <c r="F518">
        <v>836.81900000000633</v>
      </c>
      <c r="G518" s="160">
        <v>1.0099476388959374</v>
      </c>
      <c r="I518" s="160"/>
      <c r="K518" s="160"/>
      <c r="L518">
        <v>836.7190000000063</v>
      </c>
      <c r="M518" s="160">
        <v>61.788952233532619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>
      <c r="B519" s="130">
        <v>837.01900000000637</v>
      </c>
      <c r="C519" s="160">
        <v>24.229605101066788</v>
      </c>
      <c r="D519">
        <v>837.01900000000637</v>
      </c>
      <c r="E519" s="160">
        <v>-2238.7477311610546</v>
      </c>
      <c r="F519">
        <v>837.01900000000637</v>
      </c>
      <c r="G519" s="160">
        <v>1.1065988389455015</v>
      </c>
      <c r="I519" s="160"/>
      <c r="K519" s="160"/>
      <c r="L519">
        <v>836.91900000000635</v>
      </c>
      <c r="M519" s="160">
        <v>61.101727078936925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>
      <c r="B520" s="130">
        <v>837.21900000000642</v>
      </c>
      <c r="C520" s="160">
        <v>24.055484497410859</v>
      </c>
      <c r="D520">
        <v>837.21900000000642</v>
      </c>
      <c r="E520" s="160">
        <v>-2238.6493338160922</v>
      </c>
      <c r="F520">
        <v>837.21900000000642</v>
      </c>
      <c r="G520" s="160">
        <v>1.2049961839079515</v>
      </c>
      <c r="I520" s="160"/>
      <c r="K520" s="160"/>
      <c r="L520">
        <v>837.11900000000639</v>
      </c>
      <c r="M520" s="160">
        <v>60.528761869010182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>
      <c r="B521" s="130">
        <v>837.41900000000646</v>
      </c>
      <c r="C521" s="160">
        <v>23.88213917131144</v>
      </c>
      <c r="D521">
        <v>837.41900000000646</v>
      </c>
      <c r="E521" s="160">
        <v>-2238.5495769091804</v>
      </c>
      <c r="F521">
        <v>837.41900000000646</v>
      </c>
      <c r="G521" s="160">
        <v>1.3047530908197587</v>
      </c>
      <c r="I521" s="160"/>
      <c r="K521" s="160"/>
      <c r="L521">
        <v>837.31900000000644</v>
      </c>
      <c r="M521" s="160">
        <v>60.080399558883421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>
      <c r="B522" s="130">
        <v>837.61900000000651</v>
      </c>
      <c r="C522" s="160">
        <v>23.709350864548998</v>
      </c>
      <c r="D522">
        <v>837.61900000000651</v>
      </c>
      <c r="E522" s="160">
        <v>-2238.448858175977</v>
      </c>
      <c r="F522">
        <v>837.61900000000651</v>
      </c>
      <c r="G522" s="160">
        <v>1.4054718240231523</v>
      </c>
      <c r="I522" s="160"/>
      <c r="K522" s="160"/>
      <c r="L522">
        <v>837.51900000000649</v>
      </c>
      <c r="M522" s="160">
        <v>59.761984750763489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>
      <c r="B523" s="130">
        <v>837.81900000000655</v>
      </c>
      <c r="C523" s="160">
        <v>23.536883917876846</v>
      </c>
      <c r="D523">
        <v>837.81900000000655</v>
      </c>
      <c r="E523" s="160">
        <v>-2238.3475900516469</v>
      </c>
      <c r="F523">
        <v>837.81900000000655</v>
      </c>
      <c r="G523" s="160">
        <v>1.5067399483532427</v>
      </c>
      <c r="I523" s="160"/>
      <c r="K523" s="160"/>
      <c r="L523">
        <v>837.71900000000653</v>
      </c>
      <c r="M523" s="160">
        <v>59.579647619943906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>
      <c r="B524" s="130">
        <v>838.0190000000066</v>
      </c>
      <c r="C524" s="160">
        <v>23.364485306080077</v>
      </c>
      <c r="D524">
        <v>838.0190000000066</v>
      </c>
      <c r="E524" s="160">
        <v>-2238.2462055532897</v>
      </c>
      <c r="F524">
        <v>838.0190000000066</v>
      </c>
      <c r="G524" s="160">
        <v>1.6081244467104625</v>
      </c>
      <c r="I524" s="160"/>
      <c r="K524" s="160"/>
      <c r="L524">
        <v>837.91900000000658</v>
      </c>
      <c r="M524" s="160">
        <v>59.540986204680031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>
      <c r="B525" s="130">
        <v>838.21900000000664</v>
      </c>
      <c r="C525" s="160">
        <v>23.192108563538383</v>
      </c>
      <c r="D525">
        <v>838.21900000000664</v>
      </c>
      <c r="E525" s="160">
        <v>-2238.1447837933465</v>
      </c>
      <c r="F525">
        <v>838.21900000000664</v>
      </c>
      <c r="G525" s="160">
        <v>1.7095462066536129</v>
      </c>
      <c r="I525" s="160"/>
      <c r="K525" s="160"/>
      <c r="L525">
        <v>838.11900000000662</v>
      </c>
      <c r="M525" s="160">
        <v>59.528608846317525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>
      <c r="B526" s="130">
        <v>838.41900000000669</v>
      </c>
      <c r="C526" s="160">
        <v>23.01971170949599</v>
      </c>
      <c r="D526">
        <v>838.41900000000669</v>
      </c>
      <c r="E526" s="160">
        <v>-2238.0433961406929</v>
      </c>
      <c r="F526">
        <v>838.41900000000669</v>
      </c>
      <c r="G526" s="160">
        <v>1.8109338593071698</v>
      </c>
      <c r="I526" s="160"/>
      <c r="K526" s="160"/>
      <c r="L526">
        <v>838.31900000000667</v>
      </c>
      <c r="M526" s="160">
        <v>59.539952011152444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>
      <c r="B527" s="130">
        <v>838.61900000000674</v>
      </c>
      <c r="C527" s="160">
        <v>22.847234665992961</v>
      </c>
      <c r="D527">
        <v>838.61900000000674</v>
      </c>
      <c r="E527" s="160">
        <v>-2237.9421448835942</v>
      </c>
      <c r="F527">
        <v>838.61900000000674</v>
      </c>
      <c r="G527" s="160">
        <v>1.912185116405908</v>
      </c>
      <c r="I527" s="160"/>
      <c r="K527" s="160"/>
      <c r="L527">
        <v>838.51900000000671</v>
      </c>
      <c r="M527" s="160">
        <v>59.585279101506806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>
      <c r="B528" s="130">
        <v>838.81900000000678</v>
      </c>
      <c r="C528" s="160">
        <v>22.674374314885174</v>
      </c>
      <c r="D528">
        <v>838.81900000000678</v>
      </c>
      <c r="E528" s="160">
        <v>-2237.8415493540451</v>
      </c>
      <c r="F528">
        <v>838.81900000000678</v>
      </c>
      <c r="G528" s="160">
        <v>2.0127806459549902</v>
      </c>
      <c r="I528" s="160"/>
      <c r="K528" s="160"/>
      <c r="L528">
        <v>838.71900000000676</v>
      </c>
      <c r="M528" s="160">
        <v>59.802871432428454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>
      <c r="B529" s="130">
        <v>839.01900000000683</v>
      </c>
      <c r="C529" s="160">
        <v>22.500829895949938</v>
      </c>
      <c r="D529">
        <v>839.01900000000683</v>
      </c>
      <c r="E529" s="160">
        <v>-2237.742138551735</v>
      </c>
      <c r="F529">
        <v>839.01900000000683</v>
      </c>
      <c r="G529" s="160">
        <v>2.1121914482650936</v>
      </c>
      <c r="I529" s="160"/>
      <c r="K529" s="160"/>
      <c r="L529">
        <v>838.9190000000068</v>
      </c>
      <c r="M529" s="160">
        <v>60.194785337902175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>
      <c r="B530" s="130">
        <v>839.21900000000687</v>
      </c>
      <c r="C530" s="160">
        <v>22.326285252156705</v>
      </c>
      <c r="D530">
        <v>839.21900000000687</v>
      </c>
      <c r="E530" s="160">
        <v>-2237.6444945623521</v>
      </c>
      <c r="F530">
        <v>839.21900000000687</v>
      </c>
      <c r="G530" s="160">
        <v>2.2098354376480529</v>
      </c>
      <c r="I530" s="160"/>
      <c r="K530" s="160"/>
      <c r="L530">
        <v>839.11900000000685</v>
      </c>
      <c r="M530" s="160">
        <v>60.776421802564123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>
      <c r="B531" s="130">
        <v>839.41900000000692</v>
      </c>
      <c r="C531" s="160">
        <v>22.150432290840712</v>
      </c>
      <c r="D531">
        <v>839.41900000000692</v>
      </c>
      <c r="E531" s="160">
        <v>-2237.5492269272631</v>
      </c>
      <c r="F531">
        <v>839.41900000000692</v>
      </c>
      <c r="G531" s="160">
        <v>2.3051030727369834</v>
      </c>
      <c r="I531" s="160"/>
      <c r="K531" s="160"/>
      <c r="L531">
        <v>839.31900000000689</v>
      </c>
      <c r="M531" s="160">
        <v>61.55355797543119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>
      <c r="B532" s="130">
        <v>839.61900000000696</v>
      </c>
      <c r="C532" s="160">
        <v>21.972975933150085</v>
      </c>
      <c r="D532">
        <v>839.61900000000696</v>
      </c>
      <c r="E532" s="160">
        <v>-2237.45698036355</v>
      </c>
      <c r="F532">
        <v>839.61900000000696</v>
      </c>
      <c r="G532" s="160">
        <v>2.3973496364501443</v>
      </c>
      <c r="I532" s="160"/>
      <c r="K532" s="160"/>
      <c r="L532">
        <v>839.51900000000694</v>
      </c>
      <c r="M532" s="160">
        <v>62.533382088177525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>
      <c r="B533" s="130">
        <v>839.81900000000701</v>
      </c>
      <c r="C533" s="160">
        <v>21.793633365316357</v>
      </c>
      <c r="D533">
        <v>839.81900000000701</v>
      </c>
      <c r="E533" s="160">
        <v>-2237.3684567652685</v>
      </c>
      <c r="F533">
        <v>839.81900000000701</v>
      </c>
      <c r="G533" s="160">
        <v>2.4858732347315708</v>
      </c>
      <c r="I533" s="160"/>
      <c r="K533" s="160"/>
      <c r="L533">
        <v>839.71900000000699</v>
      </c>
      <c r="M533" s="160">
        <v>63.7290261102914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>
      <c r="B534" s="130">
        <v>840.01900000000705</v>
      </c>
      <c r="C534" s="160">
        <v>21.612152818136391</v>
      </c>
      <c r="D534">
        <v>840.01900000000705</v>
      </c>
      <c r="E534" s="160">
        <v>-2237.2844032891981</v>
      </c>
      <c r="F534">
        <v>840.01900000000705</v>
      </c>
      <c r="G534" s="160">
        <v>2.5699267108020649</v>
      </c>
      <c r="I534" s="160"/>
      <c r="K534" s="160"/>
      <c r="L534">
        <v>839.91900000000703</v>
      </c>
      <c r="M534" s="160">
        <v>65.148588852072507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>
      <c r="B535" s="130">
        <v>840.2190000000071</v>
      </c>
      <c r="C535" s="160">
        <v>21.428341632880098</v>
      </c>
      <c r="D535">
        <v>840.2190000000071</v>
      </c>
      <c r="E535" s="160">
        <v>-2237.2055768311375</v>
      </c>
      <c r="F535">
        <v>840.2190000000071</v>
      </c>
      <c r="G535" s="160">
        <v>2.6487531688626405</v>
      </c>
      <c r="I535" s="160"/>
      <c r="K535" s="160"/>
      <c r="L535">
        <v>840.11900000000708</v>
      </c>
      <c r="M535" s="160">
        <v>66.788181638421719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>
      <c r="B536" s="130">
        <v>840.41900000000714</v>
      </c>
      <c r="C536" s="160">
        <v>21.242038106914169</v>
      </c>
      <c r="D536">
        <v>840.41900000000714</v>
      </c>
      <c r="E536" s="160">
        <v>-2237.1328366161542</v>
      </c>
      <c r="F536">
        <v>840.41900000000714</v>
      </c>
      <c r="G536" s="160">
        <v>2.7214933838458819</v>
      </c>
      <c r="I536" s="160"/>
      <c r="K536" s="160"/>
      <c r="L536">
        <v>840.31900000000712</v>
      </c>
      <c r="M536" s="160">
        <v>68.672373414457482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>
      <c r="B537" s="130">
        <v>840.61900000000719</v>
      </c>
      <c r="C537" s="160">
        <v>21.053163303264711</v>
      </c>
      <c r="D537">
        <v>840.61900000000719</v>
      </c>
      <c r="E537" s="160">
        <v>-2237.06706105075</v>
      </c>
      <c r="F537">
        <v>840.61900000000719</v>
      </c>
      <c r="G537" s="160">
        <v>2.7872689492501195</v>
      </c>
      <c r="I537" s="160"/>
      <c r="K537" s="160"/>
      <c r="L537">
        <v>840.51900000000717</v>
      </c>
      <c r="M537" s="160">
        <v>70.799350731713091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>
      <c r="B538" s="130">
        <v>840.81900000000724</v>
      </c>
      <c r="C538" s="160">
        <v>20.861720959243094</v>
      </c>
      <c r="D538">
        <v>840.81900000000724</v>
      </c>
      <c r="E538" s="160">
        <v>-2237.0091826265179</v>
      </c>
      <c r="F538">
        <v>840.81900000000724</v>
      </c>
      <c r="G538" s="160">
        <v>2.8451473734821775</v>
      </c>
      <c r="I538" s="160"/>
      <c r="K538" s="160"/>
      <c r="L538">
        <v>840.71900000000721</v>
      </c>
      <c r="M538" s="160">
        <v>73.178451279743385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>
      <c r="B539" s="130">
        <v>841.01900000000728</v>
      </c>
      <c r="C539" s="160">
        <v>20.667821708459311</v>
      </c>
      <c r="D539">
        <v>841.01900000000728</v>
      </c>
      <c r="E539" s="160">
        <v>-2236.9601609723536</v>
      </c>
      <c r="F539">
        <v>841.01900000000728</v>
      </c>
      <c r="G539" s="160">
        <v>2.8941690276465124</v>
      </c>
      <c r="I539" s="160"/>
      <c r="K539" s="160"/>
      <c r="L539">
        <v>840.91900000000726</v>
      </c>
      <c r="M539" s="160">
        <v>75.811775325054811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>
      <c r="B540" s="130">
        <v>841.21900000000733</v>
      </c>
      <c r="C540" s="160">
        <v>20.471693601431717</v>
      </c>
      <c r="D540">
        <v>841.21900000000733</v>
      </c>
      <c r="E540" s="160">
        <v>-2236.9209977449227</v>
      </c>
      <c r="F540">
        <v>841.21900000000733</v>
      </c>
      <c r="G540" s="160">
        <v>2.9333322550774028</v>
      </c>
      <c r="I540" s="160"/>
      <c r="K540" s="160"/>
      <c r="L540">
        <v>841.1190000000073</v>
      </c>
      <c r="M540" s="160">
        <v>78.707594973087495</v>
      </c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>
      <c r="B541" s="130">
        <v>841.41900000000737</v>
      </c>
      <c r="C541" s="160">
        <v>20.273702717744072</v>
      </c>
      <c r="D541">
        <v>841.41900000000737</v>
      </c>
      <c r="E541" s="160">
        <v>-2236.8927270934532</v>
      </c>
      <c r="F541">
        <v>841.41900000000737</v>
      </c>
      <c r="G541" s="160">
        <v>2.9616029065468865</v>
      </c>
      <c r="I541" s="160"/>
      <c r="K541" s="160"/>
      <c r="L541">
        <v>841.31900000000735</v>
      </c>
      <c r="M541" s="160">
        <v>81.873800133235846</v>
      </c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>
      <c r="B542" s="130">
        <v>841.61900000000742</v>
      </c>
      <c r="C542" s="160">
        <v>20.074528982360128</v>
      </c>
      <c r="D542">
        <v>841.61900000000742</v>
      </c>
      <c r="E542" s="160">
        <v>-2236.8745749775867</v>
      </c>
      <c r="F542">
        <v>841.61900000000742</v>
      </c>
      <c r="G542" s="160">
        <v>2.9797550224134284</v>
      </c>
      <c r="I542" s="160"/>
      <c r="K542" s="160"/>
      <c r="L542">
        <v>841.5190000000074</v>
      </c>
      <c r="M542" s="160">
        <v>84.792614702276396</v>
      </c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>
      <c r="B543" s="130">
        <v>841.81900000000746</v>
      </c>
      <c r="C543" s="160">
        <v>19.874724989613831</v>
      </c>
      <c r="D543">
        <v>841.81900000000746</v>
      </c>
      <c r="E543" s="160">
        <v>-2236.865738106821</v>
      </c>
      <c r="F543">
        <v>841.81900000000746</v>
      </c>
      <c r="G543" s="160">
        <v>2.9885918931790911</v>
      </c>
      <c r="I543" s="160"/>
      <c r="K543" s="160"/>
      <c r="L543">
        <v>841.71900000000744</v>
      </c>
      <c r="M543" s="160">
        <v>87.467589880331701</v>
      </c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>
      <c r="B544" s="130">
        <v>842.01900000000751</v>
      </c>
      <c r="C544" s="160">
        <v>19.674725852621471</v>
      </c>
      <c r="D544">
        <v>842.01900000000751</v>
      </c>
      <c r="E544" s="160">
        <v>-2236.8654004146001</v>
      </c>
      <c r="F544">
        <v>842.01900000000751</v>
      </c>
      <c r="G544" s="160">
        <v>2.9889295854000011</v>
      </c>
      <c r="I544" s="160"/>
      <c r="K544" s="160"/>
      <c r="L544">
        <v>841.91900000000749</v>
      </c>
      <c r="M544" s="160">
        <v>89.903257979326085</v>
      </c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>
      <c r="B545" s="130">
        <v>842.21900000000755</v>
      </c>
      <c r="C545" s="160">
        <v>19.474860744772496</v>
      </c>
      <c r="D545">
        <v>842.21900000000755</v>
      </c>
      <c r="E545" s="160">
        <v>-2236.8727314548255</v>
      </c>
      <c r="F545">
        <v>842.21900000000755</v>
      </c>
      <c r="G545" s="160">
        <v>2.9815985451746201</v>
      </c>
      <c r="I545" s="160"/>
      <c r="K545" s="160"/>
      <c r="L545">
        <v>842.11900000000753</v>
      </c>
      <c r="M545" s="160">
        <v>92.100664019745139</v>
      </c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>
      <c r="B546" s="130">
        <v>842.4190000000076</v>
      </c>
      <c r="C546" s="160">
        <v>19.275364553344719</v>
      </c>
      <c r="D546">
        <v>842.4190000000076</v>
      </c>
      <c r="E546" s="160">
        <v>-2236.8869126297932</v>
      </c>
      <c r="F546">
        <v>842.4190000000076</v>
      </c>
      <c r="G546" s="160">
        <v>2.9674173702069311</v>
      </c>
      <c r="I546" s="160"/>
      <c r="K546" s="160"/>
      <c r="L546">
        <v>842.31900000000758</v>
      </c>
      <c r="M546" s="160">
        <v>94.066027662609329</v>
      </c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>
      <c r="B547" s="130">
        <v>842.61900000000765</v>
      </c>
      <c r="C547" s="160">
        <v>19.076387125387043</v>
      </c>
      <c r="D547">
        <v>842.61900000000765</v>
      </c>
      <c r="E547" s="160">
        <v>-2236.9071077807407</v>
      </c>
      <c r="F547">
        <v>842.61900000000765</v>
      </c>
      <c r="G547" s="160">
        <v>2.9472222192594018</v>
      </c>
      <c r="I547" s="160"/>
      <c r="K547" s="160"/>
      <c r="L547">
        <v>842.51900000000762</v>
      </c>
      <c r="M547" s="160">
        <v>95.795371638077611</v>
      </c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>
      <c r="B548" s="130">
        <v>842.81900000000769</v>
      </c>
      <c r="C548" s="160">
        <v>18.878011672654608</v>
      </c>
      <c r="D548">
        <v>842.81900000000769</v>
      </c>
      <c r="E548" s="160">
        <v>-2236.9325451621667</v>
      </c>
      <c r="F548">
        <v>842.81900000000769</v>
      </c>
      <c r="G548" s="160">
        <v>2.9217848378334565</v>
      </c>
      <c r="I548" s="160"/>
      <c r="K548" s="160"/>
      <c r="L548">
        <v>842.71900000000767</v>
      </c>
      <c r="M548" s="160">
        <v>97.307075470076882</v>
      </c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>
      <c r="B549" s="130">
        <v>843.01900000000774</v>
      </c>
      <c r="C549" s="160">
        <v>18.680261625017295</v>
      </c>
      <c r="D549">
        <v>843.01900000000774</v>
      </c>
      <c r="E549" s="160">
        <v>-2236.9624586056439</v>
      </c>
      <c r="F549">
        <v>843.01900000000774</v>
      </c>
      <c r="G549" s="160">
        <v>2.891871394356258</v>
      </c>
      <c r="I549" s="160"/>
      <c r="K549" s="160"/>
      <c r="L549">
        <v>842.91900000000771</v>
      </c>
      <c r="M549" s="160">
        <v>98.601858341681194</v>
      </c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>
      <c r="B550" s="130">
        <v>843.21900000000778</v>
      </c>
      <c r="C550" s="160">
        <v>18.483112727467176</v>
      </c>
      <c r="D550">
        <v>843.21900000000778</v>
      </c>
      <c r="E550" s="160">
        <v>-2236.9961070534387</v>
      </c>
      <c r="F550">
        <v>843.21900000000778</v>
      </c>
      <c r="G550" s="160">
        <v>2.8582229465614546</v>
      </c>
      <c r="I550" s="160"/>
      <c r="K550" s="160"/>
      <c r="L550">
        <v>843.11900000000776</v>
      </c>
      <c r="M550" s="160">
        <v>99.685646327537583</v>
      </c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>
      <c r="B551" s="130">
        <v>843.41900000000783</v>
      </c>
      <c r="C551" s="160">
        <v>18.286509782657621</v>
      </c>
      <c r="D551">
        <v>843.41900000000783</v>
      </c>
      <c r="E551" s="160">
        <v>-2237.0328112015163</v>
      </c>
      <c r="F551">
        <v>843.41900000000783</v>
      </c>
      <c r="G551" s="160">
        <v>2.8215187984837939</v>
      </c>
      <c r="I551" s="160"/>
      <c r="K551" s="160"/>
      <c r="L551">
        <v>843.3190000000078</v>
      </c>
      <c r="M551" s="160">
        <v>100.57491226231366</v>
      </c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>
      <c r="B552" s="130">
        <v>843.61900000000787</v>
      </c>
      <c r="C552" s="160">
        <v>18.090361125542458</v>
      </c>
      <c r="D552">
        <v>843.61900000000787</v>
      </c>
      <c r="E552" s="160">
        <v>-2237.0718703825178</v>
      </c>
      <c r="F552">
        <v>843.61900000000787</v>
      </c>
      <c r="G552" s="160">
        <v>2.7824596174823455</v>
      </c>
      <c r="I552" s="160"/>
      <c r="K552" s="160"/>
      <c r="L552">
        <v>843.51900000000785</v>
      </c>
      <c r="M552" s="160">
        <v>101.26202213160754</v>
      </c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>
      <c r="B553" s="130">
        <v>843.81900000000792</v>
      </c>
      <c r="C553" s="160">
        <v>17.89456884221449</v>
      </c>
      <c r="D553">
        <v>843.81900000000792</v>
      </c>
      <c r="E553" s="160">
        <v>-2237.1126784337139</v>
      </c>
      <c r="F553">
        <v>843.81900000000792</v>
      </c>
      <c r="G553" s="160">
        <v>2.7416515662862366</v>
      </c>
      <c r="I553" s="160"/>
      <c r="K553" s="160"/>
      <c r="L553">
        <v>843.7190000000079</v>
      </c>
      <c r="M553" s="160">
        <v>101.77333497140285</v>
      </c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>
      <c r="B554" s="130">
        <v>844.01900000000796</v>
      </c>
      <c r="C554" s="160">
        <v>17.699015118460654</v>
      </c>
      <c r="D554">
        <v>844.01900000000796</v>
      </c>
      <c r="E554" s="160">
        <v>-2237.1546147376098</v>
      </c>
      <c r="F554">
        <v>844.01900000000796</v>
      </c>
      <c r="G554" s="160">
        <v>2.6997152623903276</v>
      </c>
      <c r="I554" s="160"/>
      <c r="K554" s="160"/>
      <c r="L554">
        <v>843.91900000000794</v>
      </c>
      <c r="M554" s="160">
        <v>102.10370257686381</v>
      </c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>
      <c r="B555" s="130">
        <v>844.21900000000801</v>
      </c>
      <c r="C555" s="160">
        <v>17.503581981361464</v>
      </c>
      <c r="D555">
        <v>844.21900000000801</v>
      </c>
      <c r="E555" s="160">
        <v>-2237.1971093997768</v>
      </c>
      <c r="F555">
        <v>844.21900000000801</v>
      </c>
      <c r="G555" s="160">
        <v>2.6572206002233543</v>
      </c>
      <c r="I555" s="160"/>
      <c r="K555" s="160"/>
      <c r="L555">
        <v>844.11900000000799</v>
      </c>
      <c r="M555" s="160">
        <v>102.26734850522078</v>
      </c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>
      <c r="B556" s="130">
        <v>844.41834482759418</v>
      </c>
      <c r="C556" s="160">
        <v>17.308811222788265</v>
      </c>
      <c r="D556">
        <v>844.41834482759418</v>
      </c>
      <c r="E556" s="160">
        <v>-2237.2395665120112</v>
      </c>
      <c r="F556">
        <v>844.41834482759418</v>
      </c>
      <c r="G556" s="160">
        <v>2.6147634879889665</v>
      </c>
      <c r="I556" s="160"/>
      <c r="K556" s="160"/>
      <c r="L556">
        <v>844.3186724138011</v>
      </c>
      <c r="M556" s="160">
        <v>102.29725331400611</v>
      </c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>
      <c r="B557" s="130">
        <v>844.61768965518036</v>
      </c>
      <c r="C557" s="160">
        <v>17.114046724226359</v>
      </c>
      <c r="D557">
        <v>844.61768965518036</v>
      </c>
      <c r="E557" s="160">
        <v>-2237.2820520890073</v>
      </c>
      <c r="F557">
        <v>844.61768965518036</v>
      </c>
      <c r="G557" s="160">
        <v>2.5722779109928524</v>
      </c>
      <c r="I557" s="160"/>
      <c r="K557" s="160"/>
      <c r="L557">
        <v>844.51801724138727</v>
      </c>
      <c r="M557" s="160">
        <v>102.30563017889192</v>
      </c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>
      <c r="B558" s="130">
        <v>844.81703448276653</v>
      </c>
      <c r="C558" s="160">
        <v>16.919275142421839</v>
      </c>
      <c r="D558">
        <v>844.81703448276653</v>
      </c>
      <c r="E558" s="160">
        <v>-2237.3245049369693</v>
      </c>
      <c r="F558">
        <v>844.81703448276653</v>
      </c>
      <c r="G558" s="160">
        <v>2.5298250630307848</v>
      </c>
      <c r="I558" s="160"/>
      <c r="K558" s="160"/>
      <c r="L558">
        <v>844.71736206897344</v>
      </c>
      <c r="M558" s="160">
        <v>102.29600539918104</v>
      </c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>
      <c r="B559" s="130">
        <v>845.0163793103527</v>
      </c>
      <c r="C559" s="160">
        <v>16.724485735855538</v>
      </c>
      <c r="D559">
        <v>845.0163793103527</v>
      </c>
      <c r="E559" s="160">
        <v>-2237.3668756774605</v>
      </c>
      <c r="F559">
        <v>845.0163793103527</v>
      </c>
      <c r="G559" s="160">
        <v>2.4874543225396337</v>
      </c>
      <c r="I559" s="160"/>
      <c r="K559" s="160"/>
      <c r="L559">
        <v>844.91670689655962</v>
      </c>
      <c r="M559" s="160">
        <v>102.27185629242634</v>
      </c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>
      <c r="B560" s="130">
        <v>845.21572413793888</v>
      </c>
      <c r="C560" s="160">
        <v>16.529666743522089</v>
      </c>
      <c r="D560">
        <v>845.21572413793888</v>
      </c>
      <c r="E560" s="160">
        <v>-2237.4091099288385</v>
      </c>
      <c r="F560">
        <v>845.21572413793888</v>
      </c>
      <c r="G560" s="160">
        <v>2.445220071161657</v>
      </c>
      <c r="I560" s="160"/>
      <c r="K560" s="160"/>
      <c r="L560">
        <v>845.11605172414579</v>
      </c>
      <c r="M560" s="160">
        <v>102.23171539401817</v>
      </c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>
      <c r="B561" s="130">
        <v>845.41506896552505</v>
      </c>
      <c r="C561" s="160">
        <v>16.334785233715902</v>
      </c>
      <c r="D561">
        <v>845.41506896552505</v>
      </c>
      <c r="E561" s="160">
        <v>-2237.4510545130647</v>
      </c>
      <c r="F561">
        <v>845.41506896552505</v>
      </c>
      <c r="G561" s="160">
        <v>2.4032754869353994</v>
      </c>
      <c r="I561" s="160"/>
      <c r="K561" s="160"/>
      <c r="L561">
        <v>845.31539655173196</v>
      </c>
      <c r="M561" s="160">
        <v>102.14654192156243</v>
      </c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>
      <c r="B562" s="130">
        <v>845.61441379311123</v>
      </c>
      <c r="C562" s="160">
        <v>16.139824148611549</v>
      </c>
      <c r="D562">
        <v>845.61441379311123</v>
      </c>
      <c r="E562" s="160">
        <v>-2237.4926274108207</v>
      </c>
      <c r="F562">
        <v>845.61441379311123</v>
      </c>
      <c r="G562" s="160">
        <v>2.3617025891794583</v>
      </c>
      <c r="I562" s="160"/>
      <c r="K562" s="160"/>
      <c r="L562">
        <v>845.51474137931814</v>
      </c>
      <c r="M562" s="160">
        <v>102.03729042665553</v>
      </c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>
      <c r="B563" s="130">
        <v>845.8137586206974</v>
      </c>
      <c r="C563" s="160">
        <v>15.944780915880242</v>
      </c>
      <c r="D563">
        <v>845.8137586206974</v>
      </c>
      <c r="E563" s="160">
        <v>-2237.5338129397205</v>
      </c>
      <c r="F563">
        <v>845.8137586206974</v>
      </c>
      <c r="G563" s="160">
        <v>2.3205170602795988</v>
      </c>
      <c r="I563" s="160"/>
      <c r="K563" s="160"/>
      <c r="L563">
        <v>845.71408620690431</v>
      </c>
      <c r="M563" s="160">
        <v>101.92347633579668</v>
      </c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>
      <c r="B564" s="130">
        <v>846.01310344828357</v>
      </c>
      <c r="C564" s="160">
        <v>15.749670010638967</v>
      </c>
      <c r="D564">
        <v>846.01310344828357</v>
      </c>
      <c r="E564" s="160">
        <v>-2237.5746764355763</v>
      </c>
      <c r="F564">
        <v>846.01310344828357</v>
      </c>
      <c r="G564" s="160">
        <v>2.2796535644238247</v>
      </c>
      <c r="I564" s="160"/>
      <c r="K564" s="160"/>
      <c r="L564">
        <v>845.91343103449049</v>
      </c>
      <c r="M564" s="160">
        <v>101.82889553766853</v>
      </c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>
      <c r="B565" s="130">
        <v>846.21244827586975</v>
      </c>
      <c r="C565" s="160">
        <v>15.554517618140119</v>
      </c>
      <c r="D565">
        <v>846.21244827586975</v>
      </c>
      <c r="E565" s="160">
        <v>-2237.6153410970978</v>
      </c>
      <c r="F565">
        <v>846.21244827586975</v>
      </c>
      <c r="G565" s="160">
        <v>2.2389889029022925</v>
      </c>
      <c r="I565" s="160"/>
      <c r="K565" s="160"/>
      <c r="L565">
        <v>846.11277586207666</v>
      </c>
      <c r="M565" s="160">
        <v>101.77051551578732</v>
      </c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>
      <c r="B566" s="130">
        <v>846.41179310345592</v>
      </c>
      <c r="C566" s="160">
        <v>15.359344279494422</v>
      </c>
      <c r="D566">
        <v>846.41179310345592</v>
      </c>
      <c r="E566" s="160">
        <v>-2237.6559100073305</v>
      </c>
      <c r="F566">
        <v>846.41179310345592</v>
      </c>
      <c r="G566" s="160">
        <v>2.1984199926696419</v>
      </c>
      <c r="I566" s="160"/>
      <c r="K566" s="160"/>
      <c r="L566">
        <v>846.31212068966283</v>
      </c>
      <c r="M566" s="160">
        <v>101.74234526500408</v>
      </c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>
      <c r="B567" s="130">
        <v>846.61113793104209</v>
      </c>
      <c r="C567" s="160">
        <v>15.163900044968743</v>
      </c>
      <c r="D567">
        <v>846.61113793104209</v>
      </c>
      <c r="E567" s="160">
        <v>-2237.6951527073852</v>
      </c>
      <c r="F567">
        <v>846.61113793104209</v>
      </c>
      <c r="G567" s="160">
        <v>2.1591772926149133</v>
      </c>
      <c r="I567" s="160"/>
      <c r="K567" s="160"/>
      <c r="L567">
        <v>846.51146551724901</v>
      </c>
      <c r="M567" s="160">
        <v>101.35329424363346</v>
      </c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>
      <c r="B568" s="130">
        <v>846.81048275862827</v>
      </c>
      <c r="C568" s="160">
        <v>14.967945500423395</v>
      </c>
      <c r="D568">
        <v>846.81048275862827</v>
      </c>
      <c r="E568" s="160">
        <v>-2237.7317616696491</v>
      </c>
      <c r="F568">
        <v>846.81048275862827</v>
      </c>
      <c r="G568" s="160">
        <v>2.1225683303509868</v>
      </c>
      <c r="I568" s="160"/>
      <c r="K568" s="160"/>
      <c r="L568">
        <v>846.71081034483518</v>
      </c>
      <c r="M568" s="160">
        <v>100.5822201730615</v>
      </c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>
      <c r="B569" s="130">
        <v>847.00982758621444</v>
      </c>
      <c r="C569" s="160">
        <v>14.77130579150535</v>
      </c>
      <c r="D569">
        <v>847.00982758621444</v>
      </c>
      <c r="E569" s="160">
        <v>-2237.7644905537722</v>
      </c>
      <c r="F569">
        <v>847.00982758621444</v>
      </c>
      <c r="G569" s="160">
        <v>2.0898394462278702</v>
      </c>
      <c r="I569" s="160"/>
      <c r="K569" s="160"/>
      <c r="L569">
        <v>846.91015517242136</v>
      </c>
      <c r="M569" s="160">
        <v>99.449734175246348</v>
      </c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>
      <c r="B570" s="130">
        <v>847.20917241380062</v>
      </c>
      <c r="C570" s="160">
        <v>14.573891252560928</v>
      </c>
      <c r="D570">
        <v>847.20917241380062</v>
      </c>
      <c r="E570" s="160">
        <v>-2237.7921637626637</v>
      </c>
      <c r="F570">
        <v>847.20917241380062</v>
      </c>
      <c r="G570" s="160">
        <v>2.0621662373364416</v>
      </c>
      <c r="I570" s="160"/>
      <c r="K570" s="160"/>
      <c r="L570">
        <v>847.10950000000753</v>
      </c>
      <c r="M570" s="160">
        <v>97.979622326010599</v>
      </c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>
      <c r="B571" s="130">
        <v>847.40851724138679</v>
      </c>
      <c r="C571" s="160">
        <v>14.375713242743842</v>
      </c>
      <c r="D571">
        <v>847.40851724138679</v>
      </c>
      <c r="E571" s="160">
        <v>-2237.8136982357</v>
      </c>
      <c r="F571">
        <v>847.40851724138679</v>
      </c>
      <c r="G571" s="160">
        <v>2.0406317643000875</v>
      </c>
      <c r="I571" s="160"/>
      <c r="K571" s="160"/>
      <c r="L571">
        <v>847.3088448275937</v>
      </c>
      <c r="M571" s="160">
        <v>96.201557749675914</v>
      </c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>
      <c r="B572" s="130">
        <v>847.60786206897296</v>
      </c>
      <c r="C572" s="160">
        <v>14.176887968987657</v>
      </c>
      <c r="D572">
        <v>847.60786206897296</v>
      </c>
      <c r="E572" s="160">
        <v>-2237.8280759553168</v>
      </c>
      <c r="F572">
        <v>847.60786206897296</v>
      </c>
      <c r="G572" s="160">
        <v>2.0262540446833555</v>
      </c>
      <c r="I572" s="160"/>
      <c r="K572" s="160"/>
      <c r="L572">
        <v>847.50818965517988</v>
      </c>
      <c r="M572" s="160">
        <v>94.136049771997136</v>
      </c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>
      <c r="B573" s="130">
        <v>847.80720689655914</v>
      </c>
      <c r="C573" s="160">
        <v>13.977643275433707</v>
      </c>
      <c r="D573">
        <v>847.80720689655914</v>
      </c>
      <c r="E573" s="160">
        <v>-2237.8343778962599</v>
      </c>
      <c r="F573">
        <v>847.80720689655914</v>
      </c>
      <c r="G573" s="160">
        <v>2.0199521037402519</v>
      </c>
      <c r="I573" s="160"/>
      <c r="K573" s="160"/>
      <c r="L573">
        <v>847.70753448276605</v>
      </c>
      <c r="M573" s="160">
        <v>91.811613036276597</v>
      </c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>
      <c r="B574" s="130">
        <v>848.00655172414531</v>
      </c>
      <c r="C574" s="160">
        <v>13.778315682866648</v>
      </c>
      <c r="D574">
        <v>848.00655172414531</v>
      </c>
      <c r="E574" s="160">
        <v>-2237.831802608629</v>
      </c>
      <c r="F574">
        <v>848.00655172414531</v>
      </c>
      <c r="G574" s="160">
        <v>2.0225273913711135</v>
      </c>
      <c r="I574" s="160"/>
      <c r="K574" s="160"/>
      <c r="L574">
        <v>847.90687931035222</v>
      </c>
      <c r="M574" s="160">
        <v>89.259786860458192</v>
      </c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>
      <c r="B575" s="130">
        <v>848.20589655173148</v>
      </c>
      <c r="C575" s="160">
        <v>13.579342084046786</v>
      </c>
      <c r="D575">
        <v>848.20589655173148</v>
      </c>
      <c r="E575" s="160">
        <v>-2237.8196537958984</v>
      </c>
      <c r="F575">
        <v>848.20589655173148</v>
      </c>
      <c r="G575" s="160">
        <v>2.0346762041017428</v>
      </c>
      <c r="I575" s="160"/>
      <c r="K575" s="160"/>
      <c r="L575">
        <v>848.1062241379384</v>
      </c>
      <c r="M575" s="160">
        <v>86.50600563299173</v>
      </c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>
      <c r="B576" s="130">
        <v>848.40524137931766</v>
      </c>
      <c r="C576" s="160">
        <v>13.381183924848139</v>
      </c>
      <c r="D576">
        <v>848.40524137931766</v>
      </c>
      <c r="E576" s="160">
        <v>-2237.7979419113935</v>
      </c>
      <c r="F576">
        <v>848.40524137931766</v>
      </c>
      <c r="G576" s="160">
        <v>2.0563880886065817</v>
      </c>
      <c r="I576" s="160"/>
      <c r="K576" s="160"/>
      <c r="L576">
        <v>848.30556896552457</v>
      </c>
      <c r="M576" s="160">
        <v>83.747132427506003</v>
      </c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>
      <c r="B577" s="130">
        <v>848.60458620690383</v>
      </c>
      <c r="C577" s="160">
        <v>13.184300546159582</v>
      </c>
      <c r="D577">
        <v>848.60458620690383</v>
      </c>
      <c r="E577" s="160">
        <v>-2237.7667172019769</v>
      </c>
      <c r="F577">
        <v>848.60458620690383</v>
      </c>
      <c r="G577" s="160">
        <v>2.0876127980232013</v>
      </c>
      <c r="I577" s="160"/>
      <c r="K577" s="160"/>
      <c r="L577">
        <v>848.50491379311075</v>
      </c>
      <c r="M577" s="160">
        <v>80.98823428006979</v>
      </c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>
      <c r="B578" s="130">
        <v>848.80393103449001</v>
      </c>
      <c r="C578" s="160">
        <v>12.989148343396659</v>
      </c>
      <c r="D578">
        <v>848.80393103449001</v>
      </c>
      <c r="E578" s="160">
        <v>-2237.7260519797605</v>
      </c>
      <c r="F578">
        <v>848.80393103449001</v>
      </c>
      <c r="G578" s="160">
        <v>2.128278020239577</v>
      </c>
      <c r="I578" s="160"/>
      <c r="K578" s="160"/>
      <c r="L578">
        <v>848.70425862069692</v>
      </c>
      <c r="M578" s="160">
        <v>78.229315592553235</v>
      </c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>
      <c r="B579" s="130">
        <v>849.00327586207618</v>
      </c>
      <c r="C579" s="160">
        <v>12.79617970585997</v>
      </c>
      <c r="D579">
        <v>849.00327586207618</v>
      </c>
      <c r="E579" s="160">
        <v>-2237.6760404548854</v>
      </c>
      <c r="F579">
        <v>849.00327586207618</v>
      </c>
      <c r="G579" s="160">
        <v>2.1782895451146942</v>
      </c>
      <c r="I579" s="160"/>
      <c r="K579" s="160"/>
      <c r="L579">
        <v>848.90360344828309</v>
      </c>
      <c r="M579" s="160">
        <v>75.470380759375004</v>
      </c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>
      <c r="B580" s="130">
        <v>849.20262068966235</v>
      </c>
      <c r="C580" s="160">
        <v>12.605841965414283</v>
      </c>
      <c r="D580">
        <v>849.20262068966235</v>
      </c>
      <c r="E580" s="160">
        <v>-2237.6167985171578</v>
      </c>
      <c r="F580">
        <v>849.20262068966235</v>
      </c>
      <c r="G580" s="160">
        <v>2.2375314828423143</v>
      </c>
      <c r="I580" s="160"/>
      <c r="K580" s="160"/>
      <c r="L580">
        <v>849.10294827586927</v>
      </c>
      <c r="M580" s="160">
        <v>72.711434136559106</v>
      </c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>
      <c r="B581" s="130">
        <v>849.40196551724853</v>
      </c>
      <c r="C581" s="160">
        <v>12.418578569437498</v>
      </c>
      <c r="D581">
        <v>849.40196551724853</v>
      </c>
      <c r="E581" s="160">
        <v>-2237.5484642744232</v>
      </c>
      <c r="F581">
        <v>849.40196551724853</v>
      </c>
      <c r="G581" s="160">
        <v>2.3058657255769504</v>
      </c>
      <c r="I581" s="160"/>
      <c r="K581" s="160"/>
      <c r="L581">
        <v>849.30229310345544</v>
      </c>
      <c r="M581" s="160">
        <v>69.952480014769293</v>
      </c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>
      <c r="B582" s="130">
        <v>849.6013103448347</v>
      </c>
      <c r="C582" s="160">
        <v>12.234821798274449</v>
      </c>
      <c r="D582">
        <v>849.6013103448347</v>
      </c>
      <c r="E582" s="160">
        <v>-2237.4711952091238</v>
      </c>
      <c r="F582">
        <v>849.6013103448347</v>
      </c>
      <c r="G582" s="160">
        <v>2.3831347908762837</v>
      </c>
      <c r="I582" s="160"/>
      <c r="K582" s="160"/>
      <c r="L582">
        <v>849.50163793104161</v>
      </c>
      <c r="M582" s="160">
        <v>67.193420517678405</v>
      </c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>
      <c r="B583" s="130">
        <v>849.80065517242087</v>
      </c>
      <c r="C583" s="160">
        <v>12.054997792694538</v>
      </c>
      <c r="D583">
        <v>849.80065517242087</v>
      </c>
      <c r="E583" s="160">
        <v>-2237.3851701589956</v>
      </c>
      <c r="F583">
        <v>849.80065517242087</v>
      </c>
      <c r="G583" s="160">
        <v>2.4691598410045117</v>
      </c>
      <c r="I583" s="160"/>
      <c r="K583" s="160"/>
      <c r="L583">
        <v>849.70098275862779</v>
      </c>
      <c r="M583" s="160">
        <v>64.434261634323562</v>
      </c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>
      <c r="B584" s="130">
        <v>850.00000000000705</v>
      </c>
      <c r="C584" s="160">
        <v>11.87952361140715</v>
      </c>
      <c r="D584">
        <v>850.00000000000705</v>
      </c>
      <c r="E584" s="160">
        <v>-2237.2905882981809</v>
      </c>
      <c r="F584">
        <v>850.00000000000705</v>
      </c>
      <c r="G584" s="160">
        <v>2.4144117018190627</v>
      </c>
      <c r="I584" s="160"/>
      <c r="K584" s="160"/>
      <c r="L584">
        <v>849.90032758621396</v>
      </c>
      <c r="M584" s="160">
        <v>61.675009441201702</v>
      </c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>
      <c r="B585" s="130">
        <v>852.2190000000071</v>
      </c>
      <c r="C585" s="160">
        <v>9.9526576534674334</v>
      </c>
      <c r="D585">
        <v>852.2190000000071</v>
      </c>
      <c r="E585" s="160">
        <v>-2236.1900683441818</v>
      </c>
      <c r="F585">
        <v>852.2190000000071</v>
      </c>
      <c r="G585" s="160">
        <v>3.5149316558181454</v>
      </c>
      <c r="I585" s="160"/>
      <c r="K585" s="160"/>
      <c r="L585">
        <v>851.10950000000707</v>
      </c>
      <c r="M585" s="160">
        <v>60.267366111350135</v>
      </c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>
      <c r="B586" s="130"/>
      <c r="C586" s="160"/>
      <c r="E586" s="160"/>
      <c r="G586" s="160"/>
      <c r="I586" s="160"/>
      <c r="K586" s="160"/>
      <c r="L586">
        <v>852.2190000000071</v>
      </c>
      <c r="M586" s="160">
        <v>60.229741528356207</v>
      </c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>
      <c r="B587" s="130"/>
      <c r="C587" s="160"/>
      <c r="E587" s="160"/>
      <c r="G587" s="160"/>
      <c r="I587" s="160"/>
      <c r="K587" s="160"/>
      <c r="M587" s="160"/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>
      <c r="B588" s="130"/>
      <c r="C588" s="160"/>
      <c r="E588" s="160"/>
      <c r="G588" s="160"/>
      <c r="I588" s="160"/>
      <c r="K588" s="160"/>
      <c r="M588" s="160"/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>
      <c r="B589" s="130"/>
      <c r="C589" s="160"/>
      <c r="E589" s="160"/>
      <c r="G589" s="160"/>
      <c r="I589" s="160"/>
      <c r="K589" s="160"/>
      <c r="M589" s="160"/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>
      <c r="B590" s="130"/>
      <c r="C590" s="160"/>
      <c r="E590" s="160"/>
      <c r="G590" s="160"/>
      <c r="I590" s="160"/>
      <c r="K590" s="160"/>
      <c r="M590" s="160"/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>
      <c r="B591" s="130"/>
      <c r="C591" s="160"/>
      <c r="E591" s="160"/>
      <c r="G591" s="160"/>
      <c r="I591" s="160"/>
      <c r="K591" s="160"/>
      <c r="M591" s="160"/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>
      <c r="B592" s="130"/>
      <c r="C592" s="160"/>
      <c r="E592" s="160"/>
      <c r="G592" s="160"/>
      <c r="I592" s="160"/>
      <c r="K592" s="160"/>
      <c r="M592" s="160"/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>
      <c r="B593" s="130"/>
      <c r="C593" s="160"/>
      <c r="E593" s="160"/>
      <c r="G593" s="160"/>
      <c r="I593" s="160"/>
      <c r="K593" s="160"/>
      <c r="M593" s="160"/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>
      <c r="B594" s="130"/>
      <c r="C594" s="160"/>
      <c r="E594" s="160"/>
      <c r="G594" s="160"/>
      <c r="I594" s="160"/>
      <c r="K594" s="160"/>
      <c r="M594" s="160"/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>
      <c r="B595" s="130"/>
      <c r="C595" s="160"/>
      <c r="E595" s="160"/>
      <c r="G595" s="160"/>
      <c r="I595" s="160"/>
      <c r="K595" s="160"/>
      <c r="M595" s="160"/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>
      <c r="B596" s="130"/>
      <c r="C596" s="160"/>
      <c r="E596" s="160"/>
      <c r="G596" s="160"/>
      <c r="I596" s="160"/>
      <c r="K596" s="160"/>
      <c r="M596" s="160"/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>
      <c r="B597" s="130"/>
      <c r="C597" s="160"/>
      <c r="E597" s="160"/>
      <c r="G597" s="160"/>
      <c r="I597" s="160"/>
      <c r="K597" s="160"/>
      <c r="M597" s="160"/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>
      <c r="B598" s="130"/>
      <c r="C598" s="160"/>
      <c r="E598" s="160"/>
      <c r="G598" s="160"/>
      <c r="I598" s="160"/>
      <c r="K598" s="160"/>
      <c r="M598" s="160"/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>
      <c r="B599" s="130"/>
      <c r="C599" s="160"/>
      <c r="E599" s="160"/>
      <c r="G599" s="160"/>
      <c r="I599" s="160"/>
      <c r="K599" s="160"/>
      <c r="M599" s="160"/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>
      <c r="B600" s="130"/>
      <c r="C600" s="160"/>
      <c r="E600" s="160"/>
      <c r="G600" s="160"/>
      <c r="I600" s="160"/>
      <c r="K600" s="160"/>
      <c r="M600" s="160"/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>
      <c r="B601" s="130"/>
      <c r="C601" s="160"/>
      <c r="E601" s="160"/>
      <c r="G601" s="160"/>
      <c r="I601" s="160"/>
      <c r="K601" s="160"/>
      <c r="M601" s="160"/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>
      <c r="B602" s="130"/>
      <c r="C602" s="160"/>
      <c r="E602" s="160"/>
      <c r="G602" s="160"/>
      <c r="I602" s="160"/>
      <c r="K602" s="160"/>
      <c r="M602" s="160"/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>
      <c r="B603" s="130"/>
      <c r="C603" s="160"/>
      <c r="E603" s="160"/>
      <c r="G603" s="160"/>
      <c r="I603" s="160"/>
      <c r="K603" s="160"/>
      <c r="M603" s="160"/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>
      <c r="B604" s="130"/>
      <c r="C604" s="160"/>
      <c r="E604" s="160"/>
      <c r="G604" s="160"/>
      <c r="I604" s="160"/>
      <c r="K604" s="160"/>
      <c r="M604" s="160"/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>
      <c r="B605" s="130"/>
      <c r="C605" s="160"/>
      <c r="E605" s="160"/>
      <c r="G605" s="160"/>
      <c r="I605" s="160"/>
      <c r="K605" s="160"/>
      <c r="M605" s="160"/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>
      <c r="B606" s="130"/>
      <c r="C606" s="160"/>
      <c r="E606" s="160"/>
      <c r="G606" s="160"/>
      <c r="I606" s="160"/>
      <c r="K606" s="160"/>
      <c r="M606" s="160"/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>
      <c r="B607" s="130"/>
      <c r="C607" s="160"/>
      <c r="E607" s="160"/>
      <c r="G607" s="160"/>
      <c r="I607" s="160"/>
      <c r="K607" s="160"/>
      <c r="M607" s="160"/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>
      <c r="B608" s="130"/>
      <c r="C608" s="160"/>
      <c r="E608" s="160"/>
      <c r="G608" s="160"/>
      <c r="I608" s="160"/>
      <c r="K608" s="160"/>
      <c r="M608" s="160"/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>
      <c r="B609" s="130"/>
      <c r="C609" s="160"/>
      <c r="E609" s="160"/>
      <c r="G609" s="160"/>
      <c r="I609" s="160"/>
      <c r="K609" s="160"/>
      <c r="M609" s="160"/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>
      <c r="B610" s="130"/>
      <c r="C610" s="160"/>
      <c r="E610" s="160"/>
      <c r="G610" s="160"/>
      <c r="I610" s="160"/>
      <c r="K610" s="160"/>
      <c r="M610" s="160"/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>
      <c r="B611" s="130"/>
      <c r="C611" s="160"/>
      <c r="E611" s="160"/>
      <c r="G611" s="160"/>
      <c r="I611" s="160"/>
      <c r="K611" s="160"/>
      <c r="M611" s="160"/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>
      <c r="B612" s="130"/>
      <c r="C612" s="160"/>
      <c r="E612" s="160"/>
      <c r="G612" s="160"/>
      <c r="I612" s="160"/>
      <c r="K612" s="160"/>
      <c r="M612" s="160"/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>
      <c r="B613" s="130"/>
      <c r="C613" s="160"/>
      <c r="E613" s="160"/>
      <c r="G613" s="160"/>
      <c r="I613" s="160"/>
      <c r="K613" s="160"/>
      <c r="M613" s="160"/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>
      <c r="B614" s="130"/>
      <c r="C614" s="160"/>
      <c r="E614" s="160"/>
      <c r="G614" s="160"/>
      <c r="I614" s="160"/>
      <c r="K614" s="160"/>
      <c r="M614" s="160"/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>
      <c r="B615" s="130"/>
      <c r="C615" s="160"/>
      <c r="E615" s="160"/>
      <c r="G615" s="160"/>
      <c r="I615" s="160"/>
      <c r="K615" s="160"/>
      <c r="M615" s="160"/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>
      <c r="B616" s="130"/>
      <c r="C616" s="160"/>
      <c r="E616" s="160"/>
      <c r="G616" s="160"/>
      <c r="I616" s="160"/>
      <c r="K616" s="160"/>
      <c r="M616" s="160"/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>
      <c r="B617" s="130"/>
      <c r="C617" s="160"/>
      <c r="E617" s="160"/>
      <c r="G617" s="160"/>
      <c r="I617" s="160"/>
      <c r="K617" s="160"/>
      <c r="M617" s="160"/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>
      <c r="B618" s="130"/>
      <c r="C618" s="160"/>
      <c r="E618" s="160"/>
      <c r="G618" s="160"/>
      <c r="I618" s="160"/>
      <c r="K618" s="160"/>
      <c r="M618" s="160"/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>
      <c r="B619" s="130"/>
      <c r="C619" s="160"/>
      <c r="E619" s="160"/>
      <c r="G619" s="160"/>
      <c r="I619" s="160"/>
      <c r="K619" s="160"/>
      <c r="M619" s="160"/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>
      <c r="B620" s="130"/>
      <c r="C620" s="160"/>
      <c r="E620" s="160"/>
      <c r="G620" s="160"/>
      <c r="I620" s="160"/>
      <c r="K620" s="160"/>
      <c r="M620" s="160"/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>
      <c r="B621" s="130"/>
      <c r="C621" s="160"/>
      <c r="E621" s="160"/>
      <c r="G621" s="160"/>
      <c r="I621" s="160"/>
      <c r="K621" s="160"/>
      <c r="M621" s="160"/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>
      <c r="B622" s="130"/>
      <c r="C622" s="160"/>
      <c r="E622" s="160"/>
      <c r="G622" s="160"/>
      <c r="I622" s="160"/>
      <c r="K622" s="160"/>
      <c r="M622" s="160"/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>
      <c r="B623" s="130"/>
      <c r="C623" s="160"/>
      <c r="E623" s="160"/>
      <c r="G623" s="160"/>
      <c r="I623" s="160"/>
      <c r="K623" s="160"/>
      <c r="M623" s="160"/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>
      <c r="B624" s="130"/>
      <c r="C624" s="160"/>
      <c r="E624" s="160"/>
      <c r="G624" s="160"/>
      <c r="I624" s="160"/>
      <c r="K624" s="160"/>
      <c r="M624" s="160"/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>
      <c r="B625" s="130"/>
      <c r="C625" s="160"/>
      <c r="E625" s="160"/>
      <c r="G625" s="160"/>
      <c r="I625" s="160"/>
      <c r="K625" s="160"/>
      <c r="M625" s="160"/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>
      <c r="B626" s="130"/>
      <c r="C626" s="160"/>
      <c r="E626" s="160"/>
      <c r="G626" s="160"/>
      <c r="I626" s="160"/>
      <c r="K626" s="160"/>
      <c r="M626" s="160"/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>
      <c r="B627" s="130"/>
      <c r="C627" s="160"/>
      <c r="E627" s="160"/>
      <c r="G627" s="160"/>
      <c r="I627" s="160"/>
      <c r="K627" s="160"/>
      <c r="M627" s="160"/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>
      <c r="B628" s="130"/>
      <c r="C628" s="160"/>
      <c r="E628" s="160"/>
      <c r="G628" s="160"/>
      <c r="I628" s="160"/>
      <c r="K628" s="160"/>
      <c r="M628" s="160"/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>
      <c r="B629" s="130"/>
      <c r="C629" s="160"/>
      <c r="E629" s="160"/>
      <c r="G629" s="160"/>
      <c r="I629" s="160"/>
      <c r="K629" s="160"/>
      <c r="M629" s="160"/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>
      <c r="B630" s="130"/>
      <c r="C630" s="160"/>
      <c r="E630" s="160"/>
      <c r="G630" s="160"/>
      <c r="I630" s="160"/>
      <c r="K630" s="160"/>
      <c r="M630" s="160"/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>
      <c r="B631" s="130"/>
      <c r="C631" s="160"/>
      <c r="E631" s="160"/>
      <c r="G631" s="160"/>
      <c r="I631" s="160"/>
      <c r="K631" s="160"/>
      <c r="M631" s="160"/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>
      <c r="B632" s="130"/>
      <c r="C632" s="160"/>
      <c r="E632" s="160"/>
      <c r="G632" s="160"/>
      <c r="I632" s="160"/>
      <c r="K632" s="160"/>
      <c r="M632" s="160"/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>
      <c r="B633" s="130"/>
      <c r="C633" s="160"/>
      <c r="E633" s="160"/>
      <c r="G633" s="160"/>
      <c r="I633" s="160"/>
      <c r="K633" s="160"/>
      <c r="M633" s="160"/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>
      <c r="B634" s="130"/>
      <c r="C634" s="160"/>
      <c r="E634" s="160"/>
      <c r="G634" s="160"/>
      <c r="I634" s="160"/>
      <c r="K634" s="160"/>
      <c r="M634" s="160"/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>
      <c r="B635" s="130"/>
      <c r="C635" s="160"/>
      <c r="E635" s="160"/>
      <c r="G635" s="160"/>
      <c r="I635" s="160"/>
      <c r="K635" s="160"/>
      <c r="M635" s="160"/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>
      <c r="B636" s="130"/>
      <c r="C636" s="160"/>
      <c r="E636" s="160"/>
      <c r="G636" s="160"/>
      <c r="I636" s="160"/>
      <c r="K636" s="160"/>
      <c r="M636" s="160"/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>
      <c r="B637" s="130"/>
      <c r="C637" s="160"/>
      <c r="E637" s="160"/>
      <c r="G637" s="160"/>
      <c r="I637" s="160"/>
      <c r="K637" s="160"/>
      <c r="M637" s="160"/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>
      <c r="B638" s="130"/>
      <c r="C638" s="160"/>
      <c r="E638" s="160"/>
      <c r="G638" s="160"/>
      <c r="I638" s="160"/>
      <c r="K638" s="160"/>
      <c r="M638" s="160"/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>
      <c r="B639" s="130"/>
      <c r="C639" s="160"/>
      <c r="E639" s="160"/>
      <c r="G639" s="160"/>
      <c r="I639" s="160"/>
      <c r="K639" s="160"/>
      <c r="M639" s="160"/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>
      <c r="B640" s="130"/>
      <c r="C640" s="160"/>
      <c r="E640" s="160"/>
      <c r="G640" s="160"/>
      <c r="I640" s="160"/>
      <c r="K640" s="160"/>
      <c r="M640" s="160"/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>
      <c r="B641" s="130"/>
      <c r="C641" s="160"/>
      <c r="E641" s="160"/>
      <c r="G641" s="160"/>
      <c r="I641" s="160"/>
      <c r="K641" s="160"/>
      <c r="M641" s="160"/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>
      <c r="B642" s="130"/>
      <c r="C642" s="160"/>
      <c r="E642" s="160"/>
      <c r="G642" s="160"/>
      <c r="I642" s="160"/>
      <c r="K642" s="160"/>
      <c r="M642" s="160"/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>
      <c r="B643" s="130"/>
      <c r="C643" s="160"/>
      <c r="E643" s="160"/>
      <c r="G643" s="160"/>
      <c r="I643" s="160"/>
      <c r="K643" s="160"/>
      <c r="M643" s="160"/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>
      <c r="B644" s="130"/>
      <c r="C644" s="160"/>
      <c r="E644" s="160"/>
      <c r="G644" s="160"/>
      <c r="I644" s="160"/>
      <c r="K644" s="160"/>
      <c r="M644" s="160"/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>
      <c r="B645" s="130"/>
      <c r="C645" s="160"/>
      <c r="E645" s="160"/>
      <c r="G645" s="160"/>
      <c r="I645" s="160"/>
      <c r="K645" s="160"/>
      <c r="M645" s="160"/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>
      <c r="B646" s="130"/>
      <c r="C646" s="160"/>
      <c r="E646" s="160"/>
      <c r="G646" s="160"/>
      <c r="I646" s="160"/>
      <c r="K646" s="160"/>
      <c r="M646" s="160"/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>
      <c r="B647" s="130"/>
      <c r="C647" s="160"/>
      <c r="E647" s="160"/>
      <c r="G647" s="160"/>
      <c r="I647" s="160"/>
      <c r="K647" s="160"/>
      <c r="M647" s="160"/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>
      <c r="B648" s="130"/>
      <c r="C648" s="160"/>
      <c r="E648" s="160"/>
      <c r="G648" s="160"/>
      <c r="I648" s="160"/>
      <c r="K648" s="160"/>
      <c r="M648" s="160"/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>
      <c r="B649" s="130"/>
      <c r="C649" s="160"/>
      <c r="E649" s="160"/>
      <c r="G649" s="160"/>
      <c r="I649" s="160"/>
      <c r="K649" s="160"/>
      <c r="M649" s="160"/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>
      <c r="B650" s="130"/>
      <c r="C650" s="160"/>
      <c r="E650" s="160"/>
      <c r="G650" s="160"/>
      <c r="I650" s="160"/>
      <c r="K650" s="160"/>
      <c r="M650" s="160"/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>
      <c r="B651" s="130"/>
      <c r="C651" s="160"/>
      <c r="E651" s="160"/>
      <c r="G651" s="160"/>
      <c r="I651" s="160"/>
      <c r="K651" s="160"/>
      <c r="M651" s="160"/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>
      <c r="B652" s="130"/>
      <c r="C652" s="160"/>
      <c r="E652" s="160"/>
      <c r="G652" s="160"/>
      <c r="I652" s="160"/>
      <c r="K652" s="160"/>
      <c r="M652" s="160"/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>
      <c r="B653" s="130"/>
      <c r="C653" s="160"/>
      <c r="E653" s="160"/>
      <c r="G653" s="160"/>
      <c r="I653" s="160"/>
      <c r="K653" s="160"/>
      <c r="M653" s="160"/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>
      <c r="B654" s="130"/>
      <c r="C654" s="160"/>
      <c r="E654" s="160"/>
      <c r="G654" s="160"/>
      <c r="I654" s="160"/>
      <c r="K654" s="160"/>
      <c r="M654" s="160"/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>
      <c r="B655" s="130"/>
      <c r="C655" s="160"/>
      <c r="E655" s="160"/>
      <c r="G655" s="160"/>
      <c r="I655" s="160"/>
      <c r="K655" s="160"/>
      <c r="M655" s="160"/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>
      <c r="B656" s="130"/>
      <c r="C656" s="160"/>
      <c r="E656" s="160"/>
      <c r="G656" s="160"/>
      <c r="I656" s="160"/>
      <c r="K656" s="160"/>
      <c r="M656" s="160"/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>
      <c r="B657" s="130"/>
      <c r="C657" s="160"/>
      <c r="E657" s="160"/>
      <c r="G657" s="160"/>
      <c r="I657" s="160"/>
      <c r="K657" s="160"/>
      <c r="M657" s="160"/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>
      <c r="B658" s="130"/>
      <c r="C658" s="160"/>
      <c r="E658" s="160"/>
      <c r="G658" s="160"/>
      <c r="I658" s="160"/>
      <c r="K658" s="160"/>
      <c r="M658" s="160"/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>
      <c r="B659" s="130"/>
      <c r="C659" s="160"/>
      <c r="E659" s="160"/>
      <c r="G659" s="160"/>
      <c r="I659" s="160"/>
      <c r="K659" s="160"/>
      <c r="M659" s="160"/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>
      <c r="B660" s="130"/>
      <c r="C660" s="160"/>
      <c r="E660" s="160"/>
      <c r="G660" s="160"/>
      <c r="I660" s="160"/>
      <c r="K660" s="160"/>
      <c r="M660" s="160"/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>
      <c r="B661" s="130"/>
      <c r="C661" s="160"/>
      <c r="E661" s="160"/>
      <c r="G661" s="160"/>
      <c r="I661" s="160"/>
      <c r="K661" s="160"/>
      <c r="M661" s="160"/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>
      <c r="B662" s="130"/>
      <c r="C662" s="160"/>
      <c r="E662" s="160"/>
      <c r="G662" s="160"/>
      <c r="I662" s="160"/>
      <c r="K662" s="160"/>
      <c r="M662" s="160"/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>
      <c r="B663" s="130"/>
      <c r="C663" s="160"/>
      <c r="E663" s="160"/>
      <c r="G663" s="160"/>
      <c r="I663" s="160"/>
      <c r="K663" s="160"/>
      <c r="M663" s="160"/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>
      <c r="B664" s="130"/>
      <c r="C664" s="160"/>
      <c r="E664" s="160"/>
      <c r="G664" s="160"/>
      <c r="I664" s="160"/>
      <c r="K664" s="160"/>
      <c r="M664" s="160"/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>
      <c r="B665" s="130"/>
      <c r="C665" s="160"/>
      <c r="E665" s="160"/>
      <c r="G665" s="160"/>
      <c r="I665" s="160"/>
      <c r="K665" s="160"/>
      <c r="M665" s="160"/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>
      <c r="B666" s="130"/>
      <c r="C666" s="160"/>
      <c r="E666" s="160"/>
      <c r="G666" s="160"/>
      <c r="I666" s="160"/>
      <c r="K666" s="160"/>
      <c r="M666" s="160"/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>
      <c r="B667" s="130"/>
      <c r="C667" s="160"/>
      <c r="E667" s="160"/>
      <c r="G667" s="160"/>
      <c r="I667" s="160"/>
      <c r="K667" s="160"/>
      <c r="M667" s="160"/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>
      <c r="B668" s="130"/>
      <c r="C668" s="160"/>
      <c r="E668" s="160"/>
      <c r="G668" s="160"/>
      <c r="I668" s="160"/>
      <c r="K668" s="160"/>
      <c r="M668" s="160"/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>
      <c r="B669" s="130"/>
      <c r="C669" s="160"/>
      <c r="E669" s="160"/>
      <c r="G669" s="160"/>
      <c r="I669" s="160"/>
      <c r="K669" s="160"/>
      <c r="M669" s="160"/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>
      <c r="B670" s="130"/>
      <c r="C670" s="160"/>
      <c r="E670" s="160"/>
      <c r="G670" s="160"/>
      <c r="I670" s="160"/>
      <c r="K670" s="160"/>
      <c r="M670" s="160"/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>
      <c r="B671" s="130"/>
      <c r="C671" s="160"/>
      <c r="E671" s="160"/>
      <c r="G671" s="160"/>
      <c r="I671" s="160"/>
      <c r="K671" s="160"/>
      <c r="M671" s="160"/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>
      <c r="B672" s="130"/>
      <c r="C672" s="160"/>
      <c r="E672" s="160"/>
      <c r="G672" s="160"/>
      <c r="I672" s="160"/>
      <c r="K672" s="160"/>
      <c r="M672" s="160"/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>
      <c r="B673" s="130"/>
      <c r="C673" s="160"/>
      <c r="E673" s="160"/>
      <c r="G673" s="160"/>
      <c r="I673" s="160"/>
      <c r="K673" s="160"/>
      <c r="M673" s="160"/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>
      <c r="B674" s="130"/>
      <c r="C674" s="160"/>
      <c r="E674" s="160"/>
      <c r="G674" s="160"/>
      <c r="I674" s="160"/>
      <c r="K674" s="160"/>
      <c r="M674" s="160"/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>
      <c r="B675" s="130"/>
      <c r="C675" s="160"/>
      <c r="E675" s="160"/>
      <c r="G675" s="160"/>
      <c r="I675" s="160"/>
      <c r="K675" s="160"/>
      <c r="M675" s="160"/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>
      <c r="B676" s="130"/>
      <c r="C676" s="160"/>
      <c r="E676" s="160"/>
      <c r="G676" s="160"/>
      <c r="I676" s="160"/>
      <c r="K676" s="160"/>
      <c r="M676" s="160"/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>
      <c r="B677" s="130"/>
      <c r="C677" s="160"/>
      <c r="E677" s="160"/>
      <c r="G677" s="160"/>
      <c r="I677" s="160"/>
      <c r="K677" s="160"/>
      <c r="M677" s="160"/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>
      <c r="B678" s="130"/>
      <c r="C678" s="160"/>
      <c r="E678" s="160"/>
      <c r="G678" s="160"/>
      <c r="I678" s="160"/>
      <c r="K678" s="160"/>
      <c r="M678" s="160"/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>
      <c r="B679" s="130"/>
      <c r="C679" s="160"/>
      <c r="E679" s="160"/>
      <c r="G679" s="160"/>
      <c r="I679" s="160"/>
      <c r="K679" s="160"/>
      <c r="M679" s="160"/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>
      <c r="B680" s="130"/>
      <c r="C680" s="160"/>
      <c r="E680" s="160"/>
      <c r="G680" s="160"/>
      <c r="I680" s="160"/>
      <c r="K680" s="160"/>
      <c r="M680" s="160"/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>
      <c r="B681" s="130"/>
      <c r="C681" s="160"/>
      <c r="E681" s="160"/>
      <c r="G681" s="160"/>
      <c r="I681" s="160"/>
      <c r="K681" s="160"/>
      <c r="M681" s="160"/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>
      <c r="B682" s="130"/>
      <c r="C682" s="160"/>
      <c r="E682" s="160"/>
      <c r="G682" s="160"/>
      <c r="I682" s="160"/>
      <c r="K682" s="160"/>
      <c r="M682" s="160"/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>
      <c r="B683" s="130"/>
      <c r="C683" s="160"/>
      <c r="E683" s="160"/>
      <c r="G683" s="160"/>
      <c r="I683" s="160"/>
      <c r="K683" s="160"/>
      <c r="M683" s="160"/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>
      <c r="B684" s="130"/>
      <c r="C684" s="160"/>
      <c r="E684" s="160"/>
      <c r="G684" s="160"/>
      <c r="I684" s="160"/>
      <c r="K684" s="160"/>
      <c r="M684" s="160"/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>
      <c r="B685" s="130"/>
      <c r="C685" s="160"/>
      <c r="E685" s="160"/>
      <c r="G685" s="160"/>
      <c r="I685" s="160"/>
      <c r="K685" s="160"/>
      <c r="M685" s="160"/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>
      <c r="B686" s="130"/>
      <c r="C686" s="160"/>
      <c r="E686" s="160"/>
      <c r="G686" s="160"/>
      <c r="I686" s="160"/>
      <c r="K686" s="160"/>
      <c r="M686" s="160"/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>
      <c r="B687" s="130"/>
      <c r="C687" s="160"/>
      <c r="E687" s="160"/>
      <c r="G687" s="160"/>
      <c r="I687" s="160"/>
      <c r="K687" s="160"/>
      <c r="M687" s="160"/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>
      <c r="B688" s="130"/>
      <c r="C688" s="160"/>
      <c r="E688" s="160"/>
      <c r="G688" s="160"/>
      <c r="I688" s="160"/>
      <c r="K688" s="160"/>
      <c r="M688" s="160"/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>
      <c r="B689" s="130"/>
      <c r="C689" s="160"/>
      <c r="E689" s="160"/>
      <c r="G689" s="160"/>
      <c r="I689" s="160"/>
      <c r="K689" s="160"/>
      <c r="M689" s="160"/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>
      <c r="B690" s="130"/>
      <c r="C690" s="160"/>
      <c r="E690" s="160"/>
      <c r="G690" s="160"/>
      <c r="I690" s="160"/>
      <c r="K690" s="160"/>
      <c r="M690" s="160"/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>
      <c r="B691" s="130"/>
      <c r="C691" s="160"/>
      <c r="E691" s="160"/>
      <c r="G691" s="160"/>
      <c r="I691" s="160"/>
      <c r="K691" s="160"/>
      <c r="M691" s="160"/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>
      <c r="B692" s="130"/>
      <c r="C692" s="160"/>
      <c r="E692" s="160"/>
      <c r="G692" s="160"/>
      <c r="I692" s="160"/>
      <c r="K692" s="160"/>
      <c r="M692" s="160"/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>
      <c r="B693" s="130"/>
      <c r="C693" s="160"/>
      <c r="E693" s="160"/>
      <c r="G693" s="160"/>
      <c r="I693" s="160"/>
      <c r="K693" s="160"/>
      <c r="M693" s="160"/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>
      <c r="B694" s="130"/>
      <c r="C694" s="160"/>
      <c r="E694" s="160"/>
      <c r="G694" s="160"/>
      <c r="I694" s="160"/>
      <c r="K694" s="160"/>
      <c r="M694" s="160"/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>
      <c r="B695" s="130"/>
      <c r="C695" s="160"/>
      <c r="E695" s="160"/>
      <c r="G695" s="160"/>
      <c r="I695" s="160"/>
      <c r="K695" s="160"/>
      <c r="M695" s="160"/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>
      <c r="B696" s="130"/>
      <c r="C696" s="160"/>
      <c r="E696" s="160"/>
      <c r="G696" s="160"/>
      <c r="I696" s="160"/>
      <c r="K696" s="160"/>
      <c r="M696" s="160"/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>
      <c r="B697" s="130"/>
      <c r="C697" s="160"/>
      <c r="E697" s="160"/>
      <c r="G697" s="160"/>
      <c r="I697" s="160"/>
      <c r="K697" s="160"/>
      <c r="M697" s="160"/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>
      <c r="B698" s="130"/>
      <c r="C698" s="160"/>
      <c r="E698" s="160"/>
      <c r="G698" s="160"/>
      <c r="I698" s="160"/>
      <c r="K698" s="160"/>
      <c r="M698" s="160"/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>
      <c r="B699" s="130"/>
      <c r="C699" s="160"/>
      <c r="E699" s="160"/>
      <c r="G699" s="160"/>
      <c r="I699" s="160"/>
      <c r="K699" s="160"/>
      <c r="M699" s="160"/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>
      <c r="B700" s="130"/>
      <c r="C700" s="160"/>
      <c r="E700" s="160"/>
      <c r="G700" s="160"/>
      <c r="I700" s="160"/>
      <c r="K700" s="160"/>
      <c r="M700" s="160"/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>
      <c r="B701" s="130"/>
      <c r="C701" s="160"/>
      <c r="E701" s="160"/>
      <c r="G701" s="160"/>
      <c r="I701" s="160"/>
      <c r="K701" s="160"/>
      <c r="M701" s="160"/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>
      <c r="B702" s="130"/>
      <c r="C702" s="160"/>
      <c r="E702" s="160"/>
      <c r="G702" s="160"/>
      <c r="I702" s="160"/>
      <c r="K702" s="160"/>
      <c r="M702" s="160"/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>
      <c r="B703" s="130"/>
      <c r="C703" s="160"/>
      <c r="E703" s="160"/>
      <c r="G703" s="160"/>
      <c r="I703" s="160"/>
      <c r="K703" s="160"/>
      <c r="M703" s="160"/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>
      <c r="B704" s="130"/>
      <c r="C704" s="160"/>
      <c r="E704" s="160"/>
      <c r="G704" s="160"/>
      <c r="I704" s="160"/>
      <c r="K704" s="160"/>
      <c r="M704" s="160"/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>
      <c r="B705" s="130"/>
      <c r="C705" s="160"/>
      <c r="E705" s="160"/>
      <c r="G705" s="160"/>
      <c r="I705" s="160"/>
      <c r="K705" s="160"/>
      <c r="M705" s="160"/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>
      <c r="B706" s="130"/>
      <c r="C706" s="160"/>
      <c r="E706" s="160"/>
      <c r="G706" s="160"/>
      <c r="I706" s="160"/>
      <c r="K706" s="160"/>
      <c r="M706" s="160"/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>
      <c r="B707" s="130"/>
      <c r="C707" s="160"/>
      <c r="E707" s="160"/>
      <c r="G707" s="160"/>
      <c r="I707" s="160"/>
      <c r="K707" s="160"/>
      <c r="M707" s="160"/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>
      <c r="B708" s="130"/>
      <c r="C708" s="160"/>
      <c r="E708" s="160"/>
      <c r="G708" s="160"/>
      <c r="I708" s="160"/>
      <c r="K708" s="160"/>
      <c r="M708" s="160"/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>
      <c r="B709" s="130"/>
      <c r="C709" s="160"/>
      <c r="E709" s="160"/>
      <c r="G709" s="160"/>
      <c r="I709" s="160"/>
      <c r="K709" s="160"/>
      <c r="M709" s="160"/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>
      <c r="B710" s="130"/>
      <c r="C710" s="160"/>
      <c r="E710" s="160"/>
      <c r="G710" s="160"/>
      <c r="I710" s="160"/>
      <c r="K710" s="160"/>
      <c r="M710" s="160"/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>
      <c r="B711" s="130"/>
      <c r="C711" s="160"/>
      <c r="E711" s="160"/>
      <c r="G711" s="160"/>
      <c r="I711" s="160"/>
      <c r="K711" s="160"/>
      <c r="M711" s="160"/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>
      <c r="B712" s="130"/>
      <c r="C712" s="160"/>
      <c r="E712" s="160"/>
      <c r="G712" s="160"/>
      <c r="I712" s="160"/>
      <c r="K712" s="160"/>
      <c r="M712" s="160"/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>
      <c r="B713" s="130"/>
      <c r="C713" s="160"/>
      <c r="E713" s="160"/>
      <c r="G713" s="160"/>
      <c r="I713" s="160"/>
      <c r="K713" s="160"/>
      <c r="M713" s="160"/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>
      <c r="B714" s="130"/>
      <c r="C714" s="160"/>
      <c r="E714" s="160"/>
      <c r="G714" s="160"/>
      <c r="I714" s="160"/>
      <c r="K714" s="160"/>
      <c r="M714" s="160"/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>
      <c r="B715" s="130"/>
      <c r="C715" s="160"/>
      <c r="E715" s="160"/>
      <c r="G715" s="160"/>
      <c r="I715" s="160"/>
      <c r="K715" s="160"/>
      <c r="M715" s="160"/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>
      <c r="B716" s="130"/>
      <c r="C716" s="160"/>
      <c r="E716" s="160"/>
      <c r="G716" s="160"/>
      <c r="I716" s="160"/>
      <c r="K716" s="160"/>
      <c r="M716" s="160"/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>
      <c r="B717" s="130"/>
      <c r="C717" s="160"/>
      <c r="E717" s="160"/>
      <c r="G717" s="160"/>
      <c r="I717" s="160"/>
      <c r="K717" s="160"/>
      <c r="M717" s="160"/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>
      <c r="B718" s="130"/>
      <c r="C718" s="160"/>
      <c r="E718" s="160"/>
      <c r="G718" s="160"/>
      <c r="I718" s="160"/>
      <c r="K718" s="160"/>
      <c r="M718" s="160"/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>
      <c r="B719" s="130"/>
      <c r="C719" s="160"/>
      <c r="E719" s="160"/>
      <c r="G719" s="160"/>
      <c r="I719" s="160"/>
      <c r="K719" s="160"/>
      <c r="M719" s="160"/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>
      <c r="B720" s="130"/>
      <c r="C720" s="160"/>
      <c r="E720" s="160"/>
      <c r="G720" s="160"/>
      <c r="I720" s="160"/>
      <c r="K720" s="160"/>
      <c r="M720" s="160"/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>
      <c r="B721" s="130"/>
      <c r="C721" s="160"/>
      <c r="E721" s="160"/>
      <c r="G721" s="160"/>
      <c r="I721" s="160"/>
      <c r="K721" s="160"/>
      <c r="M721" s="160"/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>
      <c r="B722" s="130"/>
      <c r="C722" s="160"/>
      <c r="E722" s="160"/>
      <c r="G722" s="160"/>
      <c r="I722" s="160"/>
      <c r="K722" s="160"/>
      <c r="M722" s="160"/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>
      <c r="B723" s="130"/>
      <c r="C723" s="160"/>
      <c r="E723" s="160"/>
      <c r="G723" s="160"/>
      <c r="I723" s="160"/>
      <c r="K723" s="160"/>
      <c r="M723" s="160"/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>
      <c r="B724" s="130"/>
      <c r="C724" s="160"/>
      <c r="E724" s="160"/>
      <c r="G724" s="160"/>
      <c r="I724" s="160"/>
      <c r="K724" s="160"/>
      <c r="M724" s="160"/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>
      <c r="B725" s="130"/>
      <c r="C725" s="160"/>
      <c r="E725" s="160"/>
      <c r="G725" s="160"/>
      <c r="I725" s="160"/>
      <c r="K725" s="160"/>
      <c r="M725" s="160"/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>
      <c r="B726" s="130"/>
      <c r="C726" s="160"/>
      <c r="E726" s="160"/>
      <c r="G726" s="160"/>
      <c r="I726" s="160"/>
      <c r="K726" s="160"/>
      <c r="M726" s="160"/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>
      <c r="B727" s="130"/>
      <c r="C727" s="160"/>
      <c r="E727" s="160"/>
      <c r="G727" s="160"/>
      <c r="I727" s="160"/>
      <c r="K727" s="160"/>
      <c r="M727" s="160"/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>
      <c r="B728" s="130"/>
      <c r="C728" s="160"/>
      <c r="E728" s="160"/>
      <c r="G728" s="160"/>
      <c r="I728" s="160"/>
      <c r="K728" s="160"/>
      <c r="M728" s="160"/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>
      <c r="B729" s="130"/>
      <c r="C729" s="160"/>
      <c r="E729" s="160"/>
      <c r="G729" s="160"/>
      <c r="I729" s="160"/>
      <c r="K729" s="160"/>
      <c r="M729" s="160"/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>
      <c r="B730" s="130"/>
      <c r="C730" s="160"/>
      <c r="E730" s="160"/>
      <c r="G730" s="160"/>
      <c r="I730" s="160"/>
      <c r="K730" s="160"/>
      <c r="M730" s="160"/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>
      <c r="B731" s="130"/>
      <c r="C731" s="160"/>
      <c r="E731" s="160"/>
      <c r="G731" s="160"/>
      <c r="I731" s="160"/>
      <c r="K731" s="160"/>
      <c r="M731" s="160"/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>
      <c r="B732" s="130"/>
      <c r="C732" s="160"/>
      <c r="E732" s="160"/>
      <c r="G732" s="160"/>
      <c r="I732" s="160"/>
      <c r="K732" s="160"/>
      <c r="M732" s="160"/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>
      <c r="B733" s="130"/>
      <c r="C733" s="160"/>
      <c r="E733" s="160"/>
      <c r="G733" s="160"/>
      <c r="I733" s="160"/>
      <c r="K733" s="160"/>
      <c r="M733" s="160"/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>
      <c r="B734" s="130"/>
      <c r="C734" s="160"/>
      <c r="E734" s="160"/>
      <c r="G734" s="160"/>
      <c r="I734" s="160"/>
      <c r="K734" s="160"/>
      <c r="M734" s="160"/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>
      <c r="B735" s="130"/>
      <c r="C735" s="160"/>
      <c r="E735" s="160"/>
      <c r="G735" s="160"/>
      <c r="I735" s="160"/>
      <c r="K735" s="160"/>
      <c r="M735" s="160"/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>
      <c r="B736" s="130"/>
      <c r="C736" s="160"/>
      <c r="E736" s="160"/>
      <c r="G736" s="160"/>
      <c r="I736" s="160"/>
      <c r="K736" s="160"/>
      <c r="M736" s="160"/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>
      <c r="B737" s="130"/>
      <c r="C737" s="160"/>
      <c r="E737" s="160"/>
      <c r="G737" s="160"/>
      <c r="I737" s="160"/>
      <c r="K737" s="160"/>
      <c r="M737" s="160"/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>
      <c r="B738" s="130"/>
      <c r="C738" s="160"/>
      <c r="E738" s="160"/>
      <c r="G738" s="160"/>
      <c r="I738" s="160"/>
      <c r="K738" s="160"/>
      <c r="M738" s="160"/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>
      <c r="B739" s="130"/>
      <c r="C739" s="160"/>
      <c r="E739" s="160"/>
      <c r="G739" s="160"/>
      <c r="I739" s="160"/>
      <c r="K739" s="160"/>
      <c r="M739" s="160"/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>
      <c r="B740" s="130"/>
      <c r="C740" s="160"/>
      <c r="E740" s="160"/>
      <c r="G740" s="160"/>
      <c r="I740" s="160"/>
      <c r="K740" s="160"/>
      <c r="M740" s="160"/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>
      <c r="B741" s="130"/>
      <c r="C741" s="160"/>
      <c r="E741" s="160"/>
      <c r="G741" s="160"/>
      <c r="I741" s="160"/>
      <c r="K741" s="160"/>
      <c r="M741" s="160"/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>
      <c r="B742" s="130"/>
      <c r="C742" s="160"/>
      <c r="E742" s="160"/>
      <c r="G742" s="160"/>
      <c r="I742" s="160"/>
      <c r="K742" s="160"/>
      <c r="M742" s="160"/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>
      <c r="B743" s="130"/>
      <c r="C743" s="160"/>
      <c r="E743" s="160"/>
      <c r="G743" s="160"/>
      <c r="I743" s="160"/>
      <c r="K743" s="160"/>
      <c r="M743" s="160"/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>
      <c r="B744" s="130"/>
      <c r="C744" s="160"/>
      <c r="E744" s="160"/>
      <c r="G744" s="160"/>
      <c r="I744" s="160"/>
      <c r="K744" s="160"/>
      <c r="M744" s="160"/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>
      <c r="B745" s="130"/>
      <c r="C745" s="160"/>
      <c r="E745" s="160"/>
      <c r="G745" s="160"/>
      <c r="I745" s="160"/>
      <c r="K745" s="160"/>
      <c r="M745" s="160"/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>
      <c r="B746" s="130"/>
      <c r="C746" s="160"/>
      <c r="E746" s="160"/>
      <c r="G746" s="160"/>
      <c r="I746" s="160"/>
      <c r="K746" s="160"/>
      <c r="M746" s="160"/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>
      <c r="B747" s="130"/>
      <c r="C747" s="160"/>
      <c r="E747" s="160"/>
      <c r="G747" s="160"/>
      <c r="I747" s="160"/>
      <c r="K747" s="160"/>
      <c r="M747" s="160"/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>
      <c r="B748" s="130"/>
      <c r="C748" s="160"/>
      <c r="E748" s="160"/>
      <c r="G748" s="160"/>
      <c r="I748" s="160"/>
      <c r="K748" s="160"/>
      <c r="M748" s="160"/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>
      <c r="B749" s="130"/>
      <c r="C749" s="160"/>
      <c r="E749" s="160"/>
      <c r="G749" s="160"/>
      <c r="I749" s="160"/>
      <c r="K749" s="160"/>
      <c r="M749" s="160"/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>
      <c r="B750" s="130"/>
      <c r="C750" s="160"/>
      <c r="E750" s="160"/>
      <c r="G750" s="160"/>
      <c r="I750" s="160"/>
      <c r="K750" s="160"/>
      <c r="M750" s="160"/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>
      <c r="B751" s="130"/>
      <c r="C751" s="160"/>
      <c r="E751" s="160"/>
      <c r="G751" s="160"/>
      <c r="I751" s="160"/>
      <c r="K751" s="160"/>
      <c r="M751" s="160"/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>
      <c r="B752" s="130"/>
      <c r="C752" s="160"/>
      <c r="E752" s="160"/>
      <c r="G752" s="160"/>
      <c r="I752" s="160"/>
      <c r="K752" s="160"/>
      <c r="M752" s="160"/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>
      <c r="B753" s="130"/>
      <c r="C753" s="160"/>
      <c r="E753" s="160"/>
      <c r="G753" s="160"/>
      <c r="I753" s="160"/>
      <c r="K753" s="160"/>
      <c r="M753" s="160"/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>
      <c r="B754" s="130"/>
      <c r="C754" s="160"/>
      <c r="E754" s="160"/>
      <c r="G754" s="160"/>
      <c r="I754" s="160"/>
      <c r="K754" s="160"/>
      <c r="M754" s="160"/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>
      <c r="B755" s="130"/>
      <c r="C755" s="160"/>
      <c r="E755" s="160"/>
      <c r="G755" s="160"/>
      <c r="I755" s="160"/>
      <c r="K755" s="160"/>
      <c r="M755" s="160"/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>
      <c r="B756" s="130"/>
      <c r="C756" s="160"/>
      <c r="E756" s="160"/>
      <c r="G756" s="160"/>
      <c r="I756" s="160"/>
      <c r="K756" s="160"/>
      <c r="M756" s="160"/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>
      <c r="B757" s="130"/>
      <c r="C757" s="160"/>
      <c r="E757" s="160"/>
      <c r="G757" s="160"/>
      <c r="I757" s="160"/>
      <c r="K757" s="160"/>
      <c r="M757" s="160"/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>
      <c r="B758" s="130"/>
      <c r="C758" s="160"/>
      <c r="E758" s="160"/>
      <c r="G758" s="160"/>
      <c r="I758" s="160"/>
      <c r="K758" s="160"/>
      <c r="M758" s="160"/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>
      <c r="B759" s="130"/>
      <c r="C759" s="160"/>
      <c r="E759" s="160"/>
      <c r="G759" s="160"/>
      <c r="I759" s="160"/>
      <c r="K759" s="160"/>
      <c r="M759" s="160"/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>
      <c r="B760" s="130"/>
      <c r="C760" s="160"/>
      <c r="E760" s="160"/>
      <c r="G760" s="160"/>
      <c r="I760" s="160"/>
      <c r="K760" s="160"/>
      <c r="M760" s="160"/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>
      <c r="B761" s="130"/>
      <c r="C761" s="160"/>
      <c r="E761" s="160"/>
      <c r="G761" s="160"/>
      <c r="I761" s="160"/>
      <c r="K761" s="160"/>
      <c r="M761" s="160"/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>
      <c r="B762" s="130"/>
      <c r="C762" s="160"/>
      <c r="E762" s="160"/>
      <c r="G762" s="160"/>
      <c r="I762" s="160"/>
      <c r="K762" s="160"/>
      <c r="M762" s="160"/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>
      <c r="B763" s="130"/>
      <c r="C763" s="160"/>
      <c r="E763" s="160"/>
      <c r="G763" s="160"/>
      <c r="I763" s="160"/>
      <c r="K763" s="160"/>
      <c r="M763" s="160"/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>
      <c r="B764" s="130"/>
      <c r="C764" s="160"/>
      <c r="E764" s="160"/>
      <c r="G764" s="160"/>
      <c r="I764" s="160"/>
      <c r="K764" s="160"/>
      <c r="M764" s="160"/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>
      <c r="B765" s="130"/>
      <c r="C765" s="160"/>
      <c r="E765" s="160"/>
      <c r="G765" s="160"/>
      <c r="I765" s="160"/>
      <c r="K765" s="160"/>
      <c r="M765" s="160"/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>
      <c r="B766" s="130"/>
      <c r="C766" s="160"/>
      <c r="E766" s="160"/>
      <c r="G766" s="160"/>
      <c r="I766" s="160"/>
      <c r="K766" s="160"/>
      <c r="M766" s="160"/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>
      <c r="B767" s="130"/>
      <c r="C767" s="160"/>
      <c r="E767" s="160"/>
      <c r="G767" s="160"/>
      <c r="I767" s="160"/>
      <c r="K767" s="160"/>
      <c r="M767" s="160"/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>
      <c r="B768" s="130"/>
      <c r="C768" s="160"/>
      <c r="E768" s="160"/>
      <c r="G768" s="160"/>
      <c r="I768" s="160"/>
      <c r="K768" s="160"/>
      <c r="M768" s="160"/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>
      <c r="B769" s="130"/>
      <c r="C769" s="160"/>
      <c r="E769" s="160"/>
      <c r="G769" s="160"/>
      <c r="I769" s="160"/>
      <c r="K769" s="160"/>
      <c r="M769" s="160"/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>
      <c r="B770" s="130"/>
      <c r="C770" s="160"/>
      <c r="E770" s="160"/>
      <c r="G770" s="160"/>
      <c r="I770" s="160"/>
      <c r="K770" s="160"/>
      <c r="M770" s="160"/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>
      <c r="B771" s="130"/>
      <c r="C771" s="160"/>
      <c r="E771" s="160"/>
      <c r="G771" s="160"/>
      <c r="I771" s="160"/>
      <c r="K771" s="160"/>
      <c r="M771" s="160"/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>
      <c r="B772" s="130"/>
      <c r="C772" s="160"/>
      <c r="E772" s="160"/>
      <c r="G772" s="160"/>
      <c r="I772" s="160"/>
      <c r="K772" s="160"/>
      <c r="M772" s="160"/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>
      <c r="B773" s="130"/>
      <c r="C773" s="160"/>
      <c r="E773" s="160"/>
      <c r="G773" s="160"/>
      <c r="I773" s="160"/>
      <c r="K773" s="160"/>
      <c r="M773" s="160"/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>
      <c r="B774" s="130"/>
      <c r="C774" s="160"/>
      <c r="E774" s="160"/>
      <c r="G774" s="160"/>
      <c r="I774" s="160"/>
      <c r="K774" s="160"/>
      <c r="M774" s="160"/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>
      <c r="B775" s="130"/>
      <c r="C775" s="160"/>
      <c r="E775" s="160"/>
      <c r="G775" s="160"/>
      <c r="I775" s="160"/>
      <c r="K775" s="160"/>
      <c r="M775" s="160"/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>
      <c r="B776" s="130"/>
      <c r="C776" s="160"/>
      <c r="E776" s="160"/>
      <c r="G776" s="160"/>
      <c r="I776" s="160"/>
      <c r="K776" s="160"/>
      <c r="M776" s="160"/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>
      <c r="B777" s="130"/>
      <c r="C777" s="160"/>
      <c r="E777" s="160"/>
      <c r="G777" s="160"/>
      <c r="I777" s="160"/>
      <c r="K777" s="160"/>
      <c r="M777" s="160"/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>
      <c r="B778" s="130"/>
      <c r="C778" s="160"/>
      <c r="E778" s="160"/>
      <c r="G778" s="160"/>
      <c r="I778" s="160"/>
      <c r="K778" s="160"/>
      <c r="M778" s="160"/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>
      <c r="B779" s="130"/>
      <c r="C779" s="160"/>
      <c r="E779" s="160"/>
      <c r="G779" s="160"/>
      <c r="I779" s="160"/>
      <c r="K779" s="160"/>
      <c r="M779" s="160"/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>
      <c r="B780" s="130"/>
      <c r="C780" s="160"/>
      <c r="E780" s="160"/>
      <c r="G780" s="160"/>
      <c r="I780" s="160"/>
      <c r="K780" s="160"/>
      <c r="M780" s="160"/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>
      <c r="B781" s="130"/>
      <c r="C781" s="160"/>
      <c r="E781" s="160"/>
      <c r="G781" s="160"/>
      <c r="I781" s="160"/>
      <c r="K781" s="160"/>
      <c r="M781" s="160"/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>
      <c r="B782" s="130"/>
      <c r="C782" s="160"/>
      <c r="E782" s="160"/>
      <c r="G782" s="160"/>
      <c r="I782" s="160"/>
      <c r="K782" s="160"/>
      <c r="M782" s="160"/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>
      <c r="B783" s="130"/>
      <c r="C783" s="160"/>
      <c r="E783" s="160"/>
      <c r="G783" s="160"/>
      <c r="I783" s="160"/>
      <c r="K783" s="160"/>
      <c r="M783" s="160"/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>
      <c r="B784" s="130"/>
      <c r="C784" s="160"/>
      <c r="E784" s="160"/>
      <c r="G784" s="160"/>
      <c r="I784" s="160"/>
      <c r="K784" s="160"/>
      <c r="M784" s="160"/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>
      <c r="B785" s="130"/>
      <c r="C785" s="160"/>
      <c r="E785" s="160"/>
      <c r="G785" s="160"/>
      <c r="I785" s="160"/>
      <c r="K785" s="160"/>
      <c r="M785" s="160"/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>
      <c r="B786" s="130"/>
      <c r="C786" s="160"/>
      <c r="E786" s="160"/>
      <c r="G786" s="160"/>
      <c r="I786" s="160"/>
      <c r="K786" s="160"/>
      <c r="M786" s="160"/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>
      <c r="B787" s="130"/>
      <c r="C787" s="160"/>
      <c r="E787" s="160"/>
      <c r="G787" s="160"/>
      <c r="I787" s="160"/>
      <c r="K787" s="160"/>
      <c r="M787" s="160"/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>
      <c r="B788" s="130"/>
      <c r="C788" s="160"/>
      <c r="E788" s="160"/>
      <c r="G788" s="160"/>
      <c r="I788" s="160"/>
      <c r="K788" s="160"/>
      <c r="M788" s="160"/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>
      <c r="B789" s="130"/>
      <c r="C789" s="160"/>
      <c r="E789" s="160"/>
      <c r="G789" s="160"/>
      <c r="I789" s="160"/>
      <c r="K789" s="160"/>
      <c r="M789" s="160"/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>
      <c r="B790" s="130"/>
      <c r="C790" s="160"/>
      <c r="E790" s="160"/>
      <c r="G790" s="160"/>
      <c r="I790" s="160"/>
      <c r="K790" s="160"/>
      <c r="M790" s="160"/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>
      <c r="B791" s="130"/>
      <c r="C791" s="160"/>
      <c r="E791" s="160"/>
      <c r="G791" s="160"/>
      <c r="I791" s="160"/>
      <c r="K791" s="160"/>
      <c r="M791" s="160"/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>
      <c r="B792" s="130"/>
      <c r="C792" s="160"/>
      <c r="E792" s="160"/>
      <c r="G792" s="160"/>
      <c r="I792" s="160"/>
      <c r="K792" s="160"/>
      <c r="M792" s="160"/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>
      <c r="B793" s="130"/>
      <c r="C793" s="160"/>
      <c r="E793" s="160"/>
      <c r="G793" s="160"/>
      <c r="I793" s="160"/>
      <c r="K793" s="160"/>
      <c r="M793" s="160"/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>
      <c r="B794" s="130"/>
      <c r="C794" s="160"/>
      <c r="E794" s="160"/>
      <c r="G794" s="160"/>
      <c r="I794" s="160"/>
      <c r="K794" s="160"/>
      <c r="M794" s="160"/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>
      <c r="B795" s="130"/>
      <c r="C795" s="160"/>
      <c r="E795" s="160"/>
      <c r="G795" s="160"/>
      <c r="I795" s="160"/>
      <c r="K795" s="160"/>
      <c r="M795" s="160"/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>
      <c r="B796" s="130"/>
      <c r="C796" s="160"/>
      <c r="E796" s="160"/>
      <c r="G796" s="160"/>
      <c r="I796" s="160"/>
      <c r="K796" s="160"/>
      <c r="M796" s="160"/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>
      <c r="B797" s="130"/>
      <c r="C797" s="160"/>
      <c r="E797" s="160"/>
      <c r="G797" s="160"/>
      <c r="I797" s="160"/>
      <c r="K797" s="160"/>
      <c r="M797" s="160"/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>
      <c r="B798" s="130"/>
      <c r="C798" s="160"/>
      <c r="E798" s="160"/>
      <c r="G798" s="160"/>
      <c r="I798" s="160"/>
      <c r="K798" s="160"/>
      <c r="M798" s="160"/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>
      <c r="B799" s="130"/>
      <c r="C799" s="160"/>
      <c r="E799" s="160"/>
      <c r="G799" s="160"/>
      <c r="I799" s="160"/>
      <c r="K799" s="160"/>
      <c r="M799" s="160"/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>
      <c r="B800" s="130"/>
      <c r="C800" s="160"/>
      <c r="E800" s="160"/>
      <c r="G800" s="160"/>
      <c r="I800" s="160"/>
      <c r="K800" s="160"/>
      <c r="M800" s="160"/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>
      <c r="B801" s="130"/>
      <c r="C801" s="160"/>
      <c r="E801" s="160"/>
      <c r="G801" s="160"/>
      <c r="I801" s="160"/>
      <c r="K801" s="160"/>
      <c r="M801" s="160"/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>
      <c r="B802" s="130"/>
      <c r="C802" s="160"/>
      <c r="E802" s="160"/>
      <c r="G802" s="160"/>
      <c r="I802" s="160"/>
      <c r="K802" s="160"/>
      <c r="M802" s="160"/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>
      <c r="B803" s="130"/>
      <c r="C803" s="160"/>
      <c r="E803" s="160"/>
      <c r="G803" s="160"/>
      <c r="I803" s="160"/>
      <c r="K803" s="160"/>
      <c r="M803" s="160"/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>
      <c r="B804" s="130"/>
      <c r="C804" s="160"/>
      <c r="E804" s="160"/>
      <c r="G804" s="160"/>
      <c r="I804" s="160"/>
      <c r="K804" s="160"/>
      <c r="M804" s="160"/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>
      <c r="B805" s="130"/>
      <c r="C805" s="160"/>
      <c r="E805" s="160"/>
      <c r="G805" s="160"/>
      <c r="I805" s="160"/>
      <c r="K805" s="160"/>
      <c r="M805" s="160"/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>
      <c r="B806" s="130"/>
      <c r="C806" s="160"/>
      <c r="E806" s="160"/>
      <c r="G806" s="160"/>
      <c r="I806" s="160"/>
      <c r="K806" s="160"/>
      <c r="M806" s="160"/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>
      <c r="B807" s="130"/>
      <c r="C807" s="160"/>
      <c r="E807" s="160"/>
      <c r="G807" s="160"/>
      <c r="I807" s="160"/>
      <c r="K807" s="160"/>
      <c r="M807" s="160"/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>
      <c r="B808" s="130"/>
      <c r="C808" s="160"/>
      <c r="E808" s="160"/>
      <c r="G808" s="160"/>
      <c r="I808" s="160"/>
      <c r="K808" s="160"/>
      <c r="M808" s="160"/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>
      <c r="B809" s="130"/>
      <c r="C809" s="160"/>
      <c r="E809" s="160"/>
      <c r="G809" s="160"/>
      <c r="I809" s="160"/>
      <c r="K809" s="160"/>
      <c r="M809" s="160"/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>
      <c r="B810" s="130"/>
      <c r="C810" s="160"/>
      <c r="E810" s="160"/>
      <c r="G810" s="160"/>
      <c r="I810" s="160"/>
      <c r="K810" s="160"/>
      <c r="M810" s="160"/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>
      <c r="B811" s="130"/>
      <c r="C811" s="160"/>
      <c r="E811" s="160"/>
      <c r="G811" s="160"/>
      <c r="I811" s="160"/>
      <c r="K811" s="160"/>
      <c r="M811" s="160"/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>
      <c r="B812" s="130"/>
      <c r="C812" s="160"/>
      <c r="E812" s="160"/>
      <c r="G812" s="160"/>
      <c r="I812" s="160"/>
      <c r="K812" s="160"/>
      <c r="M812" s="160"/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>
      <c r="B813" s="130"/>
      <c r="C813" s="160"/>
      <c r="E813" s="160"/>
      <c r="G813" s="160"/>
      <c r="I813" s="160"/>
      <c r="K813" s="160"/>
      <c r="M813" s="160"/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>
      <c r="B814" s="130"/>
      <c r="C814" s="160"/>
      <c r="E814" s="160"/>
      <c r="G814" s="160"/>
      <c r="I814" s="160"/>
      <c r="K814" s="160"/>
      <c r="M814" s="160"/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>
      <c r="B815" s="130"/>
      <c r="C815" s="160"/>
      <c r="E815" s="160"/>
      <c r="G815" s="160"/>
      <c r="I815" s="160"/>
      <c r="K815" s="160"/>
      <c r="M815" s="160"/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>
      <c r="B816" s="130"/>
      <c r="C816" s="160"/>
      <c r="E816" s="160"/>
      <c r="G816" s="160"/>
      <c r="I816" s="160"/>
      <c r="K816" s="160"/>
      <c r="M816" s="160"/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>
      <c r="B817" s="130"/>
      <c r="C817" s="160"/>
      <c r="E817" s="160"/>
      <c r="G817" s="160"/>
      <c r="I817" s="160"/>
      <c r="K817" s="160"/>
      <c r="M817" s="160"/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>
      <c r="B818" s="130"/>
      <c r="C818" s="160"/>
      <c r="E818" s="160"/>
      <c r="G818" s="160"/>
      <c r="I818" s="160"/>
      <c r="K818" s="160"/>
      <c r="M818" s="160"/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>
      <c r="B819" s="130"/>
      <c r="C819" s="160"/>
      <c r="E819" s="160"/>
      <c r="G819" s="160"/>
      <c r="I819" s="160"/>
      <c r="K819" s="160"/>
      <c r="M819" s="160"/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>
      <c r="B820" s="130"/>
      <c r="C820" s="160"/>
      <c r="E820" s="160"/>
      <c r="G820" s="160"/>
      <c r="I820" s="160"/>
      <c r="K820" s="160"/>
      <c r="M820" s="160"/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>
      <c r="B821" s="130"/>
      <c r="C821" s="160"/>
      <c r="E821" s="160"/>
      <c r="G821" s="160"/>
      <c r="I821" s="160"/>
      <c r="K821" s="160"/>
      <c r="M821" s="160"/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>
      <c r="B822" s="130"/>
      <c r="C822" s="160"/>
      <c r="E822" s="160"/>
      <c r="G822" s="160"/>
      <c r="I822" s="160"/>
      <c r="K822" s="160"/>
      <c r="M822" s="160"/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>
      <c r="B823" s="130"/>
      <c r="C823" s="160"/>
      <c r="E823" s="160"/>
      <c r="G823" s="160"/>
      <c r="I823" s="160"/>
      <c r="K823" s="160"/>
      <c r="M823" s="160"/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>
      <c r="B824" s="130"/>
      <c r="C824" s="160"/>
      <c r="E824" s="160"/>
      <c r="G824" s="160"/>
      <c r="I824" s="160"/>
      <c r="K824" s="160"/>
      <c r="M824" s="160"/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>
      <c r="B825" s="130"/>
      <c r="C825" s="160"/>
      <c r="E825" s="160"/>
      <c r="G825" s="160"/>
      <c r="I825" s="160"/>
      <c r="K825" s="160"/>
      <c r="M825" s="160"/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>
      <c r="B826" s="130"/>
      <c r="C826" s="160"/>
      <c r="E826" s="160"/>
      <c r="G826" s="160"/>
      <c r="I826" s="160"/>
      <c r="K826" s="160"/>
      <c r="M826" s="160"/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>
      <c r="B827" s="130"/>
      <c r="C827" s="160"/>
      <c r="E827" s="160"/>
      <c r="G827" s="160"/>
      <c r="I827" s="160"/>
      <c r="K827" s="160"/>
      <c r="M827" s="160"/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>
      <c r="B828" s="130"/>
      <c r="C828" s="160"/>
      <c r="E828" s="160"/>
      <c r="G828" s="160"/>
      <c r="I828" s="160"/>
      <c r="K828" s="160"/>
      <c r="M828" s="160"/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>
      <c r="B829" s="130"/>
      <c r="C829" s="160"/>
      <c r="E829" s="160"/>
      <c r="G829" s="160"/>
      <c r="I829" s="160"/>
      <c r="K829" s="160"/>
      <c r="M829" s="160"/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>
      <c r="B830" s="130"/>
      <c r="C830" s="160"/>
      <c r="E830" s="160"/>
      <c r="G830" s="160"/>
      <c r="I830" s="160"/>
      <c r="K830" s="160"/>
      <c r="M830" s="160"/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>
      <c r="B831" s="130"/>
      <c r="C831" s="160"/>
      <c r="E831" s="160"/>
      <c r="G831" s="160"/>
      <c r="I831" s="160"/>
      <c r="K831" s="160"/>
      <c r="M831" s="160"/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2.95" thickBot="1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>
      <c r="AB1000" s="172" t="str">
        <f>IFERROR(VALUE(RIGHT(AA1000,LEN(AA1000)-MIN(FIND({0;1;2;3;4;5;6;7;8;9},AA1000&amp;"0123456789"))+1)),"")</f>
        <v/>
      </c>
    </row>
  </sheetData>
  <mergeCells count="18">
    <mergeCell ref="L2:M2"/>
    <mergeCell ref="B2:C2"/>
    <mergeCell ref="D2:E2"/>
    <mergeCell ref="F2:G2"/>
    <mergeCell ref="H2:I2"/>
    <mergeCell ref="J2:K2"/>
    <mergeCell ref="P16:S16"/>
    <mergeCell ref="P21:P22"/>
    <mergeCell ref="N2:N3"/>
    <mergeCell ref="P4:S4"/>
    <mergeCell ref="V4:Y4"/>
    <mergeCell ref="V5:Y5"/>
    <mergeCell ref="P8:S8"/>
    <mergeCell ref="P12:S12"/>
    <mergeCell ref="V6:W6"/>
    <mergeCell ref="X6:Y6"/>
    <mergeCell ref="V7:W7"/>
    <mergeCell ref="X7:Y7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911"/>
  <sheetViews>
    <sheetView zoomScale="70" zoomScaleNormal="70" workbookViewId="0">
      <selection activeCell="C111" sqref="C111"/>
    </sheetView>
  </sheetViews>
  <sheetFormatPr defaultRowHeight="12.6"/>
  <cols>
    <col min="1" max="1" width="22.85546875" bestFit="1" customWidth="1"/>
    <col min="3" max="3" width="198.140625" style="409" bestFit="1" customWidth="1"/>
  </cols>
  <sheetData>
    <row r="1" spans="1:3">
      <c r="A1" s="410" t="s">
        <v>528</v>
      </c>
      <c r="C1" s="409" t="s">
        <v>529</v>
      </c>
    </row>
    <row r="2" spans="1:3" ht="12.95" thickBot="1">
      <c r="A2" s="156" t="s">
        <v>530</v>
      </c>
      <c r="C2" s="409" t="s">
        <v>531</v>
      </c>
    </row>
    <row r="3" spans="1:3" ht="12.95" thickBot="1"/>
    <row r="4" spans="1:3">
      <c r="A4" s="410" t="s">
        <v>532</v>
      </c>
      <c r="C4" s="409" t="s">
        <v>533</v>
      </c>
    </row>
    <row r="5" spans="1:3" ht="12.95" thickBot="1">
      <c r="A5" s="163" t="s">
        <v>534</v>
      </c>
      <c r="C5" s="409" t="s">
        <v>535</v>
      </c>
    </row>
    <row r="6" spans="1:3" ht="12.95" thickBot="1">
      <c r="C6" s="409" t="s">
        <v>536</v>
      </c>
    </row>
    <row r="7" spans="1:3">
      <c r="A7" s="410" t="s">
        <v>537</v>
      </c>
      <c r="C7" s="409" t="s">
        <v>538</v>
      </c>
    </row>
    <row r="8" spans="1:3" ht="12.95" thickBot="1">
      <c r="A8" s="163" t="s">
        <v>539</v>
      </c>
      <c r="C8" s="409" t="s">
        <v>540</v>
      </c>
    </row>
    <row r="9" spans="1:3" ht="12.95" thickBot="1"/>
    <row r="10" spans="1:3">
      <c r="A10" s="323" t="s">
        <v>541</v>
      </c>
      <c r="C10" s="409" t="s">
        <v>542</v>
      </c>
    </row>
    <row r="11" spans="1:3" ht="12.95" thickBot="1">
      <c r="A11" s="163">
        <v>24</v>
      </c>
      <c r="C11" s="409" t="s">
        <v>543</v>
      </c>
    </row>
    <row r="12" spans="1:3">
      <c r="C12" s="409" t="s">
        <v>544</v>
      </c>
    </row>
    <row r="14" spans="1:3">
      <c r="C14" s="409" t="s">
        <v>545</v>
      </c>
    </row>
    <row r="15" spans="1:3">
      <c r="C15" s="409" t="str">
        <f>_xlfn.CONCAT("filename_static = '",$A$2,"'")</f>
        <v>filename_static = 'Estatico.sim'</v>
      </c>
    </row>
    <row r="17" spans="3:3">
      <c r="C17" s="409" t="s">
        <v>546</v>
      </c>
    </row>
    <row r="18" spans="3:3">
      <c r="C18" s="409" t="str">
        <f>_xlfn.CONCAT("pngname = '",$A$5,"'")</f>
        <v>pngname = 'estatico.png'</v>
      </c>
    </row>
    <row r="20" spans="3:3">
      <c r="C20" s="409" t="s">
        <v>547</v>
      </c>
    </row>
    <row r="22" spans="3:3">
      <c r="C22" s="409" t="s">
        <v>548</v>
      </c>
    </row>
    <row r="23" spans="3:3">
      <c r="C23" s="409" t="s">
        <v>549</v>
      </c>
    </row>
    <row r="24" spans="3:3">
      <c r="C24" s="409" t="s">
        <v>550</v>
      </c>
    </row>
    <row r="26" spans="3:3">
      <c r="C26" s="409" t="s">
        <v>551</v>
      </c>
    </row>
    <row r="27" spans="3:3">
      <c r="C27" s="409" t="s">
        <v>552</v>
      </c>
    </row>
    <row r="28" spans="3:3">
      <c r="C28" s="409" t="s">
        <v>553</v>
      </c>
    </row>
    <row r="29" spans="3:3">
      <c r="C29" s="409" t="s">
        <v>554</v>
      </c>
    </row>
    <row r="30" spans="3:3">
      <c r="C30" s="409" t="s">
        <v>555</v>
      </c>
    </row>
    <row r="32" spans="3:3">
      <c r="C32" s="409" t="s">
        <v>556</v>
      </c>
    </row>
    <row r="33" spans="3:3">
      <c r="C33" s="409" t="s">
        <v>557</v>
      </c>
    </row>
    <row r="35" spans="3:3">
      <c r="C35" s="409" t="s">
        <v>558</v>
      </c>
    </row>
    <row r="36" spans="3:3">
      <c r="C36" s="409" t="s">
        <v>559</v>
      </c>
    </row>
    <row r="38" spans="3:3">
      <c r="C38" s="409" t="s">
        <v>560</v>
      </c>
    </row>
    <row r="39" spans="3:3">
      <c r="C39" s="409" t="s">
        <v>561</v>
      </c>
    </row>
    <row r="41" spans="3:3">
      <c r="C41" s="409" t="s">
        <v>562</v>
      </c>
    </row>
    <row r="42" spans="3:3">
      <c r="C42" s="409" t="s">
        <v>563</v>
      </c>
    </row>
    <row r="44" spans="3:3">
      <c r="C44" s="409" t="s">
        <v>564</v>
      </c>
    </row>
    <row r="45" spans="3:3">
      <c r="C45" s="409" t="s">
        <v>565</v>
      </c>
    </row>
    <row r="47" spans="3:3">
      <c r="C47" s="409" t="s">
        <v>566</v>
      </c>
    </row>
    <row r="48" spans="3:3">
      <c r="C48" s="409" t="s">
        <v>567</v>
      </c>
    </row>
    <row r="50" spans="3:3">
      <c r="C50" s="409" t="s">
        <v>568</v>
      </c>
    </row>
    <row r="51" spans="3:3">
      <c r="C51" s="409" t="s">
        <v>569</v>
      </c>
    </row>
    <row r="53" spans="3:3">
      <c r="C53" s="409" t="s">
        <v>570</v>
      </c>
    </row>
    <row r="54" spans="3:3">
      <c r="C54" s="409" t="s">
        <v>571</v>
      </c>
    </row>
    <row r="56" spans="3:3">
      <c r="C56" s="409" t="s">
        <v>572</v>
      </c>
    </row>
    <row r="57" spans="3:3">
      <c r="C57" s="409" t="s">
        <v>573</v>
      </c>
    </row>
    <row r="59" spans="3:3">
      <c r="C59" s="409" t="s">
        <v>574</v>
      </c>
    </row>
    <row r="60" spans="3:3">
      <c r="C60" s="409" t="s">
        <v>575</v>
      </c>
    </row>
    <row r="62" spans="3:3">
      <c r="C62" s="409" t="s">
        <v>576</v>
      </c>
    </row>
    <row r="63" spans="3:3">
      <c r="C63" s="409" t="s">
        <v>577</v>
      </c>
    </row>
    <row r="65" spans="3:3">
      <c r="C65" s="409" t="s">
        <v>578</v>
      </c>
    </row>
    <row r="66" spans="3:3">
      <c r="C66" s="409" t="s">
        <v>579</v>
      </c>
    </row>
    <row r="68" spans="3:3">
      <c r="C68" s="409" t="s">
        <v>580</v>
      </c>
    </row>
    <row r="69" spans="3:3">
      <c r="C69" s="409" t="s">
        <v>581</v>
      </c>
    </row>
    <row r="71" spans="3:3">
      <c r="C71" s="409" t="s">
        <v>582</v>
      </c>
    </row>
    <row r="72" spans="3:3">
      <c r="C72" s="409" t="s">
        <v>583</v>
      </c>
    </row>
    <row r="74" spans="3:3">
      <c r="C74" s="409" t="s">
        <v>584</v>
      </c>
    </row>
    <row r="75" spans="3:3">
      <c r="C75" s="409" t="s">
        <v>585</v>
      </c>
    </row>
    <row r="77" spans="3:3">
      <c r="C77" s="409" t="s">
        <v>586</v>
      </c>
    </row>
    <row r="78" spans="3:3">
      <c r="C78" s="409" t="s">
        <v>587</v>
      </c>
    </row>
    <row r="80" spans="3:3">
      <c r="C80" s="409" t="s">
        <v>588</v>
      </c>
    </row>
    <row r="81" spans="3:3">
      <c r="C81" s="409" t="s">
        <v>589</v>
      </c>
    </row>
    <row r="83" spans="3:3">
      <c r="C83" s="409" t="s">
        <v>590</v>
      </c>
    </row>
    <row r="84" spans="3:3">
      <c r="C84" s="409" t="s">
        <v>591</v>
      </c>
    </row>
    <row r="86" spans="3:3">
      <c r="C86" s="409" t="s">
        <v>592</v>
      </c>
    </row>
    <row r="87" spans="3:3">
      <c r="C87" s="409" t="s">
        <v>593</v>
      </c>
    </row>
    <row r="89" spans="3:3">
      <c r="C89" s="409" t="s">
        <v>594</v>
      </c>
    </row>
    <row r="90" spans="3:3">
      <c r="C90" s="409" t="s">
        <v>595</v>
      </c>
    </row>
    <row r="92" spans="3:3">
      <c r="C92" s="409" t="s">
        <v>596</v>
      </c>
    </row>
    <row r="93" spans="3:3">
      <c r="C93" s="409" t="s">
        <v>597</v>
      </c>
    </row>
    <row r="95" spans="3:3">
      <c r="C95" s="409" t="s">
        <v>598</v>
      </c>
    </row>
    <row r="96" spans="3:3">
      <c r="C96" s="409" t="s">
        <v>599</v>
      </c>
    </row>
    <row r="98" spans="3:3">
      <c r="C98" s="409" t="s">
        <v>600</v>
      </c>
    </row>
    <row r="99" spans="3:3">
      <c r="C99" s="409" t="s">
        <v>601</v>
      </c>
    </row>
    <row r="101" spans="3:3">
      <c r="C101" s="409" t="s">
        <v>602</v>
      </c>
    </row>
    <row r="102" spans="3:3">
      <c r="C102" s="409" t="s">
        <v>603</v>
      </c>
    </row>
    <row r="104" spans="3:3">
      <c r="C104" s="409" t="s">
        <v>604</v>
      </c>
    </row>
    <row r="105" spans="3:3">
      <c r="C105" s="409" t="s">
        <v>605</v>
      </c>
    </row>
    <row r="107" spans="3:3">
      <c r="C107" s="409" t="s">
        <v>606</v>
      </c>
    </row>
    <row r="108" spans="3:3">
      <c r="C108" s="409" t="s">
        <v>607</v>
      </c>
    </row>
    <row r="110" spans="3:3">
      <c r="C110" s="412" t="s">
        <v>608</v>
      </c>
    </row>
    <row r="111" spans="3:3">
      <c r="C111" s="409" t="str">
        <f>_xlfn.CONCAT("font_size = '",$A$11,"'")</f>
        <v>font_size = '24'</v>
      </c>
    </row>
    <row r="113" spans="3:3">
      <c r="C113" s="409" t="s">
        <v>542</v>
      </c>
    </row>
    <row r="114" spans="3:3">
      <c r="C114" s="409" t="s">
        <v>609</v>
      </c>
    </row>
    <row r="115" spans="3:3">
      <c r="C115" s="409" t="s">
        <v>544</v>
      </c>
    </row>
    <row r="117" spans="3:3">
      <c r="C117" s="409" t="str">
        <f>_xlfn.CONCAT("profile_dist0 = ",'MCV e Guindaste'!N21)</f>
        <v>profile_dist0 = 0</v>
      </c>
    </row>
    <row r="118" spans="3:3">
      <c r="C118" s="409" t="str">
        <f>_xlfn.CONCAT("profile_dist1 = ",'MCV e Guindaste'!N22)</f>
        <v>profile_dist1 = 5</v>
      </c>
    </row>
    <row r="119" spans="3:3">
      <c r="C119" s="409" t="str">
        <f>_xlfn.CONCAT("profile_dist2 = ",'MCV e Guindaste'!N23)</f>
        <v>profile_dist2 = 10</v>
      </c>
    </row>
    <row r="120" spans="3:3">
      <c r="C120" s="409" t="str">
        <f>_xlfn.CONCAT("profile_dist3 = ",'MCV e Guindaste'!N24)</f>
        <v>profile_dist3 = 15</v>
      </c>
    </row>
    <row r="122" spans="3:3">
      <c r="C122" s="409" t="str">
        <f>_xlfn.CONCAT("profile_depth0 = ",'MCV e Guindaste'!P21)</f>
        <v>profile_depth0 = 2240</v>
      </c>
    </row>
    <row r="123" spans="3:3">
      <c r="C123" s="409" t="str">
        <f>_xlfn.CONCAT("profile_depth1 = ",'MCV e Guindaste'!P22)</f>
        <v>profile_depth1 = 2240</v>
      </c>
    </row>
    <row r="124" spans="3:3">
      <c r="C124" s="409" t="str">
        <f>_xlfn.CONCAT("profile_depth2 = ",'MCV e Guindaste'!P23)</f>
        <v>profile_depth2 = 2240</v>
      </c>
    </row>
    <row r="125" spans="3:3">
      <c r="C125" s="409" t="str">
        <f>_xlfn.CONCAT("profile_depth3 = ",'MCV e Guindaste'!P24)</f>
        <v>profile_depth3 = 2240</v>
      </c>
    </row>
    <row r="127" spans="3:3">
      <c r="C127" s="409" t="s">
        <v>610</v>
      </c>
    </row>
    <row r="128" spans="3:3">
      <c r="C128" s="409" t="s">
        <v>611</v>
      </c>
    </row>
    <row r="130" spans="3:3">
      <c r="C130" s="409" t="s">
        <v>612</v>
      </c>
    </row>
    <row r="131" spans="3:3">
      <c r="C131" s="409" t="s">
        <v>613</v>
      </c>
    </row>
    <row r="132" spans="3:3">
      <c r="C132" s="409" t="s">
        <v>614</v>
      </c>
    </row>
    <row r="133" spans="3:3">
      <c r="C133" s="409" t="s">
        <v>613</v>
      </c>
    </row>
    <row r="134" spans="3:3">
      <c r="C134" s="409" t="s">
        <v>615</v>
      </c>
    </row>
    <row r="135" spans="3:3">
      <c r="C135" s="409" t="s">
        <v>616</v>
      </c>
    </row>
    <row r="136" spans="3:3">
      <c r="C136" s="409" t="s">
        <v>617</v>
      </c>
    </row>
    <row r="137" spans="3:3">
      <c r="C137" s="409" t="s">
        <v>618</v>
      </c>
    </row>
    <row r="138" spans="3:3">
      <c r="C138" s="409" t="s">
        <v>619</v>
      </c>
    </row>
    <row r="139" spans="3:3">
      <c r="C139" s="409" t="s">
        <v>620</v>
      </c>
    </row>
    <row r="140" spans="3:3">
      <c r="C140" s="409" t="s">
        <v>621</v>
      </c>
    </row>
    <row r="141" spans="3:3">
      <c r="C141" s="409" t="s">
        <v>622</v>
      </c>
    </row>
    <row r="142" spans="3:3">
      <c r="C142" s="409" t="s">
        <v>620</v>
      </c>
    </row>
    <row r="143" spans="3:3">
      <c r="C143" s="409" t="s">
        <v>623</v>
      </c>
    </row>
    <row r="144" spans="3:3">
      <c r="C144" s="409" t="s">
        <v>624</v>
      </c>
    </row>
    <row r="145" spans="3:3">
      <c r="C145" s="409" t="s">
        <v>625</v>
      </c>
    </row>
    <row r="146" spans="3:3">
      <c r="C146" s="409" t="s">
        <v>626</v>
      </c>
    </row>
    <row r="147" spans="3:3">
      <c r="C147" s="409" t="s">
        <v>627</v>
      </c>
    </row>
    <row r="148" spans="3:3">
      <c r="C148" s="409" t="s">
        <v>628</v>
      </c>
    </row>
    <row r="149" spans="3:3">
      <c r="C149" s="409" t="s">
        <v>629</v>
      </c>
    </row>
    <row r="150" spans="3:3">
      <c r="C150" s="409" t="s">
        <v>630</v>
      </c>
    </row>
    <row r="151" spans="3:3">
      <c r="C151" s="409" t="s">
        <v>631</v>
      </c>
    </row>
    <row r="152" spans="3:3">
      <c r="C152" s="409" t="s">
        <v>632</v>
      </c>
    </row>
    <row r="156" spans="3:3">
      <c r="C156" s="409" t="s">
        <v>633</v>
      </c>
    </row>
    <row r="157" spans="3:3">
      <c r="C157" s="409" t="s">
        <v>634</v>
      </c>
    </row>
    <row r="159" spans="3:3">
      <c r="C159" s="409" t="s">
        <v>635</v>
      </c>
    </row>
    <row r="160" spans="3:3">
      <c r="C160" s="409" t="s">
        <v>636</v>
      </c>
    </row>
    <row r="161" spans="3:3">
      <c r="C161" s="409" t="s">
        <v>637</v>
      </c>
    </row>
    <row r="162" spans="3:3">
      <c r="C162" s="409" t="s">
        <v>638</v>
      </c>
    </row>
    <row r="163" spans="3:3">
      <c r="C163" s="409" t="s">
        <v>639</v>
      </c>
    </row>
    <row r="164" spans="3:3">
      <c r="C164" s="409" t="s">
        <v>640</v>
      </c>
    </row>
    <row r="165" spans="3:3">
      <c r="C165" s="409" t="s">
        <v>641</v>
      </c>
    </row>
    <row r="166" spans="3:3">
      <c r="C166" s="409" t="s">
        <v>642</v>
      </c>
    </row>
    <row r="167" spans="3:3">
      <c r="C167" s="409" t="s">
        <v>643</v>
      </c>
    </row>
    <row r="168" spans="3:3">
      <c r="C168" s="409" t="s">
        <v>644</v>
      </c>
    </row>
    <row r="169" spans="3:3">
      <c r="C169" s="409" t="s">
        <v>645</v>
      </c>
    </row>
    <row r="170" spans="3:3">
      <c r="C170" s="409" t="s">
        <v>646</v>
      </c>
    </row>
    <row r="171" spans="3:3">
      <c r="C171" s="409" t="s">
        <v>647</v>
      </c>
    </row>
    <row r="172" spans="3:3">
      <c r="C172" s="409" t="s">
        <v>648</v>
      </c>
    </row>
    <row r="173" spans="3:3">
      <c r="C173" s="409" t="s">
        <v>649</v>
      </c>
    </row>
    <row r="174" spans="3:3">
      <c r="C174" s="409" t="s">
        <v>640</v>
      </c>
    </row>
    <row r="175" spans="3:3">
      <c r="C175" s="409" t="s">
        <v>650</v>
      </c>
    </row>
    <row r="176" spans="3:3">
      <c r="C176" s="409" t="s">
        <v>651</v>
      </c>
    </row>
    <row r="177" spans="3:3">
      <c r="C177" s="409" t="s">
        <v>652</v>
      </c>
    </row>
    <row r="178" spans="3:3">
      <c r="C178" s="409" t="s">
        <v>653</v>
      </c>
    </row>
    <row r="179" spans="3:3">
      <c r="C179" s="409" t="s">
        <v>654</v>
      </c>
    </row>
    <row r="180" spans="3:3">
      <c r="C180" s="409" t="s">
        <v>655</v>
      </c>
    </row>
    <row r="181" spans="3:3">
      <c r="C181" s="409" t="s">
        <v>656</v>
      </c>
    </row>
    <row r="182" spans="3:3">
      <c r="C182" s="409" t="s">
        <v>657</v>
      </c>
    </row>
    <row r="183" spans="3:3">
      <c r="C183" s="409" t="s">
        <v>658</v>
      </c>
    </row>
    <row r="184" spans="3:3">
      <c r="C184" s="409" t="s">
        <v>659</v>
      </c>
    </row>
    <row r="185" spans="3:3">
      <c r="C185" s="409" t="s">
        <v>660</v>
      </c>
    </row>
    <row r="186" spans="3:3">
      <c r="C186" s="409" t="s">
        <v>661</v>
      </c>
    </row>
    <row r="187" spans="3:3">
      <c r="C187" s="409" t="s">
        <v>662</v>
      </c>
    </row>
    <row r="188" spans="3:3">
      <c r="C188" s="409" t="s">
        <v>663</v>
      </c>
    </row>
    <row r="189" spans="3:3">
      <c r="C189" s="409" t="s">
        <v>664</v>
      </c>
    </row>
    <row r="190" spans="3:3">
      <c r="C190" s="409" t="s">
        <v>665</v>
      </c>
    </row>
    <row r="191" spans="3:3">
      <c r="C191" s="409" t="s">
        <v>666</v>
      </c>
    </row>
    <row r="192" spans="3:3">
      <c r="C192" s="409" t="s">
        <v>667</v>
      </c>
    </row>
    <row r="193" spans="3:3">
      <c r="C193" s="409" t="s">
        <v>668</v>
      </c>
    </row>
    <row r="194" spans="3:3">
      <c r="C194" s="409" t="s">
        <v>669</v>
      </c>
    </row>
    <row r="195" spans="3:3">
      <c r="C195" s="409" t="s">
        <v>670</v>
      </c>
    </row>
    <row r="196" spans="3:3">
      <c r="C196" s="409" t="s">
        <v>640</v>
      </c>
    </row>
    <row r="197" spans="3:3">
      <c r="C197" s="409" t="s">
        <v>671</v>
      </c>
    </row>
    <row r="198" spans="3:3">
      <c r="C198" s="409" t="s">
        <v>672</v>
      </c>
    </row>
    <row r="199" spans="3:3">
      <c r="C199" s="409" t="s">
        <v>673</v>
      </c>
    </row>
    <row r="200" spans="3:3">
      <c r="C200" s="409" t="s">
        <v>674</v>
      </c>
    </row>
    <row r="201" spans="3:3">
      <c r="C201" s="409" t="s">
        <v>675</v>
      </c>
    </row>
    <row r="202" spans="3:3">
      <c r="C202" s="409" t="s">
        <v>676</v>
      </c>
    </row>
    <row r="203" spans="3:3">
      <c r="C203" s="409" t="s">
        <v>677</v>
      </c>
    </row>
    <row r="204" spans="3:3">
      <c r="C204" s="409" t="s">
        <v>678</v>
      </c>
    </row>
    <row r="205" spans="3:3">
      <c r="C205" s="409" t="s">
        <v>640</v>
      </c>
    </row>
    <row r="206" spans="3:3">
      <c r="C206" s="409" t="s">
        <v>679</v>
      </c>
    </row>
    <row r="207" spans="3:3">
      <c r="C207" s="409" t="s">
        <v>680</v>
      </c>
    </row>
    <row r="208" spans="3:3">
      <c r="C208" s="409" t="s">
        <v>681</v>
      </c>
    </row>
    <row r="209" spans="3:3">
      <c r="C209" s="409" t="s">
        <v>682</v>
      </c>
    </row>
    <row r="210" spans="3:3">
      <c r="C210" s="409" t="s">
        <v>683</v>
      </c>
    </row>
    <row r="211" spans="3:3">
      <c r="C211" s="409" t="s">
        <v>684</v>
      </c>
    </row>
    <row r="212" spans="3:3">
      <c r="C212" s="409" t="s">
        <v>685</v>
      </c>
    </row>
    <row r="213" spans="3:3">
      <c r="C213" s="409" t="s">
        <v>686</v>
      </c>
    </row>
    <row r="214" spans="3:3">
      <c r="C214" s="409" t="s">
        <v>687</v>
      </c>
    </row>
    <row r="215" spans="3:3">
      <c r="C215" s="409" t="s">
        <v>688</v>
      </c>
    </row>
    <row r="216" spans="3:3">
      <c r="C216" s="409" t="s">
        <v>689</v>
      </c>
    </row>
    <row r="217" spans="3:3">
      <c r="C217" s="409" t="s">
        <v>690</v>
      </c>
    </row>
    <row r="218" spans="3:3">
      <c r="C218" s="409" t="s">
        <v>691</v>
      </c>
    </row>
    <row r="219" spans="3:3">
      <c r="C219" s="409" t="s">
        <v>692</v>
      </c>
    </row>
    <row r="220" spans="3:3">
      <c r="C220" s="409" t="s">
        <v>693</v>
      </c>
    </row>
    <row r="221" spans="3:3">
      <c r="C221" s="409" t="s">
        <v>694</v>
      </c>
    </row>
    <row r="222" spans="3:3">
      <c r="C222" s="409" t="s">
        <v>695</v>
      </c>
    </row>
    <row r="223" spans="3:3">
      <c r="C223" s="409" t="s">
        <v>696</v>
      </c>
    </row>
    <row r="224" spans="3:3">
      <c r="C224" s="409" t="s">
        <v>697</v>
      </c>
    </row>
    <row r="225" spans="3:3">
      <c r="C225" s="409" t="s">
        <v>698</v>
      </c>
    </row>
    <row r="226" spans="3:3">
      <c r="C226" s="409" t="s">
        <v>699</v>
      </c>
    </row>
    <row r="227" spans="3:3">
      <c r="C227" s="409" t="s">
        <v>700</v>
      </c>
    </row>
    <row r="228" spans="3:3">
      <c r="C228" s="409" t="s">
        <v>701</v>
      </c>
    </row>
    <row r="229" spans="3:3">
      <c r="C229" s="409" t="s">
        <v>702</v>
      </c>
    </row>
    <row r="231" spans="3:3">
      <c r="C231" s="409" t="s">
        <v>703</v>
      </c>
    </row>
    <row r="232" spans="3:3">
      <c r="C232" s="409" t="s">
        <v>704</v>
      </c>
    </row>
    <row r="233" spans="3:3">
      <c r="C233" s="409" t="s">
        <v>705</v>
      </c>
    </row>
    <row r="234" spans="3:3">
      <c r="C234" s="409" t="s">
        <v>706</v>
      </c>
    </row>
    <row r="235" spans="3:3">
      <c r="C235" s="409" t="s">
        <v>707</v>
      </c>
    </row>
    <row r="236" spans="3:3">
      <c r="C236" s="409" t="s">
        <v>708</v>
      </c>
    </row>
    <row r="237" spans="3:3">
      <c r="C237" s="409" t="s">
        <v>709</v>
      </c>
    </row>
    <row r="238" spans="3:3">
      <c r="C238" s="409" t="s">
        <v>710</v>
      </c>
    </row>
    <row r="239" spans="3:3">
      <c r="C239" s="409" t="s">
        <v>711</v>
      </c>
    </row>
    <row r="240" spans="3:3">
      <c r="C240" s="409" t="s">
        <v>712</v>
      </c>
    </row>
    <row r="241" spans="3:3">
      <c r="C241" s="409" t="s">
        <v>713</v>
      </c>
    </row>
    <row r="242" spans="3:3">
      <c r="C242" s="409" t="s">
        <v>674</v>
      </c>
    </row>
    <row r="243" spans="3:3">
      <c r="C243" s="409" t="s">
        <v>675</v>
      </c>
    </row>
    <row r="244" spans="3:3">
      <c r="C244" s="409" t="s">
        <v>714</v>
      </c>
    </row>
    <row r="245" spans="3:3">
      <c r="C245" s="409" t="s">
        <v>715</v>
      </c>
    </row>
    <row r="246" spans="3:3">
      <c r="C246" s="409" t="s">
        <v>716</v>
      </c>
    </row>
    <row r="247" spans="3:3">
      <c r="C247" s="409" t="s">
        <v>717</v>
      </c>
    </row>
    <row r="248" spans="3:3">
      <c r="C248" s="409" t="s">
        <v>718</v>
      </c>
    </row>
    <row r="249" spans="3:3">
      <c r="C249" s="409" t="s">
        <v>719</v>
      </c>
    </row>
    <row r="250" spans="3:3">
      <c r="C250" s="409" t="s">
        <v>720</v>
      </c>
    </row>
    <row r="251" spans="3:3">
      <c r="C251" s="409" t="s">
        <v>721</v>
      </c>
    </row>
    <row r="252" spans="3:3">
      <c r="C252" s="409" t="s">
        <v>722</v>
      </c>
    </row>
    <row r="253" spans="3:3">
      <c r="C253" s="409" t="s">
        <v>723</v>
      </c>
    </row>
    <row r="254" spans="3:3">
      <c r="C254" s="409" t="s">
        <v>724</v>
      </c>
    </row>
    <row r="255" spans="3:3">
      <c r="C255" s="409" t="s">
        <v>725</v>
      </c>
    </row>
    <row r="256" spans="3:3">
      <c r="C256" s="409" t="s">
        <v>726</v>
      </c>
    </row>
    <row r="257" spans="3:3">
      <c r="C257" s="409" t="s">
        <v>727</v>
      </c>
    </row>
    <row r="258" spans="3:3">
      <c r="C258" s="409" t="s">
        <v>728</v>
      </c>
    </row>
    <row r="259" spans="3:3">
      <c r="C259" s="409" t="s">
        <v>729</v>
      </c>
    </row>
    <row r="260" spans="3:3">
      <c r="C260" s="409" t="s">
        <v>730</v>
      </c>
    </row>
    <row r="261" spans="3:3">
      <c r="C261" s="409" t="s">
        <v>731</v>
      </c>
    </row>
    <row r="262" spans="3:3">
      <c r="C262" s="409" t="s">
        <v>732</v>
      </c>
    </row>
    <row r="263" spans="3:3">
      <c r="C263" s="409" t="s">
        <v>733</v>
      </c>
    </row>
    <row r="264" spans="3:3">
      <c r="C264" s="409" t="s">
        <v>734</v>
      </c>
    </row>
    <row r="265" spans="3:3">
      <c r="C265" s="409" t="s">
        <v>735</v>
      </c>
    </row>
    <row r="266" spans="3:3">
      <c r="C266" s="409" t="s">
        <v>736</v>
      </c>
    </row>
    <row r="267" spans="3:3">
      <c r="C267" s="409" t="s">
        <v>737</v>
      </c>
    </row>
    <row r="268" spans="3:3">
      <c r="C268" s="409" t="s">
        <v>738</v>
      </c>
    </row>
    <row r="269" spans="3:3">
      <c r="C269" s="409" t="s">
        <v>739</v>
      </c>
    </row>
    <row r="270" spans="3:3">
      <c r="C270" s="409" t="s">
        <v>740</v>
      </c>
    </row>
    <row r="271" spans="3:3">
      <c r="C271" s="409" t="s">
        <v>741</v>
      </c>
    </row>
    <row r="272" spans="3:3">
      <c r="C272" s="409" t="s">
        <v>742</v>
      </c>
    </row>
    <row r="273" spans="3:3">
      <c r="C273" s="409" t="s">
        <v>629</v>
      </c>
    </row>
    <row r="274" spans="3:3">
      <c r="C274" s="409" t="s">
        <v>743</v>
      </c>
    </row>
    <row r="275" spans="3:3">
      <c r="C275" s="409" t="s">
        <v>744</v>
      </c>
    </row>
    <row r="276" spans="3:3">
      <c r="C276" s="409" t="s">
        <v>745</v>
      </c>
    </row>
    <row r="277" spans="3:3">
      <c r="C277" s="409" t="s">
        <v>746</v>
      </c>
    </row>
    <row r="278" spans="3:3">
      <c r="C278" s="409" t="s">
        <v>738</v>
      </c>
    </row>
    <row r="279" spans="3:3">
      <c r="C279" s="409" t="s">
        <v>739</v>
      </c>
    </row>
    <row r="280" spans="3:3">
      <c r="C280" s="409" t="s">
        <v>747</v>
      </c>
    </row>
    <row r="281" spans="3:3">
      <c r="C281" s="409" t="s">
        <v>748</v>
      </c>
    </row>
    <row r="282" spans="3:3">
      <c r="C282" s="409" t="s">
        <v>749</v>
      </c>
    </row>
    <row r="283" spans="3:3">
      <c r="C283" s="409" t="s">
        <v>750</v>
      </c>
    </row>
    <row r="284" spans="3:3">
      <c r="C284" s="409" t="s">
        <v>751</v>
      </c>
    </row>
    <row r="285" spans="3:3">
      <c r="C285" s="409" t="s">
        <v>752</v>
      </c>
    </row>
    <row r="286" spans="3:3">
      <c r="C286" s="409" t="s">
        <v>753</v>
      </c>
    </row>
    <row r="287" spans="3:3">
      <c r="C287" s="409" t="s">
        <v>754</v>
      </c>
    </row>
    <row r="288" spans="3:3">
      <c r="C288" s="409" t="s">
        <v>629</v>
      </c>
    </row>
    <row r="289" spans="3:3">
      <c r="C289" s="409" t="s">
        <v>755</v>
      </c>
    </row>
    <row r="290" spans="3:3">
      <c r="C290" s="409" t="s">
        <v>756</v>
      </c>
    </row>
    <row r="291" spans="3:3">
      <c r="C291" s="409" t="s">
        <v>757</v>
      </c>
    </row>
    <row r="292" spans="3:3">
      <c r="C292" s="409" t="s">
        <v>738</v>
      </c>
    </row>
    <row r="293" spans="3:3">
      <c r="C293" s="409" t="s">
        <v>739</v>
      </c>
    </row>
    <row r="294" spans="3:3">
      <c r="C294" s="409" t="s">
        <v>747</v>
      </c>
    </row>
    <row r="295" spans="3:3">
      <c r="C295" s="409" t="s">
        <v>758</v>
      </c>
    </row>
    <row r="296" spans="3:3">
      <c r="C296" s="409" t="s">
        <v>759</v>
      </c>
    </row>
    <row r="297" spans="3:3">
      <c r="C297" s="409" t="s">
        <v>629</v>
      </c>
    </row>
    <row r="298" spans="3:3">
      <c r="C298" s="409" t="s">
        <v>760</v>
      </c>
    </row>
    <row r="299" spans="3:3">
      <c r="C299" s="409" t="s">
        <v>761</v>
      </c>
    </row>
    <row r="300" spans="3:3">
      <c r="C300" s="409" t="s">
        <v>738</v>
      </c>
    </row>
    <row r="301" spans="3:3">
      <c r="C301" s="409" t="s">
        <v>739</v>
      </c>
    </row>
    <row r="302" spans="3:3">
      <c r="C302" s="409" t="s">
        <v>747</v>
      </c>
    </row>
    <row r="303" spans="3:3">
      <c r="C303" s="409" t="s">
        <v>749</v>
      </c>
    </row>
    <row r="304" spans="3:3">
      <c r="C304" s="409" t="s">
        <v>750</v>
      </c>
    </row>
    <row r="305" spans="3:3">
      <c r="C305" s="409" t="s">
        <v>751</v>
      </c>
    </row>
    <row r="306" spans="3:3">
      <c r="C306" s="409" t="s">
        <v>752</v>
      </c>
    </row>
    <row r="307" spans="3:3">
      <c r="C307" s="409" t="s">
        <v>753</v>
      </c>
    </row>
    <row r="308" spans="3:3">
      <c r="C308" s="409" t="s">
        <v>762</v>
      </c>
    </row>
    <row r="309" spans="3:3">
      <c r="C309" s="409" t="s">
        <v>763</v>
      </c>
    </row>
    <row r="310" spans="3:3">
      <c r="C310" s="409" t="s">
        <v>764</v>
      </c>
    </row>
    <row r="311" spans="3:3">
      <c r="C311" s="409" t="s">
        <v>765</v>
      </c>
    </row>
    <row r="312" spans="3:3">
      <c r="C312" s="409" t="s">
        <v>766</v>
      </c>
    </row>
    <row r="313" spans="3:3">
      <c r="C313" s="409" t="s">
        <v>767</v>
      </c>
    </row>
    <row r="314" spans="3:3">
      <c r="C314" s="409" t="s">
        <v>768</v>
      </c>
    </row>
    <row r="315" spans="3:3">
      <c r="C315" s="409" t="s">
        <v>769</v>
      </c>
    </row>
    <row r="316" spans="3:3">
      <c r="C316" s="409" t="s">
        <v>770</v>
      </c>
    </row>
    <row r="317" spans="3:3">
      <c r="C317" s="409" t="s">
        <v>771</v>
      </c>
    </row>
    <row r="318" spans="3:3">
      <c r="C318" s="409" t="s">
        <v>772</v>
      </c>
    </row>
    <row r="319" spans="3:3">
      <c r="C319" s="409" t="s">
        <v>773</v>
      </c>
    </row>
    <row r="320" spans="3:3">
      <c r="C320" s="409" t="s">
        <v>774</v>
      </c>
    </row>
    <row r="321" spans="3:3">
      <c r="C321" s="409" t="s">
        <v>775</v>
      </c>
    </row>
    <row r="322" spans="3:3">
      <c r="C322" s="409" t="s">
        <v>776</v>
      </c>
    </row>
    <row r="323" spans="3:3">
      <c r="C323" s="409" t="s">
        <v>777</v>
      </c>
    </row>
    <row r="324" spans="3:3">
      <c r="C324" s="409" t="s">
        <v>778</v>
      </c>
    </row>
    <row r="325" spans="3:3">
      <c r="C325" s="409" t="s">
        <v>770</v>
      </c>
    </row>
    <row r="326" spans="3:3">
      <c r="C326" s="409" t="s">
        <v>779</v>
      </c>
    </row>
    <row r="327" spans="3:3">
      <c r="C327" s="409" t="s">
        <v>780</v>
      </c>
    </row>
    <row r="328" spans="3:3">
      <c r="C328" s="409" t="s">
        <v>781</v>
      </c>
    </row>
    <row r="329" spans="3:3">
      <c r="C329" s="409" t="s">
        <v>782</v>
      </c>
    </row>
    <row r="330" spans="3:3">
      <c r="C330" s="409" t="s">
        <v>629</v>
      </c>
    </row>
    <row r="331" spans="3:3">
      <c r="C331" s="409" t="s">
        <v>783</v>
      </c>
    </row>
    <row r="332" spans="3:3">
      <c r="C332" s="409" t="s">
        <v>784</v>
      </c>
    </row>
    <row r="333" spans="3:3">
      <c r="C333" s="409" t="s">
        <v>785</v>
      </c>
    </row>
    <row r="334" spans="3:3">
      <c r="C334" s="409" t="s">
        <v>770</v>
      </c>
    </row>
    <row r="335" spans="3:3">
      <c r="C335" s="409" t="s">
        <v>786</v>
      </c>
    </row>
    <row r="336" spans="3:3">
      <c r="C336" s="409" t="s">
        <v>787</v>
      </c>
    </row>
    <row r="337" spans="3:3">
      <c r="C337" s="409" t="s">
        <v>788</v>
      </c>
    </row>
    <row r="338" spans="3:3">
      <c r="C338" s="409" t="s">
        <v>789</v>
      </c>
    </row>
    <row r="339" spans="3:3">
      <c r="C339" s="409" t="s">
        <v>790</v>
      </c>
    </row>
    <row r="340" spans="3:3">
      <c r="C340" s="409" t="s">
        <v>791</v>
      </c>
    </row>
    <row r="341" spans="3:3">
      <c r="C341" s="409" t="s">
        <v>792</v>
      </c>
    </row>
    <row r="342" spans="3:3">
      <c r="C342" s="409" t="s">
        <v>793</v>
      </c>
    </row>
    <row r="343" spans="3:3">
      <c r="C343" s="409" t="s">
        <v>794</v>
      </c>
    </row>
    <row r="344" spans="3:3">
      <c r="C344" s="409" t="s">
        <v>795</v>
      </c>
    </row>
    <row r="345" spans="3:3">
      <c r="C345" s="409" t="s">
        <v>796</v>
      </c>
    </row>
    <row r="346" spans="3:3">
      <c r="C346" s="409" t="s">
        <v>797</v>
      </c>
    </row>
    <row r="348" spans="3:3">
      <c r="C348" s="409" t="s">
        <v>798</v>
      </c>
    </row>
    <row r="349" spans="3:3">
      <c r="C349" s="409" t="s">
        <v>799</v>
      </c>
    </row>
    <row r="350" spans="3:3">
      <c r="C350" s="409" t="s">
        <v>800</v>
      </c>
    </row>
    <row r="351" spans="3:3">
      <c r="C351" s="409" t="s">
        <v>801</v>
      </c>
    </row>
    <row r="352" spans="3:3">
      <c r="C352" s="409" t="s">
        <v>802</v>
      </c>
    </row>
    <row r="353" spans="3:3">
      <c r="C353" s="409" t="s">
        <v>803</v>
      </c>
    </row>
    <row r="354" spans="3:3">
      <c r="C354" s="409" t="s">
        <v>804</v>
      </c>
    </row>
    <row r="355" spans="3:3">
      <c r="C355" s="409" t="s">
        <v>805</v>
      </c>
    </row>
    <row r="356" spans="3:3">
      <c r="C356" s="409" t="s">
        <v>806</v>
      </c>
    </row>
    <row r="357" spans="3:3">
      <c r="C357" s="409" t="s">
        <v>807</v>
      </c>
    </row>
    <row r="358" spans="3:3">
      <c r="C358" s="409" t="s">
        <v>808</v>
      </c>
    </row>
    <row r="359" spans="3:3">
      <c r="C359" s="409" t="s">
        <v>665</v>
      </c>
    </row>
    <row r="360" spans="3:3">
      <c r="C360" s="409" t="s">
        <v>809</v>
      </c>
    </row>
    <row r="361" spans="3:3">
      <c r="C361" s="409" t="s">
        <v>810</v>
      </c>
    </row>
    <row r="362" spans="3:3">
      <c r="C362" s="409" t="s">
        <v>811</v>
      </c>
    </row>
    <row r="363" spans="3:3">
      <c r="C363" s="409" t="s">
        <v>812</v>
      </c>
    </row>
    <row r="364" spans="3:3">
      <c r="C364" s="409" t="s">
        <v>813</v>
      </c>
    </row>
    <row r="365" spans="3:3">
      <c r="C365" s="409" t="s">
        <v>814</v>
      </c>
    </row>
    <row r="366" spans="3:3">
      <c r="C366" s="409" t="s">
        <v>815</v>
      </c>
    </row>
    <row r="367" spans="3:3">
      <c r="C367" s="409" t="s">
        <v>816</v>
      </c>
    </row>
    <row r="368" spans="3:3">
      <c r="C368" s="409" t="s">
        <v>817</v>
      </c>
    </row>
    <row r="369" spans="3:3">
      <c r="C369" s="409" t="s">
        <v>818</v>
      </c>
    </row>
    <row r="370" spans="3:3">
      <c r="C370" s="409" t="s">
        <v>819</v>
      </c>
    </row>
    <row r="371" spans="3:3">
      <c r="C371" s="409" t="s">
        <v>811</v>
      </c>
    </row>
    <row r="372" spans="3:3">
      <c r="C372" s="409" t="s">
        <v>812</v>
      </c>
    </row>
    <row r="373" spans="3:3">
      <c r="C373" s="409" t="s">
        <v>813</v>
      </c>
    </row>
    <row r="374" spans="3:3">
      <c r="C374" s="409" t="s">
        <v>814</v>
      </c>
    </row>
    <row r="375" spans="3:3">
      <c r="C375" s="409" t="s">
        <v>815</v>
      </c>
    </row>
    <row r="376" spans="3:3">
      <c r="C376" s="409" t="s">
        <v>816</v>
      </c>
    </row>
    <row r="377" spans="3:3">
      <c r="C377" s="409" t="s">
        <v>817</v>
      </c>
    </row>
    <row r="379" spans="3:3">
      <c r="C379" s="409" t="s">
        <v>820</v>
      </c>
    </row>
    <row r="380" spans="3:3">
      <c r="C380" s="409" t="s">
        <v>821</v>
      </c>
    </row>
    <row r="382" spans="3:3">
      <c r="C382" s="409" t="s">
        <v>822</v>
      </c>
    </row>
    <row r="384" spans="3:3">
      <c r="C384" s="409" t="s">
        <v>823</v>
      </c>
    </row>
    <row r="385" spans="3:3">
      <c r="C385" s="409" t="s">
        <v>824</v>
      </c>
    </row>
    <row r="386" spans="3:3">
      <c r="C386" s="409" t="s">
        <v>825</v>
      </c>
    </row>
    <row r="387" spans="3:3">
      <c r="C387" s="409" t="s">
        <v>826</v>
      </c>
    </row>
    <row r="389" spans="3:3">
      <c r="C389" s="409" t="s">
        <v>827</v>
      </c>
    </row>
    <row r="390" spans="3:3">
      <c r="C390" s="409" t="s">
        <v>828</v>
      </c>
    </row>
    <row r="391" spans="3:3">
      <c r="C391" s="409" t="s">
        <v>829</v>
      </c>
    </row>
    <row r="392" spans="3:3">
      <c r="C392" s="409" t="s">
        <v>830</v>
      </c>
    </row>
    <row r="393" spans="3:3">
      <c r="C393" s="409" t="s">
        <v>831</v>
      </c>
    </row>
    <row r="394" spans="3:3">
      <c r="C394" s="409" t="s">
        <v>728</v>
      </c>
    </row>
    <row r="396" spans="3:3">
      <c r="C396" s="409" t="s">
        <v>631</v>
      </c>
    </row>
    <row r="397" spans="3:3">
      <c r="C397" s="409" t="s">
        <v>631</v>
      </c>
    </row>
    <row r="398" spans="3:3">
      <c r="C398" s="409" t="s">
        <v>832</v>
      </c>
    </row>
    <row r="399" spans="3:3">
      <c r="C399" s="409" t="s">
        <v>833</v>
      </c>
    </row>
    <row r="400" spans="3:3">
      <c r="C400" s="409" t="s">
        <v>834</v>
      </c>
    </row>
    <row r="401" spans="3:3">
      <c r="C401" s="409" t="s">
        <v>674</v>
      </c>
    </row>
    <row r="402" spans="3:3">
      <c r="C402" s="409" t="s">
        <v>675</v>
      </c>
    </row>
    <row r="403" spans="3:3">
      <c r="C403" s="409" t="s">
        <v>835</v>
      </c>
    </row>
    <row r="404" spans="3:3">
      <c r="C404" s="409" t="s">
        <v>836</v>
      </c>
    </row>
    <row r="405" spans="3:3">
      <c r="C405" s="409" t="s">
        <v>837</v>
      </c>
    </row>
    <row r="406" spans="3:3">
      <c r="C406" s="409" t="s">
        <v>838</v>
      </c>
    </row>
    <row r="407" spans="3:3">
      <c r="C407" s="409" t="s">
        <v>839</v>
      </c>
    </row>
    <row r="408" spans="3:3">
      <c r="C408" s="409" t="s">
        <v>840</v>
      </c>
    </row>
    <row r="409" spans="3:3">
      <c r="C409" s="409" t="s">
        <v>841</v>
      </c>
    </row>
    <row r="410" spans="3:3">
      <c r="C410" s="409" t="s">
        <v>841</v>
      </c>
    </row>
    <row r="411" spans="3:3">
      <c r="C411" s="409" t="s">
        <v>842</v>
      </c>
    </row>
    <row r="412" spans="3:3">
      <c r="C412" s="409" t="s">
        <v>843</v>
      </c>
    </row>
    <row r="413" spans="3:3">
      <c r="C413" s="409" t="s">
        <v>844</v>
      </c>
    </row>
    <row r="414" spans="3:3">
      <c r="C414" s="409" t="s">
        <v>845</v>
      </c>
    </row>
    <row r="415" spans="3:3">
      <c r="C415" s="409" t="s">
        <v>846</v>
      </c>
    </row>
    <row r="416" spans="3:3">
      <c r="C416" s="409" t="s">
        <v>847</v>
      </c>
    </row>
    <row r="417" spans="3:3">
      <c r="C417" s="409" t="s">
        <v>848</v>
      </c>
    </row>
    <row r="418" spans="3:3">
      <c r="C418" s="409" t="s">
        <v>642</v>
      </c>
    </row>
    <row r="419" spans="3:3">
      <c r="C419" s="409" t="s">
        <v>849</v>
      </c>
    </row>
    <row r="420" spans="3:3">
      <c r="C420" s="409" t="s">
        <v>850</v>
      </c>
    </row>
    <row r="421" spans="3:3">
      <c r="C421" s="409" t="s">
        <v>851</v>
      </c>
    </row>
    <row r="422" spans="3:3">
      <c r="C422" s="409" t="s">
        <v>852</v>
      </c>
    </row>
    <row r="423" spans="3:3">
      <c r="C423" s="409" t="s">
        <v>853</v>
      </c>
    </row>
    <row r="424" spans="3:3">
      <c r="C424" s="409" t="s">
        <v>854</v>
      </c>
    </row>
    <row r="425" spans="3:3">
      <c r="C425" s="409" t="s">
        <v>855</v>
      </c>
    </row>
    <row r="426" spans="3:3">
      <c r="C426" s="409" t="s">
        <v>856</v>
      </c>
    </row>
    <row r="427" spans="3:3">
      <c r="C427" s="409" t="s">
        <v>857</v>
      </c>
    </row>
    <row r="428" spans="3:3">
      <c r="C428" s="409" t="s">
        <v>858</v>
      </c>
    </row>
    <row r="429" spans="3:3">
      <c r="C429" s="409" t="s">
        <v>859</v>
      </c>
    </row>
    <row r="430" spans="3:3">
      <c r="C430" s="409" t="s">
        <v>860</v>
      </c>
    </row>
    <row r="431" spans="3:3">
      <c r="C431" s="409" t="s">
        <v>854</v>
      </c>
    </row>
    <row r="432" spans="3:3">
      <c r="C432" s="409" t="s">
        <v>855</v>
      </c>
    </row>
    <row r="433" spans="3:3">
      <c r="C433" s="409" t="s">
        <v>856</v>
      </c>
    </row>
    <row r="434" spans="3:3">
      <c r="C434" s="409" t="s">
        <v>857</v>
      </c>
    </row>
    <row r="435" spans="3:3">
      <c r="C435" s="409" t="s">
        <v>858</v>
      </c>
    </row>
    <row r="436" spans="3:3">
      <c r="C436" s="409" t="s">
        <v>861</v>
      </c>
    </row>
    <row r="437" spans="3:3">
      <c r="C437" s="409" t="s">
        <v>862</v>
      </c>
    </row>
    <row r="438" spans="3:3">
      <c r="C438" s="409" t="s">
        <v>863</v>
      </c>
    </row>
    <row r="439" spans="3:3">
      <c r="C439" s="409" t="s">
        <v>864</v>
      </c>
    </row>
    <row r="440" spans="3:3">
      <c r="C440" s="409" t="s">
        <v>865</v>
      </c>
    </row>
    <row r="441" spans="3:3">
      <c r="C441" s="409" t="s">
        <v>631</v>
      </c>
    </row>
    <row r="442" spans="3:3">
      <c r="C442" s="409" t="s">
        <v>866</v>
      </c>
    </row>
    <row r="443" spans="3:3">
      <c r="C443" s="409" t="s">
        <v>867</v>
      </c>
    </row>
    <row r="444" spans="3:3">
      <c r="C444" s="409" t="s">
        <v>868</v>
      </c>
    </row>
    <row r="445" spans="3:3">
      <c r="C445" s="409" t="s">
        <v>869</v>
      </c>
    </row>
    <row r="447" spans="3:3">
      <c r="C447" s="409" t="s">
        <v>870</v>
      </c>
    </row>
    <row r="448" spans="3:3">
      <c r="C448" s="409" t="s">
        <v>871</v>
      </c>
    </row>
    <row r="450" spans="3:3">
      <c r="C450" s="409" t="s">
        <v>872</v>
      </c>
    </row>
    <row r="452" spans="3:3">
      <c r="C452" s="409" t="s">
        <v>873</v>
      </c>
    </row>
    <row r="453" spans="3:3">
      <c r="C453" s="409" t="s">
        <v>874</v>
      </c>
    </row>
    <row r="454" spans="3:3">
      <c r="C454" s="409" t="s">
        <v>875</v>
      </c>
    </row>
    <row r="455" spans="3:3">
      <c r="C455" s="409" t="s">
        <v>876</v>
      </c>
    </row>
    <row r="456" spans="3:3">
      <c r="C456" s="409" t="s">
        <v>877</v>
      </c>
    </row>
    <row r="458" spans="3:3">
      <c r="C458" s="409" t="s">
        <v>878</v>
      </c>
    </row>
    <row r="459" spans="3:3">
      <c r="C459" s="409" t="s">
        <v>879</v>
      </c>
    </row>
    <row r="460" spans="3:3">
      <c r="C460" s="409" t="s">
        <v>880</v>
      </c>
    </row>
    <row r="461" spans="3:3">
      <c r="C461" s="409" t="s">
        <v>881</v>
      </c>
    </row>
    <row r="462" spans="3:3">
      <c r="C462" s="409" t="s">
        <v>882</v>
      </c>
    </row>
    <row r="463" spans="3:3">
      <c r="C463" s="409" t="s">
        <v>883</v>
      </c>
    </row>
    <row r="464" spans="3:3">
      <c r="C464" s="409" t="s">
        <v>884</v>
      </c>
    </row>
    <row r="465" spans="3:3">
      <c r="C465" s="409" t="s">
        <v>885</v>
      </c>
    </row>
    <row r="466" spans="3:3">
      <c r="C466" s="409" t="s">
        <v>886</v>
      </c>
    </row>
    <row r="467" spans="3:3">
      <c r="C467" s="409" t="s">
        <v>887</v>
      </c>
    </row>
    <row r="468" spans="3:3">
      <c r="C468" s="409" t="s">
        <v>888</v>
      </c>
    </row>
    <row r="469" spans="3:3">
      <c r="C469" s="409" t="s">
        <v>889</v>
      </c>
    </row>
    <row r="470" spans="3:3">
      <c r="C470" s="409" t="s">
        <v>890</v>
      </c>
    </row>
    <row r="471" spans="3:3">
      <c r="C471" s="409" t="s">
        <v>891</v>
      </c>
    </row>
    <row r="472" spans="3:3">
      <c r="C472" s="409" t="s">
        <v>892</v>
      </c>
    </row>
    <row r="473" spans="3:3">
      <c r="C473" s="409" t="s">
        <v>892</v>
      </c>
    </row>
    <row r="476" spans="3:3">
      <c r="C476" s="409" t="s">
        <v>893</v>
      </c>
    </row>
    <row r="479" spans="3:3">
      <c r="C479" s="409" t="s">
        <v>894</v>
      </c>
    </row>
    <row r="480" spans="3:3">
      <c r="C480" s="409" t="s">
        <v>895</v>
      </c>
    </row>
    <row r="481" spans="3:3">
      <c r="C481" s="409" t="s">
        <v>896</v>
      </c>
    </row>
    <row r="482" spans="3:3">
      <c r="C482" s="409" t="s">
        <v>897</v>
      </c>
    </row>
    <row r="483" spans="3:3">
      <c r="C483" s="409" t="s">
        <v>898</v>
      </c>
    </row>
    <row r="484" spans="3:3">
      <c r="C484" s="409" t="s">
        <v>899</v>
      </c>
    </row>
    <row r="485" spans="3:3">
      <c r="C485" s="409" t="s">
        <v>900</v>
      </c>
    </row>
    <row r="486" spans="3:3">
      <c r="C486" s="409" t="s">
        <v>901</v>
      </c>
    </row>
    <row r="487" spans="3:3">
      <c r="C487" s="409" t="s">
        <v>902</v>
      </c>
    </row>
    <row r="488" spans="3:3">
      <c r="C488" s="409" t="s">
        <v>903</v>
      </c>
    </row>
    <row r="489" spans="3:3">
      <c r="C489" s="409" t="s">
        <v>904</v>
      </c>
    </row>
    <row r="490" spans="3:3">
      <c r="C490" s="409" t="s">
        <v>905</v>
      </c>
    </row>
    <row r="491" spans="3:3">
      <c r="C491" s="409" t="s">
        <v>906</v>
      </c>
    </row>
    <row r="492" spans="3:3">
      <c r="C492" s="409" t="s">
        <v>907</v>
      </c>
    </row>
    <row r="494" spans="3:3">
      <c r="C494" s="409" t="s">
        <v>908</v>
      </c>
    </row>
    <row r="497" spans="3:3">
      <c r="C497" s="409" t="s">
        <v>909</v>
      </c>
    </row>
    <row r="498" spans="3:3">
      <c r="C498" s="409" t="s">
        <v>910</v>
      </c>
    </row>
    <row r="500" spans="3:3">
      <c r="C500" s="409" t="s">
        <v>911</v>
      </c>
    </row>
    <row r="501" spans="3:3">
      <c r="C501" s="409" t="s">
        <v>912</v>
      </c>
    </row>
    <row r="503" spans="3:3">
      <c r="C503" s="409" t="s">
        <v>913</v>
      </c>
    </row>
    <row r="504" spans="3:3">
      <c r="C504" s="409" t="s">
        <v>914</v>
      </c>
    </row>
    <row r="505" spans="3:3">
      <c r="C505" s="409" t="s">
        <v>915</v>
      </c>
    </row>
    <row r="506" spans="3:3">
      <c r="C506" s="409" t="s">
        <v>916</v>
      </c>
    </row>
    <row r="507" spans="3:3">
      <c r="C507" s="409" t="s">
        <v>917</v>
      </c>
    </row>
    <row r="508" spans="3:3">
      <c r="C508" s="409" t="s">
        <v>918</v>
      </c>
    </row>
    <row r="510" spans="3:3">
      <c r="C510" s="409" t="s">
        <v>919</v>
      </c>
    </row>
    <row r="511" spans="3:3">
      <c r="C511" s="409" t="s">
        <v>920</v>
      </c>
    </row>
    <row r="512" spans="3:3">
      <c r="C512" s="409" t="s">
        <v>921</v>
      </c>
    </row>
    <row r="513" spans="3:3">
      <c r="C513" s="409" t="s">
        <v>922</v>
      </c>
    </row>
    <row r="514" spans="3:3">
      <c r="C514" s="409" t="s">
        <v>923</v>
      </c>
    </row>
    <row r="516" spans="3:3">
      <c r="C516" s="409" t="s">
        <v>924</v>
      </c>
    </row>
    <row r="517" spans="3:3">
      <c r="C517" s="409" t="s">
        <v>925</v>
      </c>
    </row>
    <row r="518" spans="3:3">
      <c r="C518" s="409" t="s">
        <v>926</v>
      </c>
    </row>
    <row r="519" spans="3:3">
      <c r="C519" s="409" t="s">
        <v>927</v>
      </c>
    </row>
    <row r="520" spans="3:3">
      <c r="C520" s="409" t="s">
        <v>928</v>
      </c>
    </row>
    <row r="522" spans="3:3">
      <c r="C522" s="409" t="s">
        <v>929</v>
      </c>
    </row>
    <row r="523" spans="3:3">
      <c r="C523" s="409" t="s">
        <v>930</v>
      </c>
    </row>
    <row r="524" spans="3:3">
      <c r="C524" s="409" t="s">
        <v>674</v>
      </c>
    </row>
    <row r="525" spans="3:3">
      <c r="C525" s="409" t="s">
        <v>675</v>
      </c>
    </row>
    <row r="526" spans="3:3">
      <c r="C526" s="409" t="s">
        <v>931</v>
      </c>
    </row>
    <row r="527" spans="3:3">
      <c r="C527" s="409" t="s">
        <v>932</v>
      </c>
    </row>
    <row r="528" spans="3:3">
      <c r="C528" s="409" t="s">
        <v>933</v>
      </c>
    </row>
    <row r="530" spans="3:3">
      <c r="C530" s="409" t="s">
        <v>934</v>
      </c>
    </row>
    <row r="531" spans="3:3">
      <c r="C531" s="409" t="s">
        <v>675</v>
      </c>
    </row>
    <row r="533" spans="3:3">
      <c r="C533" s="409" t="s">
        <v>935</v>
      </c>
    </row>
    <row r="534" spans="3:3">
      <c r="C534" s="409" t="s">
        <v>936</v>
      </c>
    </row>
    <row r="535" spans="3:3">
      <c r="C535" s="409" t="s">
        <v>937</v>
      </c>
    </row>
    <row r="537" spans="3:3">
      <c r="C537" s="409" t="s">
        <v>938</v>
      </c>
    </row>
    <row r="538" spans="3:3">
      <c r="C538" s="409" t="s">
        <v>939</v>
      </c>
    </row>
    <row r="539" spans="3:3">
      <c r="C539" s="409" t="s">
        <v>940</v>
      </c>
    </row>
    <row r="540" spans="3:3">
      <c r="C540" s="409" t="s">
        <v>941</v>
      </c>
    </row>
    <row r="541" spans="3:3">
      <c r="C541" s="409" t="s">
        <v>942</v>
      </c>
    </row>
    <row r="543" spans="3:3">
      <c r="C543" s="409" t="s">
        <v>943</v>
      </c>
    </row>
    <row r="544" spans="3:3">
      <c r="C544" s="409" t="s">
        <v>944</v>
      </c>
    </row>
    <row r="545" spans="3:3">
      <c r="C545" s="409" t="s">
        <v>945</v>
      </c>
    </row>
    <row r="546" spans="3:3">
      <c r="C546" s="409" t="s">
        <v>946</v>
      </c>
    </row>
    <row r="547" spans="3:3">
      <c r="C547" s="409" t="s">
        <v>947</v>
      </c>
    </row>
    <row r="548" spans="3:3">
      <c r="C548" s="409" t="s">
        <v>948</v>
      </c>
    </row>
    <row r="549" spans="3:3">
      <c r="C549" s="409" t="s">
        <v>949</v>
      </c>
    </row>
    <row r="551" spans="3:3">
      <c r="C551" s="409" t="s">
        <v>950</v>
      </c>
    </row>
    <row r="552" spans="3:3">
      <c r="C552" s="409" t="s">
        <v>951</v>
      </c>
    </row>
    <row r="553" spans="3:3">
      <c r="C553" s="409" t="s">
        <v>841</v>
      </c>
    </row>
    <row r="554" spans="3:3">
      <c r="C554" s="409" t="s">
        <v>952</v>
      </c>
    </row>
    <row r="555" spans="3:3">
      <c r="C555" s="409" t="s">
        <v>953</v>
      </c>
    </row>
    <row r="556" spans="3:3">
      <c r="C556" s="409" t="s">
        <v>954</v>
      </c>
    </row>
    <row r="558" spans="3:3">
      <c r="C558" s="409" t="s">
        <v>955</v>
      </c>
    </row>
    <row r="559" spans="3:3">
      <c r="C559" s="409" t="s">
        <v>944</v>
      </c>
    </row>
    <row r="560" spans="3:3">
      <c r="C560" s="409" t="s">
        <v>956</v>
      </c>
    </row>
    <row r="561" spans="3:3">
      <c r="C561" s="409" t="s">
        <v>957</v>
      </c>
    </row>
    <row r="562" spans="3:3">
      <c r="C562" s="409" t="s">
        <v>947</v>
      </c>
    </row>
    <row r="563" spans="3:3">
      <c r="C563" s="409" t="s">
        <v>948</v>
      </c>
    </row>
    <row r="564" spans="3:3">
      <c r="C564" s="409" t="s">
        <v>949</v>
      </c>
    </row>
    <row r="566" spans="3:3">
      <c r="C566" s="409" t="s">
        <v>958</v>
      </c>
    </row>
    <row r="567" spans="3:3">
      <c r="C567" s="409" t="s">
        <v>959</v>
      </c>
    </row>
    <row r="568" spans="3:3">
      <c r="C568" s="409" t="s">
        <v>841</v>
      </c>
    </row>
    <row r="569" spans="3:3">
      <c r="C569" s="409" t="s">
        <v>952</v>
      </c>
    </row>
    <row r="570" spans="3:3">
      <c r="C570" s="409" t="s">
        <v>960</v>
      </c>
    </row>
    <row r="571" spans="3:3">
      <c r="C571" s="409" t="s">
        <v>961</v>
      </c>
    </row>
    <row r="573" spans="3:3">
      <c r="C573" s="409" t="s">
        <v>962</v>
      </c>
    </row>
    <row r="574" spans="3:3">
      <c r="C574" s="409" t="s">
        <v>963</v>
      </c>
    </row>
    <row r="575" spans="3:3">
      <c r="C575" s="409" t="s">
        <v>964</v>
      </c>
    </row>
    <row r="576" spans="3:3">
      <c r="C576" s="409" t="s">
        <v>965</v>
      </c>
    </row>
    <row r="577" spans="3:3">
      <c r="C577" s="409" t="s">
        <v>966</v>
      </c>
    </row>
    <row r="578" spans="3:3">
      <c r="C578" s="409" t="s">
        <v>967</v>
      </c>
    </row>
    <row r="579" spans="3:3">
      <c r="C579" s="409" t="s">
        <v>968</v>
      </c>
    </row>
    <row r="580" spans="3:3">
      <c r="C580" s="409" t="s">
        <v>969</v>
      </c>
    </row>
    <row r="581" spans="3:3">
      <c r="C581" s="409" t="s">
        <v>970</v>
      </c>
    </row>
    <row r="582" spans="3:3">
      <c r="C582" s="409" t="s">
        <v>971</v>
      </c>
    </row>
    <row r="584" spans="3:3">
      <c r="C584" s="409" t="s">
        <v>972</v>
      </c>
    </row>
    <row r="585" spans="3:3">
      <c r="C585" s="409" t="s">
        <v>973</v>
      </c>
    </row>
    <row r="586" spans="3:3">
      <c r="C586" s="409" t="s">
        <v>974</v>
      </c>
    </row>
    <row r="587" spans="3:3">
      <c r="C587" s="409" t="s">
        <v>975</v>
      </c>
    </row>
    <row r="588" spans="3:3">
      <c r="C588" s="409" t="s">
        <v>976</v>
      </c>
    </row>
    <row r="589" spans="3:3">
      <c r="C589" s="409" t="s">
        <v>977</v>
      </c>
    </row>
    <row r="590" spans="3:3">
      <c r="C590" s="409" t="s">
        <v>978</v>
      </c>
    </row>
    <row r="591" spans="3:3">
      <c r="C591" s="409" t="s">
        <v>979</v>
      </c>
    </row>
    <row r="592" spans="3:3">
      <c r="C592" s="409" t="s">
        <v>980</v>
      </c>
    </row>
    <row r="594" spans="3:3">
      <c r="C594" s="409" t="s">
        <v>981</v>
      </c>
    </row>
    <row r="595" spans="3:3">
      <c r="C595" s="409" t="s">
        <v>982</v>
      </c>
    </row>
    <row r="596" spans="3:3">
      <c r="C596" s="409" t="s">
        <v>983</v>
      </c>
    </row>
    <row r="597" spans="3:3">
      <c r="C597" s="409" t="s">
        <v>984</v>
      </c>
    </row>
    <row r="598" spans="3:3">
      <c r="C598" s="409" t="s">
        <v>985</v>
      </c>
    </row>
    <row r="599" spans="3:3">
      <c r="C599" s="409" t="s">
        <v>986</v>
      </c>
    </row>
    <row r="600" spans="3:3">
      <c r="C600" s="409" t="s">
        <v>987</v>
      </c>
    </row>
    <row r="601" spans="3:3">
      <c r="C601" s="409" t="s">
        <v>988</v>
      </c>
    </row>
    <row r="602" spans="3:3">
      <c r="C602" s="409" t="s">
        <v>989</v>
      </c>
    </row>
    <row r="603" spans="3:3">
      <c r="C603" s="409" t="s">
        <v>857</v>
      </c>
    </row>
    <row r="604" spans="3:3">
      <c r="C604" s="409" t="s">
        <v>990</v>
      </c>
    </row>
    <row r="605" spans="3:3">
      <c r="C605" s="409" t="s">
        <v>991</v>
      </c>
    </row>
    <row r="606" spans="3:3">
      <c r="C606" s="409" t="s">
        <v>992</v>
      </c>
    </row>
    <row r="607" spans="3:3">
      <c r="C607" s="409" t="s">
        <v>993</v>
      </c>
    </row>
    <row r="608" spans="3:3">
      <c r="C608" s="409" t="s">
        <v>994</v>
      </c>
    </row>
    <row r="609" spans="3:3">
      <c r="C609" s="409" t="s">
        <v>995</v>
      </c>
    </row>
    <row r="610" spans="3:3">
      <c r="C610" s="409" t="s">
        <v>996</v>
      </c>
    </row>
    <row r="611" spans="3:3">
      <c r="C611" s="409" t="s">
        <v>997</v>
      </c>
    </row>
    <row r="612" spans="3:3">
      <c r="C612" s="409" t="s">
        <v>808</v>
      </c>
    </row>
    <row r="613" spans="3:3">
      <c r="C613" s="409" t="s">
        <v>998</v>
      </c>
    </row>
    <row r="614" spans="3:3">
      <c r="C614" s="409" t="s">
        <v>999</v>
      </c>
    </row>
    <row r="615" spans="3:3">
      <c r="C615" s="409" t="s">
        <v>1000</v>
      </c>
    </row>
    <row r="616" spans="3:3">
      <c r="C616" s="409" t="s">
        <v>1001</v>
      </c>
    </row>
    <row r="617" spans="3:3">
      <c r="C617" s="409" t="s">
        <v>1002</v>
      </c>
    </row>
    <row r="618" spans="3:3">
      <c r="C618" s="409" t="s">
        <v>1003</v>
      </c>
    </row>
    <row r="619" spans="3:3">
      <c r="C619" s="409" t="s">
        <v>1004</v>
      </c>
    </row>
    <row r="620" spans="3:3">
      <c r="C620" s="409" t="s">
        <v>1005</v>
      </c>
    </row>
    <row r="621" spans="3:3">
      <c r="C621" s="409" t="s">
        <v>1006</v>
      </c>
    </row>
    <row r="622" spans="3:3">
      <c r="C622" s="409" t="s">
        <v>631</v>
      </c>
    </row>
    <row r="623" spans="3:3">
      <c r="C623" s="409" t="s">
        <v>841</v>
      </c>
    </row>
    <row r="624" spans="3:3">
      <c r="C624" s="409" t="s">
        <v>1007</v>
      </c>
    </row>
    <row r="625" spans="3:3">
      <c r="C625" s="409" t="s">
        <v>1008</v>
      </c>
    </row>
    <row r="626" spans="3:3">
      <c r="C626" s="409" t="s">
        <v>1009</v>
      </c>
    </row>
    <row r="627" spans="3:3">
      <c r="C627" s="409" t="s">
        <v>1010</v>
      </c>
    </row>
    <row r="628" spans="3:3">
      <c r="C628" s="409" t="s">
        <v>1011</v>
      </c>
    </row>
    <row r="629" spans="3:3">
      <c r="C629" s="409" t="s">
        <v>1012</v>
      </c>
    </row>
    <row r="630" spans="3:3">
      <c r="C630" s="409" t="s">
        <v>1013</v>
      </c>
    </row>
    <row r="631" spans="3:3">
      <c r="C631" s="409" t="s">
        <v>1014</v>
      </c>
    </row>
    <row r="632" spans="3:3">
      <c r="C632" s="409" t="s">
        <v>1015</v>
      </c>
    </row>
    <row r="634" spans="3:3">
      <c r="C634" s="409" t="s">
        <v>1016</v>
      </c>
    </row>
    <row r="636" spans="3:3">
      <c r="C636" s="409" t="s">
        <v>944</v>
      </c>
    </row>
    <row r="637" spans="3:3">
      <c r="C637" s="409" t="s">
        <v>1017</v>
      </c>
    </row>
    <row r="638" spans="3:3">
      <c r="C638" s="409" t="s">
        <v>1018</v>
      </c>
    </row>
    <row r="639" spans="3:3">
      <c r="C639" s="409" t="s">
        <v>1019</v>
      </c>
    </row>
    <row r="640" spans="3:3">
      <c r="C640" s="409" t="s">
        <v>948</v>
      </c>
    </row>
    <row r="641" spans="3:3">
      <c r="C641" s="409" t="s">
        <v>949</v>
      </c>
    </row>
    <row r="643" spans="3:3">
      <c r="C643" s="409" t="s">
        <v>944</v>
      </c>
    </row>
    <row r="644" spans="3:3">
      <c r="C644" s="409" t="s">
        <v>1020</v>
      </c>
    </row>
    <row r="645" spans="3:3">
      <c r="C645" s="409" t="s">
        <v>1021</v>
      </c>
    </row>
    <row r="646" spans="3:3">
      <c r="C646" s="409" t="s">
        <v>1019</v>
      </c>
    </row>
    <row r="647" spans="3:3">
      <c r="C647" s="409" t="s">
        <v>948</v>
      </c>
    </row>
    <row r="648" spans="3:3">
      <c r="C648" s="409" t="s">
        <v>949</v>
      </c>
    </row>
    <row r="650" spans="3:3">
      <c r="C650" s="409" t="s">
        <v>1022</v>
      </c>
    </row>
    <row r="651" spans="3:3">
      <c r="C651" s="409" t="s">
        <v>1023</v>
      </c>
    </row>
    <row r="653" spans="3:3">
      <c r="C653" s="409" t="s">
        <v>1024</v>
      </c>
    </row>
    <row r="654" spans="3:3">
      <c r="C654" s="409" t="s">
        <v>1025</v>
      </c>
    </row>
    <row r="655" spans="3:3">
      <c r="C655" s="409" t="s">
        <v>1026</v>
      </c>
    </row>
    <row r="656" spans="3:3">
      <c r="C656" s="409" t="s">
        <v>952</v>
      </c>
    </row>
    <row r="657" spans="3:3">
      <c r="C657" s="409" t="s">
        <v>1027</v>
      </c>
    </row>
    <row r="658" spans="3:3">
      <c r="C658" s="409" t="s">
        <v>1028</v>
      </c>
    </row>
    <row r="660" spans="3:3">
      <c r="C660" s="409" t="s">
        <v>808</v>
      </c>
    </row>
    <row r="661" spans="3:3">
      <c r="C661" s="409" t="s">
        <v>808</v>
      </c>
    </row>
    <row r="662" spans="3:3">
      <c r="C662" s="409" t="s">
        <v>1029</v>
      </c>
    </row>
    <row r="663" spans="3:3">
      <c r="C663" s="409" t="s">
        <v>1008</v>
      </c>
    </row>
    <row r="664" spans="3:3">
      <c r="C664" s="409" t="s">
        <v>1009</v>
      </c>
    </row>
    <row r="665" spans="3:3">
      <c r="C665" s="409" t="s">
        <v>1010</v>
      </c>
    </row>
    <row r="667" spans="3:3">
      <c r="C667" s="409" t="s">
        <v>1030</v>
      </c>
    </row>
    <row r="668" spans="3:3">
      <c r="C668" s="409" t="s">
        <v>1031</v>
      </c>
    </row>
    <row r="669" spans="3:3">
      <c r="C669" s="409" t="s">
        <v>1032</v>
      </c>
    </row>
    <row r="670" spans="3:3">
      <c r="C670" s="409" t="s">
        <v>1033</v>
      </c>
    </row>
    <row r="671" spans="3:3">
      <c r="C671" s="409" t="s">
        <v>1034</v>
      </c>
    </row>
    <row r="673" spans="3:3">
      <c r="C673" s="409" t="s">
        <v>1035</v>
      </c>
    </row>
    <row r="675" spans="3:3">
      <c r="C675" s="409" t="s">
        <v>944</v>
      </c>
    </row>
    <row r="676" spans="3:3">
      <c r="C676" s="409" t="s">
        <v>1036</v>
      </c>
    </row>
    <row r="677" spans="3:3">
      <c r="C677" s="409" t="s">
        <v>1037</v>
      </c>
    </row>
    <row r="678" spans="3:3">
      <c r="C678" s="409" t="s">
        <v>1019</v>
      </c>
    </row>
    <row r="679" spans="3:3">
      <c r="C679" s="409" t="s">
        <v>948</v>
      </c>
    </row>
    <row r="680" spans="3:3">
      <c r="C680" s="409" t="s">
        <v>949</v>
      </c>
    </row>
    <row r="682" spans="3:3">
      <c r="C682" s="409" t="s">
        <v>944</v>
      </c>
    </row>
    <row r="683" spans="3:3">
      <c r="C683" s="409" t="s">
        <v>1038</v>
      </c>
    </row>
    <row r="684" spans="3:3">
      <c r="C684" s="409" t="s">
        <v>1039</v>
      </c>
    </row>
    <row r="685" spans="3:3">
      <c r="C685" s="409" t="s">
        <v>1019</v>
      </c>
    </row>
    <row r="686" spans="3:3">
      <c r="C686" s="409" t="s">
        <v>948</v>
      </c>
    </row>
    <row r="687" spans="3:3">
      <c r="C687" s="409" t="s">
        <v>949</v>
      </c>
    </row>
    <row r="689" spans="3:3">
      <c r="C689" s="409" t="s">
        <v>1040</v>
      </c>
    </row>
    <row r="690" spans="3:3">
      <c r="C690" s="409" t="s">
        <v>1041</v>
      </c>
    </row>
    <row r="692" spans="3:3">
      <c r="C692" s="409" t="s">
        <v>1042</v>
      </c>
    </row>
    <row r="693" spans="3:3">
      <c r="C693" s="409" t="s">
        <v>1043</v>
      </c>
    </row>
    <row r="694" spans="3:3">
      <c r="C694" s="409" t="s">
        <v>841</v>
      </c>
    </row>
    <row r="695" spans="3:3">
      <c r="C695" s="409" t="s">
        <v>952</v>
      </c>
    </row>
    <row r="696" spans="3:3">
      <c r="C696" s="409" t="s">
        <v>1044</v>
      </c>
    </row>
    <row r="697" spans="3:3">
      <c r="C697" s="409" t="s">
        <v>1045</v>
      </c>
    </row>
    <row r="699" spans="3:3">
      <c r="C699" s="409" t="s">
        <v>1046</v>
      </c>
    </row>
    <row r="700" spans="3:3">
      <c r="C700" s="409" t="s">
        <v>866</v>
      </c>
    </row>
    <row r="701" spans="3:3">
      <c r="C701" s="409" t="s">
        <v>808</v>
      </c>
    </row>
    <row r="702" spans="3:3">
      <c r="C702" s="409" t="s">
        <v>944</v>
      </c>
    </row>
    <row r="703" spans="3:3">
      <c r="C703" s="409" t="s">
        <v>1047</v>
      </c>
    </row>
    <row r="704" spans="3:3">
      <c r="C704" s="409" t="s">
        <v>1048</v>
      </c>
    </row>
    <row r="705" spans="3:3">
      <c r="C705" s="409" t="s">
        <v>947</v>
      </c>
    </row>
    <row r="706" spans="3:3">
      <c r="C706" s="409" t="s">
        <v>948</v>
      </c>
    </row>
    <row r="707" spans="3:3">
      <c r="C707" s="409" t="s">
        <v>949</v>
      </c>
    </row>
    <row r="709" spans="3:3">
      <c r="C709" s="409" t="s">
        <v>1049</v>
      </c>
    </row>
    <row r="710" spans="3:3">
      <c r="C710" s="409" t="s">
        <v>1050</v>
      </c>
    </row>
    <row r="712" spans="3:3">
      <c r="C712" s="409" t="s">
        <v>952</v>
      </c>
    </row>
    <row r="713" spans="3:3">
      <c r="C713" s="409" t="s">
        <v>1051</v>
      </c>
    </row>
    <row r="714" spans="3:3">
      <c r="C714" s="409" t="s">
        <v>1052</v>
      </c>
    </row>
    <row r="715" spans="3:3">
      <c r="C715" s="409" t="s">
        <v>808</v>
      </c>
    </row>
    <row r="716" spans="3:3">
      <c r="C716" s="409" t="s">
        <v>1053</v>
      </c>
    </row>
    <row r="717" spans="3:3">
      <c r="C717" s="409" t="s">
        <v>944</v>
      </c>
    </row>
    <row r="718" spans="3:3">
      <c r="C718" s="409" t="s">
        <v>1054</v>
      </c>
    </row>
    <row r="719" spans="3:3">
      <c r="C719" s="409" t="s">
        <v>1055</v>
      </c>
    </row>
    <row r="720" spans="3:3">
      <c r="C720" s="409" t="s">
        <v>947</v>
      </c>
    </row>
    <row r="721" spans="3:3">
      <c r="C721" s="409" t="s">
        <v>948</v>
      </c>
    </row>
    <row r="722" spans="3:3">
      <c r="C722" s="409" t="s">
        <v>949</v>
      </c>
    </row>
    <row r="724" spans="3:3">
      <c r="C724" s="409" t="s">
        <v>1056</v>
      </c>
    </row>
    <row r="725" spans="3:3">
      <c r="C725" s="409" t="s">
        <v>1057</v>
      </c>
    </row>
    <row r="727" spans="3:3">
      <c r="C727" s="409" t="s">
        <v>952</v>
      </c>
    </row>
    <row r="728" spans="3:3">
      <c r="C728" s="409" t="s">
        <v>1058</v>
      </c>
    </row>
    <row r="729" spans="3:3">
      <c r="C729" s="409" t="s">
        <v>1028</v>
      </c>
    </row>
    <row r="730" spans="3:3">
      <c r="C730" s="409" t="s">
        <v>808</v>
      </c>
    </row>
    <row r="731" spans="3:3">
      <c r="C731" s="409" t="s">
        <v>1059</v>
      </c>
    </row>
    <row r="732" spans="3:3">
      <c r="C732" s="409" t="s">
        <v>1060</v>
      </c>
    </row>
    <row r="733" spans="3:3">
      <c r="C733" s="409" t="s">
        <v>1061</v>
      </c>
    </row>
    <row r="734" spans="3:3">
      <c r="C734" s="409" t="s">
        <v>1062</v>
      </c>
    </row>
    <row r="735" spans="3:3">
      <c r="C735" s="409" t="s">
        <v>1063</v>
      </c>
    </row>
    <row r="736" spans="3:3">
      <c r="C736" s="409" t="s">
        <v>1064</v>
      </c>
    </row>
    <row r="737" spans="3:3">
      <c r="C737" s="409" t="s">
        <v>1065</v>
      </c>
    </row>
    <row r="739" spans="3:3">
      <c r="C739" s="409" t="s">
        <v>1066</v>
      </c>
    </row>
    <row r="740" spans="3:3">
      <c r="C740" s="409" t="s">
        <v>1067</v>
      </c>
    </row>
    <row r="742" spans="3:3">
      <c r="C742" s="409" t="s">
        <v>1068</v>
      </c>
    </row>
    <row r="743" spans="3:3">
      <c r="C743" s="409" t="s">
        <v>1069</v>
      </c>
    </row>
    <row r="744" spans="3:3">
      <c r="C744" s="409" t="s">
        <v>1070</v>
      </c>
    </row>
    <row r="746" spans="3:3">
      <c r="C746" s="409" t="s">
        <v>808</v>
      </c>
    </row>
    <row r="747" spans="3:3">
      <c r="C747" s="409" t="s">
        <v>808</v>
      </c>
    </row>
    <row r="748" spans="3:3">
      <c r="C748" s="409" t="s">
        <v>944</v>
      </c>
    </row>
    <row r="749" spans="3:3">
      <c r="C749" s="409" t="s">
        <v>1071</v>
      </c>
    </row>
    <row r="750" spans="3:3">
      <c r="C750" s="409" t="s">
        <v>1072</v>
      </c>
    </row>
    <row r="751" spans="3:3">
      <c r="C751" s="409" t="s">
        <v>947</v>
      </c>
    </row>
    <row r="752" spans="3:3">
      <c r="C752" s="409" t="s">
        <v>948</v>
      </c>
    </row>
    <row r="753" spans="3:3">
      <c r="C753" s="409" t="s">
        <v>949</v>
      </c>
    </row>
    <row r="755" spans="3:3">
      <c r="C755" s="409" t="s">
        <v>1073</v>
      </c>
    </row>
    <row r="756" spans="3:3">
      <c r="C756" s="409" t="s">
        <v>1074</v>
      </c>
    </row>
    <row r="758" spans="3:3">
      <c r="C758" s="409" t="s">
        <v>952</v>
      </c>
    </row>
    <row r="759" spans="3:3">
      <c r="C759" s="409" t="s">
        <v>1075</v>
      </c>
    </row>
    <row r="760" spans="3:3">
      <c r="C760" s="409" t="s">
        <v>1076</v>
      </c>
    </row>
    <row r="761" spans="3:3">
      <c r="C761" s="409" t="s">
        <v>808</v>
      </c>
    </row>
    <row r="762" spans="3:3">
      <c r="C762" s="409" t="s">
        <v>808</v>
      </c>
    </row>
    <row r="764" spans="3:3">
      <c r="C764" s="409" t="s">
        <v>1077</v>
      </c>
    </row>
    <row r="765" spans="3:3">
      <c r="C765" s="409" t="s">
        <v>1008</v>
      </c>
    </row>
    <row r="766" spans="3:3">
      <c r="C766" s="409" t="s">
        <v>1009</v>
      </c>
    </row>
    <row r="767" spans="3:3">
      <c r="C767" s="409" t="s">
        <v>1010</v>
      </c>
    </row>
    <row r="769" spans="3:3">
      <c r="C769" s="412" t="s">
        <v>1078</v>
      </c>
    </row>
    <row r="770" spans="3:3">
      <c r="C770" s="409" t="s">
        <v>1079</v>
      </c>
    </row>
    <row r="772" spans="3:3">
      <c r="C772" s="409" t="s">
        <v>1080</v>
      </c>
    </row>
    <row r="773" spans="3:3">
      <c r="C773" s="409" t="s">
        <v>1081</v>
      </c>
    </row>
    <row r="774" spans="3:3">
      <c r="C774" s="409" t="s">
        <v>1082</v>
      </c>
    </row>
    <row r="776" spans="3:3">
      <c r="C776" s="409" t="s">
        <v>1083</v>
      </c>
    </row>
    <row r="778" spans="3:3">
      <c r="C778" s="412" t="s">
        <v>944</v>
      </c>
    </row>
    <row r="779" spans="3:3">
      <c r="C779" s="409" t="s">
        <v>1084</v>
      </c>
    </row>
    <row r="780" spans="3:3">
      <c r="C780" s="409" t="s">
        <v>1085</v>
      </c>
    </row>
    <row r="781" spans="3:3">
      <c r="C781" s="409" t="s">
        <v>1019</v>
      </c>
    </row>
    <row r="782" spans="3:3">
      <c r="C782" s="409" t="s">
        <v>948</v>
      </c>
    </row>
    <row r="783" spans="3:3">
      <c r="C783" s="409" t="s">
        <v>949</v>
      </c>
    </row>
    <row r="785" spans="3:3">
      <c r="C785" s="409" t="s">
        <v>944</v>
      </c>
    </row>
    <row r="786" spans="3:3">
      <c r="C786" s="409" t="s">
        <v>1086</v>
      </c>
    </row>
    <row r="787" spans="3:3">
      <c r="C787" s="409" t="s">
        <v>1087</v>
      </c>
    </row>
    <row r="788" spans="3:3">
      <c r="C788" s="409" t="s">
        <v>1019</v>
      </c>
    </row>
    <row r="789" spans="3:3">
      <c r="C789" s="409" t="s">
        <v>948</v>
      </c>
    </row>
    <row r="790" spans="3:3">
      <c r="C790" s="409" t="s">
        <v>949</v>
      </c>
    </row>
    <row r="792" spans="3:3">
      <c r="C792" s="409" t="s">
        <v>1088</v>
      </c>
    </row>
    <row r="793" spans="3:3">
      <c r="C793" s="409" t="s">
        <v>1089</v>
      </c>
    </row>
    <row r="795" spans="3:3">
      <c r="C795" s="409" t="s">
        <v>1090</v>
      </c>
    </row>
    <row r="796" spans="3:3">
      <c r="C796" s="409" t="s">
        <v>1091</v>
      </c>
    </row>
    <row r="798" spans="3:3">
      <c r="C798" s="409" t="s">
        <v>952</v>
      </c>
    </row>
    <row r="799" spans="3:3">
      <c r="C799" s="409" t="s">
        <v>1092</v>
      </c>
    </row>
    <row r="800" spans="3:3">
      <c r="C800" s="409" t="s">
        <v>1093</v>
      </c>
    </row>
    <row r="802" spans="3:3">
      <c r="C802" s="409" t="s">
        <v>1094</v>
      </c>
    </row>
    <row r="803" spans="3:3">
      <c r="C803" s="409" t="s">
        <v>1060</v>
      </c>
    </row>
    <row r="804" spans="3:3">
      <c r="C804" s="409" t="s">
        <v>1095</v>
      </c>
    </row>
    <row r="805" spans="3:3">
      <c r="C805" s="409" t="s">
        <v>1096</v>
      </c>
    </row>
    <row r="806" spans="3:3">
      <c r="C806" s="409" t="s">
        <v>1063</v>
      </c>
    </row>
    <row r="807" spans="3:3">
      <c r="C807" s="409" t="s">
        <v>1064</v>
      </c>
    </row>
    <row r="808" spans="3:3">
      <c r="C808" s="409" t="s">
        <v>1065</v>
      </c>
    </row>
    <row r="810" spans="3:3">
      <c r="C810" s="409" t="s">
        <v>1068</v>
      </c>
    </row>
    <row r="811" spans="3:3">
      <c r="C811" s="409" t="s">
        <v>1097</v>
      </c>
    </row>
    <row r="812" spans="3:3">
      <c r="C812" s="409" t="s">
        <v>1098</v>
      </c>
    </row>
    <row r="814" spans="3:3">
      <c r="C814" s="409" t="s">
        <v>1099</v>
      </c>
    </row>
    <row r="815" spans="3:3">
      <c r="C815" s="409" t="s">
        <v>1100</v>
      </c>
    </row>
    <row r="819" spans="3:3">
      <c r="C819" s="409" t="s">
        <v>944</v>
      </c>
    </row>
    <row r="820" spans="3:3">
      <c r="C820" s="409" t="s">
        <v>1101</v>
      </c>
    </row>
    <row r="821" spans="3:3">
      <c r="C821" s="409" t="s">
        <v>1102</v>
      </c>
    </row>
    <row r="822" spans="3:3">
      <c r="C822" s="409" t="s">
        <v>947</v>
      </c>
    </row>
    <row r="823" spans="3:3">
      <c r="C823" s="409" t="s">
        <v>948</v>
      </c>
    </row>
    <row r="824" spans="3:3">
      <c r="C824" s="409" t="s">
        <v>949</v>
      </c>
    </row>
    <row r="826" spans="3:3">
      <c r="C826" s="409" t="s">
        <v>952</v>
      </c>
    </row>
    <row r="827" spans="3:3">
      <c r="C827" s="409" t="s">
        <v>1103</v>
      </c>
    </row>
    <row r="828" spans="3:3">
      <c r="C828" s="409" t="s">
        <v>954</v>
      </c>
    </row>
    <row r="830" spans="3:3">
      <c r="C830" s="409" t="s">
        <v>1104</v>
      </c>
    </row>
    <row r="831" spans="3:3">
      <c r="C831" s="409" t="s">
        <v>1105</v>
      </c>
    </row>
    <row r="833" spans="3:3">
      <c r="C833" s="409" t="s">
        <v>1106</v>
      </c>
    </row>
    <row r="835" spans="3:3">
      <c r="C835" s="409" t="s">
        <v>1107</v>
      </c>
    </row>
    <row r="836" spans="3:3">
      <c r="C836" s="409" t="s">
        <v>808</v>
      </c>
    </row>
    <row r="837" spans="3:3">
      <c r="C837" s="409" t="s">
        <v>1108</v>
      </c>
    </row>
    <row r="838" spans="3:3">
      <c r="C838" s="409" t="s">
        <v>808</v>
      </c>
    </row>
    <row r="839" spans="3:3">
      <c r="C839" s="409" t="s">
        <v>1109</v>
      </c>
    </row>
    <row r="840" spans="3:3">
      <c r="C840" s="409" t="s">
        <v>808</v>
      </c>
    </row>
    <row r="841" spans="3:3">
      <c r="C841" s="409" t="s">
        <v>1110</v>
      </c>
    </row>
    <row r="842" spans="3:3">
      <c r="C842" s="409" t="s">
        <v>1111</v>
      </c>
    </row>
    <row r="843" spans="3:3">
      <c r="C843" s="409" t="s">
        <v>1112</v>
      </c>
    </row>
    <row r="844" spans="3:3">
      <c r="C844" s="409" t="s">
        <v>1113</v>
      </c>
    </row>
    <row r="845" spans="3:3">
      <c r="C845" s="409" t="s">
        <v>1114</v>
      </c>
    </row>
    <row r="846" spans="3:3">
      <c r="C846" s="409" t="s">
        <v>1115</v>
      </c>
    </row>
    <row r="847" spans="3:3">
      <c r="C847" s="409" t="s">
        <v>1116</v>
      </c>
    </row>
    <row r="848" spans="3:3">
      <c r="C848" s="409" t="s">
        <v>1117</v>
      </c>
    </row>
    <row r="849" spans="3:3">
      <c r="C849" s="409" t="s">
        <v>1118</v>
      </c>
    </row>
    <row r="851" spans="3:3">
      <c r="C851" s="409" t="s">
        <v>1119</v>
      </c>
    </row>
    <row r="852" spans="3:3">
      <c r="C852" s="409" t="s">
        <v>1120</v>
      </c>
    </row>
    <row r="853" spans="3:3">
      <c r="C853" s="409" t="s">
        <v>1121</v>
      </c>
    </row>
    <row r="855" spans="3:3">
      <c r="C855" s="409" t="s">
        <v>1122</v>
      </c>
    </row>
    <row r="857" spans="3:3">
      <c r="C857" s="409" t="s">
        <v>1110</v>
      </c>
    </row>
    <row r="858" spans="3:3">
      <c r="C858" s="409" t="s">
        <v>1123</v>
      </c>
    </row>
    <row r="859" spans="3:3">
      <c r="C859" s="409" t="s">
        <v>1124</v>
      </c>
    </row>
    <row r="860" spans="3:3">
      <c r="C860" s="409" t="s">
        <v>1125</v>
      </c>
    </row>
    <row r="861" spans="3:3">
      <c r="C861" s="409" t="s">
        <v>1114</v>
      </c>
    </row>
    <row r="862" spans="3:3">
      <c r="C862" s="409" t="s">
        <v>1115</v>
      </c>
    </row>
    <row r="863" spans="3:3">
      <c r="C863" s="409" t="s">
        <v>1116</v>
      </c>
    </row>
    <row r="864" spans="3:3">
      <c r="C864" s="409" t="s">
        <v>1110</v>
      </c>
    </row>
    <row r="865" spans="3:3">
      <c r="C865" s="409" t="s">
        <v>1126</v>
      </c>
    </row>
    <row r="866" spans="3:3">
      <c r="C866" s="409" t="s">
        <v>1127</v>
      </c>
    </row>
    <row r="867" spans="3:3">
      <c r="C867" s="409" t="s">
        <v>1125</v>
      </c>
    </row>
    <row r="868" spans="3:3">
      <c r="C868" s="409" t="s">
        <v>1114</v>
      </c>
    </row>
    <row r="869" spans="3:3">
      <c r="C869" s="409" t="s">
        <v>1115</v>
      </c>
    </row>
    <row r="870" spans="3:3">
      <c r="C870" s="409" t="s">
        <v>1116</v>
      </c>
    </row>
    <row r="871" spans="3:3">
      <c r="C871" s="409" t="s">
        <v>1128</v>
      </c>
    </row>
    <row r="873" spans="3:3">
      <c r="C873" s="409" t="s">
        <v>1119</v>
      </c>
    </row>
    <row r="874" spans="3:3">
      <c r="C874" s="409" t="s">
        <v>1129</v>
      </c>
    </row>
    <row r="875" spans="3:3">
      <c r="C875" s="409" t="s">
        <v>1121</v>
      </c>
    </row>
    <row r="876" spans="3:3">
      <c r="C876" s="409" t="s">
        <v>808</v>
      </c>
    </row>
    <row r="877" spans="3:3">
      <c r="C877" s="409" t="s">
        <v>1130</v>
      </c>
    </row>
    <row r="878" spans="3:3">
      <c r="C878" s="409" t="s">
        <v>808</v>
      </c>
    </row>
    <row r="879" spans="3:3">
      <c r="C879" s="409" t="s">
        <v>1110</v>
      </c>
    </row>
    <row r="880" spans="3:3">
      <c r="C880" s="409" t="s">
        <v>1131</v>
      </c>
    </row>
    <row r="881" spans="3:3">
      <c r="C881" s="409" t="s">
        <v>1132</v>
      </c>
    </row>
    <row r="882" spans="3:3">
      <c r="C882" s="409" t="s">
        <v>1113</v>
      </c>
    </row>
    <row r="883" spans="3:3">
      <c r="C883" s="409" t="s">
        <v>1114</v>
      </c>
    </row>
    <row r="884" spans="3:3">
      <c r="C884" s="409" t="s">
        <v>1115</v>
      </c>
    </row>
    <row r="885" spans="3:3">
      <c r="C885" s="409" t="s">
        <v>1116</v>
      </c>
    </row>
    <row r="886" spans="3:3">
      <c r="C886" s="409" t="s">
        <v>1133</v>
      </c>
    </row>
    <row r="887" spans="3:3">
      <c r="C887" s="409" t="s">
        <v>1134</v>
      </c>
    </row>
    <row r="889" spans="3:3">
      <c r="C889" s="409" t="s">
        <v>1119</v>
      </c>
    </row>
    <row r="890" spans="3:3">
      <c r="C890" s="409" t="s">
        <v>1135</v>
      </c>
    </row>
    <row r="891" spans="3:3">
      <c r="C891" s="409" t="s">
        <v>1121</v>
      </c>
    </row>
    <row r="892" spans="3:3">
      <c r="C892" s="409" t="s">
        <v>808</v>
      </c>
    </row>
    <row r="893" spans="3:3">
      <c r="C893" s="409" t="s">
        <v>1136</v>
      </c>
    </row>
    <row r="894" spans="3:3">
      <c r="C894" s="409" t="s">
        <v>1136</v>
      </c>
    </row>
    <row r="895" spans="3:3">
      <c r="C895" s="409" t="s">
        <v>808</v>
      </c>
    </row>
    <row r="896" spans="3:3">
      <c r="C896" s="409" t="s">
        <v>1137</v>
      </c>
    </row>
    <row r="897" spans="3:3">
      <c r="C897" s="409" t="s">
        <v>1138</v>
      </c>
    </row>
    <row r="899" spans="3:3">
      <c r="C899" s="409" t="s">
        <v>1139</v>
      </c>
    </row>
    <row r="900" spans="3:3">
      <c r="C900" s="409" t="s">
        <v>1140</v>
      </c>
    </row>
    <row r="901" spans="3:3">
      <c r="C901" s="409" t="s">
        <v>1141</v>
      </c>
    </row>
    <row r="903" spans="3:3">
      <c r="C903" s="409" t="s">
        <v>1142</v>
      </c>
    </row>
    <row r="904" spans="3:3">
      <c r="C904" s="409" t="s">
        <v>1143</v>
      </c>
    </row>
    <row r="905" spans="3:3">
      <c r="C905" s="409" t="s">
        <v>1144</v>
      </c>
    </row>
    <row r="906" spans="3:3">
      <c r="C906" s="409" t="s">
        <v>1145</v>
      </c>
    </row>
    <row r="908" spans="3:3">
      <c r="C908" s="409" t="s">
        <v>1146</v>
      </c>
    </row>
    <row r="909" spans="3:3">
      <c r="C909" s="409" t="s">
        <v>1147</v>
      </c>
    </row>
    <row r="911" spans="3:3">
      <c r="C911" s="409" t="s">
        <v>1148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522"/>
  <sheetViews>
    <sheetView topLeftCell="B10" workbookViewId="0">
      <selection activeCell="C48" sqref="C48"/>
    </sheetView>
  </sheetViews>
  <sheetFormatPr defaultRowHeight="12.6"/>
  <cols>
    <col min="1" max="1" width="25.85546875" bestFit="1" customWidth="1"/>
    <col min="3" max="3" width="158.42578125" style="409" customWidth="1"/>
  </cols>
  <sheetData>
    <row r="1" spans="1:3">
      <c r="A1" s="323" t="s">
        <v>528</v>
      </c>
      <c r="C1" s="409" t="s">
        <v>529</v>
      </c>
    </row>
    <row r="2" spans="1:3" ht="12.95" thickBot="1">
      <c r="A2" s="163" t="str">
        <f>_xlfn.CONCAT(Results!H13,".sim")</f>
        <v>Estatico.sim</v>
      </c>
      <c r="C2" s="409" t="s">
        <v>531</v>
      </c>
    </row>
    <row r="3" spans="1:3" ht="12.95" thickBot="1"/>
    <row r="4" spans="1:3">
      <c r="A4" s="410" t="s">
        <v>532</v>
      </c>
      <c r="C4" s="409" t="s">
        <v>533</v>
      </c>
    </row>
    <row r="5" spans="1:3" ht="12.95" thickBot="1">
      <c r="A5" s="163" t="s">
        <v>1149</v>
      </c>
      <c r="C5" s="409" t="s">
        <v>535</v>
      </c>
    </row>
    <row r="6" spans="1:3" ht="12.95" thickBot="1">
      <c r="C6" s="409" t="s">
        <v>536</v>
      </c>
    </row>
    <row r="7" spans="1:3">
      <c r="A7" s="410" t="s">
        <v>537</v>
      </c>
      <c r="C7" s="409" t="s">
        <v>538</v>
      </c>
    </row>
    <row r="8" spans="1:3" ht="12.95" thickBot="1">
      <c r="A8" s="163" t="s">
        <v>1150</v>
      </c>
      <c r="C8" s="409" t="s">
        <v>540</v>
      </c>
    </row>
    <row r="9" spans="1:3" ht="12.95" thickBot="1"/>
    <row r="10" spans="1:3">
      <c r="A10" s="323" t="s">
        <v>1151</v>
      </c>
      <c r="C10" s="409" t="s">
        <v>542</v>
      </c>
    </row>
    <row r="11" spans="1:3" ht="12.95" thickBot="1">
      <c r="A11" s="163" t="str">
        <f>_xlfn.CONCAT(Results!H15,".sim")</f>
        <v>Cont1.sim</v>
      </c>
      <c r="C11" s="409" t="s">
        <v>543</v>
      </c>
    </row>
    <row r="12" spans="1:3" ht="12.95" thickBot="1">
      <c r="C12" s="409" t="s">
        <v>544</v>
      </c>
    </row>
    <row r="13" spans="1:3">
      <c r="A13" s="323" t="s">
        <v>541</v>
      </c>
    </row>
    <row r="14" spans="1:3" ht="12.95" thickBot="1">
      <c r="A14" s="163">
        <f>Results!E3</f>
        <v>28</v>
      </c>
      <c r="C14" s="409" t="s">
        <v>545</v>
      </c>
    </row>
    <row r="15" spans="1:3">
      <c r="C15" s="409" t="str">
        <f>_xlfn.CONCAT("filename_static = '",A2,"'")</f>
        <v>filename_static = 'Estatico.sim'</v>
      </c>
    </row>
    <row r="17" spans="3:3">
      <c r="C17" s="409" t="s">
        <v>1152</v>
      </c>
    </row>
    <row r="18" spans="3:3">
      <c r="C18" s="409" t="str">
        <f>_xlfn.CONCAT("filename_1_cont = r'",A11,"'")</f>
        <v>filename_1_cont = r'Cont1.sim'</v>
      </c>
    </row>
    <row r="20" spans="3:3">
      <c r="C20" s="409" t="s">
        <v>546</v>
      </c>
    </row>
    <row r="21" spans="3:3">
      <c r="C21" s="409" t="str">
        <f>_xlfn.CONCAT("pngname = '",A5,"'")</f>
        <v>pngname = 'cont1.png'</v>
      </c>
    </row>
    <row r="23" spans="3:3">
      <c r="C23" s="409" t="s">
        <v>547</v>
      </c>
    </row>
    <row r="25" spans="3:3">
      <c r="C25" s="409" t="s">
        <v>548</v>
      </c>
    </row>
    <row r="26" spans="3:3">
      <c r="C26" s="409" t="s">
        <v>549</v>
      </c>
    </row>
    <row r="27" spans="3:3">
      <c r="C27" s="409" t="s">
        <v>550</v>
      </c>
    </row>
    <row r="29" spans="3:3">
      <c r="C29" s="409" t="s">
        <v>551</v>
      </c>
    </row>
    <row r="30" spans="3:3">
      <c r="C30" s="409" t="s">
        <v>552</v>
      </c>
    </row>
    <row r="31" spans="3:3">
      <c r="C31" s="409" t="s">
        <v>553</v>
      </c>
    </row>
    <row r="32" spans="3:3">
      <c r="C32" s="409" t="s">
        <v>554</v>
      </c>
    </row>
    <row r="33" spans="3:3">
      <c r="C33" s="409" t="s">
        <v>555</v>
      </c>
    </row>
    <row r="35" spans="3:3">
      <c r="C35" s="409" t="s">
        <v>572</v>
      </c>
    </row>
    <row r="36" spans="3:3">
      <c r="C36" s="409" t="s">
        <v>559</v>
      </c>
    </row>
    <row r="38" spans="3:3">
      <c r="C38" s="409" t="s">
        <v>574</v>
      </c>
    </row>
    <row r="39" spans="3:3">
      <c r="C39" s="409" t="s">
        <v>557</v>
      </c>
    </row>
    <row r="41" spans="3:3">
      <c r="C41" s="409" t="s">
        <v>1153</v>
      </c>
    </row>
    <row r="42" spans="3:3">
      <c r="C42" s="409" t="s">
        <v>563</v>
      </c>
    </row>
    <row r="44" spans="3:3">
      <c r="C44" s="409" t="s">
        <v>1154</v>
      </c>
    </row>
    <row r="45" spans="3:3">
      <c r="C45" s="409" t="s">
        <v>561</v>
      </c>
    </row>
    <row r="47" spans="3:3">
      <c r="C47" s="409" t="s">
        <v>608</v>
      </c>
    </row>
    <row r="48" spans="3:3">
      <c r="C48" s="409" t="str">
        <f>_xlfn.CONCAT("font_size = '",A14,"'")</f>
        <v>font_size = '28'</v>
      </c>
    </row>
    <row r="50" spans="3:3">
      <c r="C50" s="409" t="s">
        <v>542</v>
      </c>
    </row>
    <row r="51" spans="3:3">
      <c r="C51" s="409" t="s">
        <v>609</v>
      </c>
    </row>
    <row r="52" spans="3:3">
      <c r="C52" s="409" t="s">
        <v>544</v>
      </c>
    </row>
    <row r="55" spans="3:3">
      <c r="C55" s="409" t="s">
        <v>1155</v>
      </c>
    </row>
    <row r="56" spans="3:3">
      <c r="C56" s="409" t="s">
        <v>1156</v>
      </c>
    </row>
    <row r="58" spans="3:3">
      <c r="C58" s="409" t="s">
        <v>1157</v>
      </c>
    </row>
    <row r="59" spans="3:3">
      <c r="C59" s="409" t="s">
        <v>1157</v>
      </c>
    </row>
    <row r="60" spans="3:3">
      <c r="C60" s="409" t="s">
        <v>1157</v>
      </c>
    </row>
    <row r="61" spans="3:3">
      <c r="C61" s="409" t="s">
        <v>1157</v>
      </c>
    </row>
    <row r="62" spans="3:3">
      <c r="C62" s="409" t="s">
        <v>1157</v>
      </c>
    </row>
    <row r="64" spans="3:3">
      <c r="C64" s="409" t="s">
        <v>635</v>
      </c>
    </row>
    <row r="65" spans="3:3">
      <c r="C65" s="409" t="s">
        <v>1158</v>
      </c>
    </row>
    <row r="66" spans="3:3">
      <c r="C66" s="409" t="s">
        <v>637</v>
      </c>
    </row>
    <row r="67" spans="3:3">
      <c r="C67" s="409" t="s">
        <v>638</v>
      </c>
    </row>
    <row r="68" spans="3:3">
      <c r="C68" s="409" t="s">
        <v>639</v>
      </c>
    </row>
    <row r="69" spans="3:3">
      <c r="C69" s="409" t="s">
        <v>640</v>
      </c>
    </row>
    <row r="70" spans="3:3">
      <c r="C70" s="409" t="s">
        <v>641</v>
      </c>
    </row>
    <row r="71" spans="3:3">
      <c r="C71" s="409" t="s">
        <v>642</v>
      </c>
    </row>
    <row r="72" spans="3:3">
      <c r="C72" s="409" t="s">
        <v>643</v>
      </c>
    </row>
    <row r="73" spans="3:3">
      <c r="C73" s="409" t="s">
        <v>644</v>
      </c>
    </row>
    <row r="74" spans="3:3">
      <c r="C74" s="409" t="s">
        <v>645</v>
      </c>
    </row>
    <row r="75" spans="3:3">
      <c r="C75" s="409" t="s">
        <v>1159</v>
      </c>
    </row>
    <row r="76" spans="3:3">
      <c r="C76" s="409" t="s">
        <v>647</v>
      </c>
    </row>
    <row r="77" spans="3:3">
      <c r="C77" s="409" t="s">
        <v>648</v>
      </c>
    </row>
    <row r="78" spans="3:3">
      <c r="C78" s="409" t="s">
        <v>649</v>
      </c>
    </row>
    <row r="79" spans="3:3">
      <c r="C79" s="409" t="s">
        <v>640</v>
      </c>
    </row>
    <row r="80" spans="3:3">
      <c r="C80" s="409" t="s">
        <v>650</v>
      </c>
    </row>
    <row r="81" spans="3:3">
      <c r="C81" s="409" t="s">
        <v>1160</v>
      </c>
    </row>
    <row r="83" spans="3:3">
      <c r="C83" s="409" t="s">
        <v>706</v>
      </c>
    </row>
    <row r="84" spans="3:3">
      <c r="C84" s="409" t="s">
        <v>707</v>
      </c>
    </row>
    <row r="85" spans="3:3">
      <c r="C85" s="409" t="s">
        <v>708</v>
      </c>
    </row>
    <row r="86" spans="3:3">
      <c r="C86" s="409" t="s">
        <v>709</v>
      </c>
    </row>
    <row r="89" spans="3:3">
      <c r="C89" s="409" t="s">
        <v>729</v>
      </c>
    </row>
    <row r="90" spans="3:3">
      <c r="C90" s="409" t="s">
        <v>730</v>
      </c>
    </row>
    <row r="91" spans="3:3">
      <c r="C91" s="409" t="s">
        <v>731</v>
      </c>
    </row>
    <row r="92" spans="3:3">
      <c r="C92" s="409" t="s">
        <v>732</v>
      </c>
    </row>
    <row r="93" spans="3:3">
      <c r="C93" s="409" t="s">
        <v>1161</v>
      </c>
    </row>
    <row r="94" spans="3:3">
      <c r="C94" s="409" t="s">
        <v>737</v>
      </c>
    </row>
    <row r="95" spans="3:3">
      <c r="C95" s="409" t="s">
        <v>738</v>
      </c>
    </row>
    <row r="96" spans="3:3">
      <c r="C96" s="409" t="s">
        <v>739</v>
      </c>
    </row>
    <row r="97" spans="3:3">
      <c r="C97" s="409" t="s">
        <v>740</v>
      </c>
    </row>
    <row r="98" spans="3:3">
      <c r="C98" s="409" t="s">
        <v>741</v>
      </c>
    </row>
    <row r="99" spans="3:3">
      <c r="C99" s="409" t="s">
        <v>1162</v>
      </c>
    </row>
    <row r="100" spans="3:3">
      <c r="C100" s="409" t="s">
        <v>629</v>
      </c>
    </row>
    <row r="101" spans="3:3">
      <c r="C101" s="409" t="s">
        <v>743</v>
      </c>
    </row>
    <row r="102" spans="3:3">
      <c r="C102" s="409" t="s">
        <v>1163</v>
      </c>
    </row>
    <row r="103" spans="3:3">
      <c r="C103" s="409" t="s">
        <v>745</v>
      </c>
    </row>
    <row r="104" spans="3:3">
      <c r="C104" s="409" t="s">
        <v>746</v>
      </c>
    </row>
    <row r="105" spans="3:3">
      <c r="C105" s="409" t="s">
        <v>738</v>
      </c>
    </row>
    <row r="106" spans="3:3">
      <c r="C106" s="409" t="s">
        <v>739</v>
      </c>
    </row>
    <row r="107" spans="3:3">
      <c r="C107" s="409" t="s">
        <v>747</v>
      </c>
    </row>
    <row r="108" spans="3:3">
      <c r="C108" s="409" t="s">
        <v>748</v>
      </c>
    </row>
    <row r="109" spans="3:3">
      <c r="C109" s="409" t="s">
        <v>749</v>
      </c>
    </row>
    <row r="110" spans="3:3">
      <c r="C110" s="409" t="s">
        <v>750</v>
      </c>
    </row>
    <row r="111" spans="3:3">
      <c r="C111" s="409" t="s">
        <v>751</v>
      </c>
    </row>
    <row r="112" spans="3:3">
      <c r="C112" s="409" t="s">
        <v>752</v>
      </c>
    </row>
    <row r="113" spans="3:3">
      <c r="C113" s="409" t="s">
        <v>1164</v>
      </c>
    </row>
    <row r="114" spans="3:3">
      <c r="C114" s="409" t="s">
        <v>754</v>
      </c>
    </row>
    <row r="115" spans="3:3">
      <c r="C115" s="409" t="s">
        <v>629</v>
      </c>
    </row>
    <row r="116" spans="3:3">
      <c r="C116" s="409" t="s">
        <v>755</v>
      </c>
    </row>
    <row r="117" spans="3:3">
      <c r="C117" s="409" t="s">
        <v>1165</v>
      </c>
    </row>
    <row r="118" spans="3:3">
      <c r="C118" s="409" t="s">
        <v>757</v>
      </c>
    </row>
    <row r="119" spans="3:3">
      <c r="C119" s="409" t="s">
        <v>738</v>
      </c>
    </row>
    <row r="120" spans="3:3">
      <c r="C120" s="409" t="s">
        <v>739</v>
      </c>
    </row>
    <row r="121" spans="3:3">
      <c r="C121" s="409" t="s">
        <v>747</v>
      </c>
    </row>
    <row r="122" spans="3:3">
      <c r="C122" s="409" t="s">
        <v>1166</v>
      </c>
    </row>
    <row r="123" spans="3:3">
      <c r="C123" s="409" t="s">
        <v>1167</v>
      </c>
    </row>
    <row r="124" spans="3:3">
      <c r="C124" s="409" t="s">
        <v>629</v>
      </c>
    </row>
    <row r="125" spans="3:3">
      <c r="C125" s="409" t="s">
        <v>1168</v>
      </c>
    </row>
    <row r="126" spans="3:3">
      <c r="C126" s="409" t="s">
        <v>761</v>
      </c>
    </row>
    <row r="127" spans="3:3">
      <c r="C127" s="409" t="s">
        <v>738</v>
      </c>
    </row>
    <row r="128" spans="3:3">
      <c r="C128" s="409" t="s">
        <v>739</v>
      </c>
    </row>
    <row r="129" spans="3:3">
      <c r="C129" s="409" t="s">
        <v>747</v>
      </c>
    </row>
    <row r="130" spans="3:3">
      <c r="C130" s="409" t="s">
        <v>749</v>
      </c>
    </row>
    <row r="131" spans="3:3">
      <c r="C131" s="409" t="s">
        <v>750</v>
      </c>
    </row>
    <row r="132" spans="3:3">
      <c r="C132" s="409" t="s">
        <v>751</v>
      </c>
    </row>
    <row r="133" spans="3:3">
      <c r="C133" s="409" t="s">
        <v>752</v>
      </c>
    </row>
    <row r="134" spans="3:3">
      <c r="C134" s="409" t="s">
        <v>1164</v>
      </c>
    </row>
    <row r="135" spans="3:3">
      <c r="C135" s="409" t="s">
        <v>1169</v>
      </c>
    </row>
    <row r="136" spans="3:3">
      <c r="C136" s="409" t="s">
        <v>763</v>
      </c>
    </row>
    <row r="137" spans="3:3">
      <c r="C137" s="409" t="s">
        <v>1170</v>
      </c>
    </row>
    <row r="138" spans="3:3">
      <c r="C138" s="409" t="s">
        <v>1171</v>
      </c>
    </row>
    <row r="139" spans="3:3">
      <c r="C139" s="409" t="s">
        <v>766</v>
      </c>
    </row>
    <row r="140" spans="3:3">
      <c r="C140" s="409" t="s">
        <v>767</v>
      </c>
    </row>
    <row r="141" spans="3:3">
      <c r="C141" s="409" t="s">
        <v>768</v>
      </c>
    </row>
    <row r="142" spans="3:3">
      <c r="C142" s="409" t="s">
        <v>769</v>
      </c>
    </row>
    <row r="143" spans="3:3">
      <c r="C143" s="409" t="s">
        <v>770</v>
      </c>
    </row>
    <row r="144" spans="3:3">
      <c r="C144" s="409" t="s">
        <v>771</v>
      </c>
    </row>
    <row r="145" spans="3:3">
      <c r="C145" s="409" t="s">
        <v>772</v>
      </c>
    </row>
    <row r="146" spans="3:3">
      <c r="C146" s="409" t="s">
        <v>1172</v>
      </c>
    </row>
    <row r="147" spans="3:3">
      <c r="C147" s="409" t="s">
        <v>1173</v>
      </c>
    </row>
    <row r="148" spans="3:3">
      <c r="C148" s="409" t="s">
        <v>775</v>
      </c>
    </row>
    <row r="149" spans="3:3">
      <c r="C149" s="409" t="s">
        <v>1174</v>
      </c>
    </row>
    <row r="151" spans="3:3">
      <c r="C151" s="409" t="s">
        <v>1157</v>
      </c>
    </row>
    <row r="152" spans="3:3">
      <c r="C152" s="409" t="s">
        <v>1157</v>
      </c>
    </row>
    <row r="153" spans="3:3">
      <c r="C153" s="409" t="s">
        <v>1157</v>
      </c>
    </row>
    <row r="154" spans="3:3">
      <c r="C154" s="409" t="s">
        <v>1157</v>
      </c>
    </row>
    <row r="155" spans="3:3">
      <c r="C155" s="409" t="s">
        <v>1157</v>
      </c>
    </row>
    <row r="158" spans="3:3">
      <c r="C158" s="409" t="s">
        <v>633</v>
      </c>
    </row>
    <row r="159" spans="3:3">
      <c r="C159" s="409" t="s">
        <v>1175</v>
      </c>
    </row>
    <row r="161" spans="3:3">
      <c r="C161" s="409" t="s">
        <v>635</v>
      </c>
    </row>
    <row r="162" spans="3:3">
      <c r="C162" s="409" t="s">
        <v>636</v>
      </c>
    </row>
    <row r="163" spans="3:3">
      <c r="C163" s="409" t="s">
        <v>637</v>
      </c>
    </row>
    <row r="164" spans="3:3">
      <c r="C164" s="409" t="s">
        <v>638</v>
      </c>
    </row>
    <row r="165" spans="3:3">
      <c r="C165" s="409" t="s">
        <v>639</v>
      </c>
    </row>
    <row r="166" spans="3:3">
      <c r="C166" s="409" t="s">
        <v>640</v>
      </c>
    </row>
    <row r="167" spans="3:3">
      <c r="C167" s="409" t="s">
        <v>641</v>
      </c>
    </row>
    <row r="168" spans="3:3">
      <c r="C168" s="409" t="s">
        <v>642</v>
      </c>
    </row>
    <row r="169" spans="3:3">
      <c r="C169" s="409" t="s">
        <v>643</v>
      </c>
    </row>
    <row r="170" spans="3:3">
      <c r="C170" s="409" t="s">
        <v>644</v>
      </c>
    </row>
    <row r="171" spans="3:3">
      <c r="C171" s="409" t="s">
        <v>645</v>
      </c>
    </row>
    <row r="172" spans="3:3">
      <c r="C172" s="409" t="s">
        <v>646</v>
      </c>
    </row>
    <row r="174" spans="3:3">
      <c r="C174" s="409" t="s">
        <v>647</v>
      </c>
    </row>
    <row r="175" spans="3:3">
      <c r="C175" s="409" t="s">
        <v>648</v>
      </c>
    </row>
    <row r="176" spans="3:3">
      <c r="C176" s="409" t="s">
        <v>649</v>
      </c>
    </row>
    <row r="177" spans="3:3">
      <c r="C177" s="409" t="s">
        <v>640</v>
      </c>
    </row>
    <row r="178" spans="3:3">
      <c r="C178" s="409" t="s">
        <v>650</v>
      </c>
    </row>
    <row r="179" spans="3:3">
      <c r="C179" s="409" t="s">
        <v>1176</v>
      </c>
    </row>
    <row r="180" spans="3:3">
      <c r="C180" s="409" t="s">
        <v>1177</v>
      </c>
    </row>
    <row r="181" spans="3:3">
      <c r="C181" s="409" t="s">
        <v>1178</v>
      </c>
    </row>
    <row r="182" spans="3:3">
      <c r="C182" s="409" t="s">
        <v>1179</v>
      </c>
    </row>
    <row r="183" spans="3:3">
      <c r="C183" s="409" t="s">
        <v>1180</v>
      </c>
    </row>
    <row r="184" spans="3:3">
      <c r="C184" s="409" t="s">
        <v>1181</v>
      </c>
    </row>
    <row r="185" spans="3:3">
      <c r="C185" s="409" t="s">
        <v>629</v>
      </c>
    </row>
    <row r="186" spans="3:3">
      <c r="C186" s="409" t="s">
        <v>1182</v>
      </c>
    </row>
    <row r="187" spans="3:3">
      <c r="C187" s="409" t="s">
        <v>642</v>
      </c>
    </row>
    <row r="188" spans="3:3">
      <c r="C188" s="409" t="s">
        <v>1183</v>
      </c>
    </row>
    <row r="189" spans="3:3">
      <c r="C189" s="409" t="s">
        <v>1184</v>
      </c>
    </row>
    <row r="190" spans="3:3">
      <c r="C190" s="409" t="s">
        <v>653</v>
      </c>
    </row>
    <row r="191" spans="3:3">
      <c r="C191" s="409" t="s">
        <v>654</v>
      </c>
    </row>
    <row r="192" spans="3:3">
      <c r="C192" s="409" t="s">
        <v>1185</v>
      </c>
    </row>
    <row r="193" spans="3:3">
      <c r="C193" s="409" t="s">
        <v>1186</v>
      </c>
    </row>
    <row r="194" spans="3:3">
      <c r="C194" s="409" t="s">
        <v>1187</v>
      </c>
    </row>
    <row r="195" spans="3:3">
      <c r="C195" s="409" t="s">
        <v>657</v>
      </c>
    </row>
    <row r="196" spans="3:3">
      <c r="C196" s="409" t="s">
        <v>658</v>
      </c>
    </row>
    <row r="197" spans="3:3">
      <c r="C197" s="409" t="s">
        <v>659</v>
      </c>
    </row>
    <row r="198" spans="3:3">
      <c r="C198" s="409" t="s">
        <v>660</v>
      </c>
    </row>
    <row r="199" spans="3:3">
      <c r="C199" s="409" t="s">
        <v>661</v>
      </c>
    </row>
    <row r="200" spans="3:3">
      <c r="C200" s="409" t="s">
        <v>662</v>
      </c>
    </row>
    <row r="201" spans="3:3">
      <c r="C201" s="409" t="s">
        <v>663</v>
      </c>
    </row>
    <row r="202" spans="3:3">
      <c r="C202" s="409" t="s">
        <v>664</v>
      </c>
    </row>
    <row r="203" spans="3:3">
      <c r="C203" s="409" t="s">
        <v>665</v>
      </c>
    </row>
    <row r="204" spans="3:3">
      <c r="C204" s="409" t="s">
        <v>666</v>
      </c>
    </row>
    <row r="205" spans="3:3">
      <c r="C205" s="409" t="s">
        <v>667</v>
      </c>
    </row>
    <row r="206" spans="3:3">
      <c r="C206" s="409" t="s">
        <v>668</v>
      </c>
    </row>
    <row r="207" spans="3:3">
      <c r="C207" s="409" t="s">
        <v>669</v>
      </c>
    </row>
    <row r="208" spans="3:3">
      <c r="C208" s="409" t="s">
        <v>670</v>
      </c>
    </row>
    <row r="209" spans="3:3">
      <c r="C209" s="409" t="s">
        <v>640</v>
      </c>
    </row>
    <row r="210" spans="3:3">
      <c r="C210" s="409" t="s">
        <v>671</v>
      </c>
    </row>
    <row r="211" spans="3:3">
      <c r="C211" s="409" t="s">
        <v>672</v>
      </c>
    </row>
    <row r="212" spans="3:3">
      <c r="C212" s="409" t="s">
        <v>673</v>
      </c>
    </row>
    <row r="213" spans="3:3">
      <c r="C213" s="409" t="s">
        <v>674</v>
      </c>
    </row>
    <row r="214" spans="3:3">
      <c r="C214" s="409" t="s">
        <v>675</v>
      </c>
    </row>
    <row r="215" spans="3:3">
      <c r="C215" s="409" t="s">
        <v>676</v>
      </c>
    </row>
    <row r="216" spans="3:3">
      <c r="C216" s="409" t="s">
        <v>677</v>
      </c>
    </row>
    <row r="217" spans="3:3">
      <c r="C217" s="409" t="s">
        <v>678</v>
      </c>
    </row>
    <row r="218" spans="3:3">
      <c r="C218" s="409" t="s">
        <v>640</v>
      </c>
    </row>
    <row r="219" spans="3:3">
      <c r="C219" s="409" t="s">
        <v>679</v>
      </c>
    </row>
    <row r="220" spans="3:3">
      <c r="C220" s="409" t="s">
        <v>680</v>
      </c>
    </row>
    <row r="221" spans="3:3">
      <c r="C221" s="409" t="s">
        <v>681</v>
      </c>
    </row>
    <row r="222" spans="3:3">
      <c r="C222" s="409" t="s">
        <v>682</v>
      </c>
    </row>
    <row r="223" spans="3:3">
      <c r="C223" s="409" t="s">
        <v>683</v>
      </c>
    </row>
    <row r="224" spans="3:3">
      <c r="C224" s="409" t="s">
        <v>684</v>
      </c>
    </row>
    <row r="225" spans="3:3">
      <c r="C225" s="409" t="s">
        <v>685</v>
      </c>
    </row>
    <row r="226" spans="3:3">
      <c r="C226" s="409" t="s">
        <v>686</v>
      </c>
    </row>
    <row r="227" spans="3:3">
      <c r="C227" s="409" t="s">
        <v>687</v>
      </c>
    </row>
    <row r="228" spans="3:3">
      <c r="C228" s="409" t="s">
        <v>688</v>
      </c>
    </row>
    <row r="229" spans="3:3">
      <c r="C229" s="409" t="s">
        <v>689</v>
      </c>
    </row>
    <row r="230" spans="3:3">
      <c r="C230" s="409" t="s">
        <v>690</v>
      </c>
    </row>
    <row r="231" spans="3:3">
      <c r="C231" s="409" t="s">
        <v>691</v>
      </c>
    </row>
    <row r="232" spans="3:3">
      <c r="C232" s="409" t="s">
        <v>692</v>
      </c>
    </row>
    <row r="233" spans="3:3">
      <c r="C233" s="409" t="s">
        <v>693</v>
      </c>
    </row>
    <row r="234" spans="3:3">
      <c r="C234" s="409" t="s">
        <v>694</v>
      </c>
    </row>
    <row r="235" spans="3:3">
      <c r="C235" s="409" t="s">
        <v>695</v>
      </c>
    </row>
    <row r="236" spans="3:3">
      <c r="C236" s="409" t="s">
        <v>696</v>
      </c>
    </row>
    <row r="237" spans="3:3">
      <c r="C237" s="409" t="s">
        <v>697</v>
      </c>
    </row>
    <row r="238" spans="3:3">
      <c r="C238" s="409" t="s">
        <v>698</v>
      </c>
    </row>
    <row r="239" spans="3:3">
      <c r="C239" s="409" t="s">
        <v>699</v>
      </c>
    </row>
    <row r="240" spans="3:3">
      <c r="C240" s="409" t="s">
        <v>700</v>
      </c>
    </row>
    <row r="241" spans="3:3">
      <c r="C241" s="409" t="s">
        <v>701</v>
      </c>
    </row>
    <row r="242" spans="3:3">
      <c r="C242" s="409" t="s">
        <v>702</v>
      </c>
    </row>
    <row r="244" spans="3:3">
      <c r="C244" s="409" t="s">
        <v>703</v>
      </c>
    </row>
    <row r="245" spans="3:3">
      <c r="C245" s="409" t="s">
        <v>704</v>
      </c>
    </row>
    <row r="246" spans="3:3">
      <c r="C246" s="409" t="s">
        <v>705</v>
      </c>
    </row>
    <row r="247" spans="3:3">
      <c r="C247" s="409" t="s">
        <v>706</v>
      </c>
    </row>
    <row r="248" spans="3:3">
      <c r="C248" s="409" t="s">
        <v>707</v>
      </c>
    </row>
    <row r="249" spans="3:3">
      <c r="C249" s="409" t="s">
        <v>708</v>
      </c>
    </row>
    <row r="250" spans="3:3">
      <c r="C250" s="409" t="s">
        <v>709</v>
      </c>
    </row>
    <row r="251" spans="3:3">
      <c r="C251" s="409" t="s">
        <v>710</v>
      </c>
    </row>
    <row r="252" spans="3:3">
      <c r="C252" s="409" t="s">
        <v>711</v>
      </c>
    </row>
    <row r="253" spans="3:3">
      <c r="C253" s="409" t="s">
        <v>712</v>
      </c>
    </row>
    <row r="254" spans="3:3">
      <c r="C254" s="409" t="s">
        <v>713</v>
      </c>
    </row>
    <row r="255" spans="3:3">
      <c r="C255" s="409" t="s">
        <v>674</v>
      </c>
    </row>
    <row r="256" spans="3:3">
      <c r="C256" s="409" t="s">
        <v>675</v>
      </c>
    </row>
    <row r="257" spans="3:3">
      <c r="C257" s="409" t="s">
        <v>714</v>
      </c>
    </row>
    <row r="258" spans="3:3">
      <c r="C258" s="409" t="s">
        <v>715</v>
      </c>
    </row>
    <row r="259" spans="3:3">
      <c r="C259" s="409" t="s">
        <v>716</v>
      </c>
    </row>
    <row r="260" spans="3:3">
      <c r="C260" s="409" t="s">
        <v>722</v>
      </c>
    </row>
    <row r="261" spans="3:3">
      <c r="C261" s="409" t="s">
        <v>723</v>
      </c>
    </row>
    <row r="262" spans="3:3">
      <c r="C262" s="409" t="s">
        <v>724</v>
      </c>
    </row>
    <row r="263" spans="3:3">
      <c r="C263" s="409" t="s">
        <v>725</v>
      </c>
    </row>
    <row r="264" spans="3:3">
      <c r="C264" s="409" t="s">
        <v>726</v>
      </c>
    </row>
    <row r="265" spans="3:3">
      <c r="C265" s="409" t="s">
        <v>727</v>
      </c>
    </row>
    <row r="266" spans="3:3">
      <c r="C266" s="409" t="s">
        <v>728</v>
      </c>
    </row>
    <row r="267" spans="3:3">
      <c r="C267" s="409" t="s">
        <v>729</v>
      </c>
    </row>
    <row r="268" spans="3:3">
      <c r="C268" s="409" t="s">
        <v>730</v>
      </c>
    </row>
    <row r="269" spans="3:3">
      <c r="C269" s="409" t="s">
        <v>731</v>
      </c>
    </row>
    <row r="270" spans="3:3">
      <c r="C270" s="409" t="s">
        <v>732</v>
      </c>
    </row>
    <row r="271" spans="3:3">
      <c r="C271" s="409" t="s">
        <v>733</v>
      </c>
    </row>
    <row r="272" spans="3:3">
      <c r="C272" s="409" t="s">
        <v>734</v>
      </c>
    </row>
    <row r="273" spans="3:3">
      <c r="C273" s="409" t="s">
        <v>735</v>
      </c>
    </row>
    <row r="274" spans="3:3">
      <c r="C274" s="409" t="s">
        <v>736</v>
      </c>
    </row>
    <row r="275" spans="3:3">
      <c r="C275" s="409" t="s">
        <v>737</v>
      </c>
    </row>
    <row r="276" spans="3:3">
      <c r="C276" s="409" t="s">
        <v>738</v>
      </c>
    </row>
    <row r="277" spans="3:3">
      <c r="C277" s="409" t="s">
        <v>739</v>
      </c>
    </row>
    <row r="278" spans="3:3">
      <c r="C278" s="409" t="s">
        <v>740</v>
      </c>
    </row>
    <row r="279" spans="3:3">
      <c r="C279" s="409" t="s">
        <v>741</v>
      </c>
    </row>
    <row r="280" spans="3:3">
      <c r="C280" s="409" t="s">
        <v>742</v>
      </c>
    </row>
    <row r="281" spans="3:3">
      <c r="C281" s="409" t="s">
        <v>629</v>
      </c>
    </row>
    <row r="282" spans="3:3">
      <c r="C282" s="409" t="s">
        <v>743</v>
      </c>
    </row>
    <row r="283" spans="3:3">
      <c r="C283" s="409" t="s">
        <v>744</v>
      </c>
    </row>
    <row r="284" spans="3:3">
      <c r="C284" s="409" t="s">
        <v>745</v>
      </c>
    </row>
    <row r="285" spans="3:3">
      <c r="C285" s="409" t="s">
        <v>746</v>
      </c>
    </row>
    <row r="286" spans="3:3">
      <c r="C286" s="409" t="s">
        <v>738</v>
      </c>
    </row>
    <row r="287" spans="3:3">
      <c r="C287" s="409" t="s">
        <v>739</v>
      </c>
    </row>
    <row r="288" spans="3:3">
      <c r="C288" s="409" t="s">
        <v>747</v>
      </c>
    </row>
    <row r="289" spans="3:3">
      <c r="C289" s="409" t="s">
        <v>748</v>
      </c>
    </row>
    <row r="290" spans="3:3">
      <c r="C290" s="409" t="s">
        <v>749</v>
      </c>
    </row>
    <row r="291" spans="3:3">
      <c r="C291" s="409" t="s">
        <v>750</v>
      </c>
    </row>
    <row r="292" spans="3:3">
      <c r="C292" s="409" t="s">
        <v>751</v>
      </c>
    </row>
    <row r="293" spans="3:3">
      <c r="C293" s="409" t="s">
        <v>752</v>
      </c>
    </row>
    <row r="294" spans="3:3">
      <c r="C294" s="409" t="s">
        <v>753</v>
      </c>
    </row>
    <row r="295" spans="3:3">
      <c r="C295" s="409" t="s">
        <v>754</v>
      </c>
    </row>
    <row r="296" spans="3:3">
      <c r="C296" s="409" t="s">
        <v>629</v>
      </c>
    </row>
    <row r="297" spans="3:3">
      <c r="C297" s="409" t="s">
        <v>755</v>
      </c>
    </row>
    <row r="298" spans="3:3">
      <c r="C298" s="409" t="s">
        <v>756</v>
      </c>
    </row>
    <row r="299" spans="3:3">
      <c r="C299" s="409" t="s">
        <v>757</v>
      </c>
    </row>
    <row r="300" spans="3:3">
      <c r="C300" s="409" t="s">
        <v>738</v>
      </c>
    </row>
    <row r="301" spans="3:3">
      <c r="C301" s="409" t="s">
        <v>739</v>
      </c>
    </row>
    <row r="302" spans="3:3">
      <c r="C302" s="409" t="s">
        <v>747</v>
      </c>
    </row>
    <row r="303" spans="3:3">
      <c r="C303" s="409" t="s">
        <v>758</v>
      </c>
    </row>
    <row r="304" spans="3:3">
      <c r="C304" s="409" t="s">
        <v>759</v>
      </c>
    </row>
    <row r="305" spans="3:3">
      <c r="C305" s="409" t="s">
        <v>629</v>
      </c>
    </row>
    <row r="306" spans="3:3">
      <c r="C306" s="409" t="s">
        <v>760</v>
      </c>
    </row>
    <row r="307" spans="3:3">
      <c r="C307" s="409" t="s">
        <v>761</v>
      </c>
    </row>
    <row r="308" spans="3:3">
      <c r="C308" s="409" t="s">
        <v>738</v>
      </c>
    </row>
    <row r="309" spans="3:3">
      <c r="C309" s="409" t="s">
        <v>739</v>
      </c>
    </row>
    <row r="310" spans="3:3">
      <c r="C310" s="409" t="s">
        <v>747</v>
      </c>
    </row>
    <row r="311" spans="3:3">
      <c r="C311" s="409" t="s">
        <v>749</v>
      </c>
    </row>
    <row r="312" spans="3:3">
      <c r="C312" s="409" t="s">
        <v>750</v>
      </c>
    </row>
    <row r="313" spans="3:3">
      <c r="C313" s="409" t="s">
        <v>751</v>
      </c>
    </row>
    <row r="314" spans="3:3">
      <c r="C314" s="409" t="s">
        <v>752</v>
      </c>
    </row>
    <row r="315" spans="3:3">
      <c r="C315" s="409" t="s">
        <v>753</v>
      </c>
    </row>
    <row r="316" spans="3:3">
      <c r="C316" s="409" t="s">
        <v>762</v>
      </c>
    </row>
    <row r="317" spans="3:3">
      <c r="C317" s="409" t="s">
        <v>763</v>
      </c>
    </row>
    <row r="318" spans="3:3">
      <c r="C318" s="409" t="s">
        <v>764</v>
      </c>
    </row>
    <row r="319" spans="3:3">
      <c r="C319" s="409" t="s">
        <v>765</v>
      </c>
    </row>
    <row r="320" spans="3:3">
      <c r="C320" s="409" t="s">
        <v>766</v>
      </c>
    </row>
    <row r="321" spans="3:3">
      <c r="C321" s="409" t="s">
        <v>767</v>
      </c>
    </row>
    <row r="322" spans="3:3">
      <c r="C322" s="409" t="s">
        <v>768</v>
      </c>
    </row>
    <row r="323" spans="3:3">
      <c r="C323" s="409" t="s">
        <v>769</v>
      </c>
    </row>
    <row r="324" spans="3:3">
      <c r="C324" s="409" t="s">
        <v>770</v>
      </c>
    </row>
    <row r="325" spans="3:3">
      <c r="C325" s="409" t="s">
        <v>771</v>
      </c>
    </row>
    <row r="326" spans="3:3">
      <c r="C326" s="409" t="s">
        <v>772</v>
      </c>
    </row>
    <row r="327" spans="3:3">
      <c r="C327" s="409" t="s">
        <v>773</v>
      </c>
    </row>
    <row r="328" spans="3:3">
      <c r="C328" s="409" t="s">
        <v>774</v>
      </c>
    </row>
    <row r="329" spans="3:3">
      <c r="C329" s="409" t="s">
        <v>775</v>
      </c>
    </row>
    <row r="330" spans="3:3">
      <c r="C330" s="409" t="s">
        <v>776</v>
      </c>
    </row>
    <row r="331" spans="3:3">
      <c r="C331" s="409" t="s">
        <v>777</v>
      </c>
    </row>
    <row r="332" spans="3:3">
      <c r="C332" s="409" t="s">
        <v>778</v>
      </c>
    </row>
    <row r="333" spans="3:3">
      <c r="C333" s="409" t="s">
        <v>770</v>
      </c>
    </row>
    <row r="334" spans="3:3">
      <c r="C334" s="409" t="s">
        <v>779</v>
      </c>
    </row>
    <row r="335" spans="3:3">
      <c r="C335" s="409" t="s">
        <v>780</v>
      </c>
    </row>
    <row r="336" spans="3:3">
      <c r="C336" s="409" t="s">
        <v>781</v>
      </c>
    </row>
    <row r="337" spans="3:3">
      <c r="C337" s="409" t="s">
        <v>782</v>
      </c>
    </row>
    <row r="338" spans="3:3">
      <c r="C338" s="409" t="s">
        <v>629</v>
      </c>
    </row>
    <row r="339" spans="3:3">
      <c r="C339" s="409" t="s">
        <v>783</v>
      </c>
    </row>
    <row r="340" spans="3:3">
      <c r="C340" s="409" t="s">
        <v>784</v>
      </c>
    </row>
    <row r="341" spans="3:3">
      <c r="C341" s="409" t="s">
        <v>785</v>
      </c>
    </row>
    <row r="342" spans="3:3">
      <c r="C342" s="409" t="s">
        <v>770</v>
      </c>
    </row>
    <row r="343" spans="3:3">
      <c r="C343" s="409" t="s">
        <v>786</v>
      </c>
    </row>
    <row r="344" spans="3:3">
      <c r="C344" s="409" t="s">
        <v>787</v>
      </c>
    </row>
    <row r="345" spans="3:3">
      <c r="C345" s="409" t="s">
        <v>788</v>
      </c>
    </row>
    <row r="346" spans="3:3">
      <c r="C346" s="409" t="s">
        <v>789</v>
      </c>
    </row>
    <row r="347" spans="3:3">
      <c r="C347" s="409" t="s">
        <v>790</v>
      </c>
    </row>
    <row r="348" spans="3:3">
      <c r="C348" s="409" t="s">
        <v>791</v>
      </c>
    </row>
    <row r="349" spans="3:3">
      <c r="C349" s="409" t="s">
        <v>792</v>
      </c>
    </row>
    <row r="350" spans="3:3">
      <c r="C350" s="409" t="s">
        <v>793</v>
      </c>
    </row>
    <row r="351" spans="3:3">
      <c r="C351" s="409" t="s">
        <v>794</v>
      </c>
    </row>
    <row r="353" spans="3:3">
      <c r="C353" s="409" t="s">
        <v>1188</v>
      </c>
    </row>
    <row r="354" spans="3:3">
      <c r="C354" s="409" t="s">
        <v>1189</v>
      </c>
    </row>
    <row r="355" spans="3:3">
      <c r="C355" s="409" t="s">
        <v>1190</v>
      </c>
    </row>
    <row r="356" spans="3:3">
      <c r="C356" s="409" t="s">
        <v>1191</v>
      </c>
    </row>
    <row r="357" spans="3:3">
      <c r="C357" s="409" t="s">
        <v>1192</v>
      </c>
    </row>
    <row r="358" spans="3:3">
      <c r="C358" s="409" t="s">
        <v>1193</v>
      </c>
    </row>
    <row r="359" spans="3:3">
      <c r="C359" s="409" t="s">
        <v>1194</v>
      </c>
    </row>
    <row r="360" spans="3:3">
      <c r="C360" s="409" t="s">
        <v>1195</v>
      </c>
    </row>
    <row r="361" spans="3:3">
      <c r="C361" s="409" t="s">
        <v>1196</v>
      </c>
    </row>
    <row r="362" spans="3:3">
      <c r="C362" s="409" t="s">
        <v>1197</v>
      </c>
    </row>
    <row r="363" spans="3:3">
      <c r="C363" s="409" t="s">
        <v>1198</v>
      </c>
    </row>
    <row r="364" spans="3:3">
      <c r="C364" s="409" t="s">
        <v>1199</v>
      </c>
    </row>
    <row r="365" spans="3:3">
      <c r="C365" s="409" t="s">
        <v>808</v>
      </c>
    </row>
    <row r="366" spans="3:3">
      <c r="C366" s="409" t="s">
        <v>892</v>
      </c>
    </row>
    <row r="367" spans="3:3">
      <c r="C367" s="409" t="s">
        <v>892</v>
      </c>
    </row>
    <row r="369" spans="3:3">
      <c r="C369" s="409" t="s">
        <v>1200</v>
      </c>
    </row>
    <row r="370" spans="3:3">
      <c r="C370" s="409" t="s">
        <v>893</v>
      </c>
    </row>
    <row r="373" spans="3:3">
      <c r="C373" s="409" t="s">
        <v>896</v>
      </c>
    </row>
    <row r="374" spans="3:3">
      <c r="C374" s="409" t="s">
        <v>897</v>
      </c>
    </row>
    <row r="375" spans="3:3">
      <c r="C375" s="409" t="s">
        <v>898</v>
      </c>
    </row>
    <row r="376" spans="3:3">
      <c r="C376" s="409" t="s">
        <v>899</v>
      </c>
    </row>
    <row r="377" spans="3:3">
      <c r="C377" s="409" t="s">
        <v>900</v>
      </c>
    </row>
    <row r="378" spans="3:3">
      <c r="C378" s="409" t="s">
        <v>901</v>
      </c>
    </row>
    <row r="379" spans="3:3">
      <c r="C379" s="409" t="s">
        <v>902</v>
      </c>
    </row>
    <row r="380" spans="3:3">
      <c r="C380" s="409" t="s">
        <v>903</v>
      </c>
    </row>
    <row r="381" spans="3:3">
      <c r="C381" s="409" t="s">
        <v>904</v>
      </c>
    </row>
    <row r="382" spans="3:3">
      <c r="C382" s="409" t="s">
        <v>905</v>
      </c>
    </row>
    <row r="383" spans="3:3">
      <c r="C383" s="409" t="s">
        <v>906</v>
      </c>
    </row>
    <row r="384" spans="3:3">
      <c r="C384" s="409" t="s">
        <v>907</v>
      </c>
    </row>
    <row r="386" spans="3:3">
      <c r="C386" s="409" t="s">
        <v>908</v>
      </c>
    </row>
    <row r="388" spans="3:3">
      <c r="C388" s="409" t="s">
        <v>909</v>
      </c>
    </row>
    <row r="389" spans="3:3">
      <c r="C389" s="409" t="s">
        <v>910</v>
      </c>
    </row>
    <row r="391" spans="3:3">
      <c r="C391" s="409" t="s">
        <v>911</v>
      </c>
    </row>
    <row r="392" spans="3:3">
      <c r="C392" s="409" t="s">
        <v>912</v>
      </c>
    </row>
    <row r="394" spans="3:3">
      <c r="C394" s="409" t="s">
        <v>913</v>
      </c>
    </row>
    <row r="395" spans="3:3">
      <c r="C395" s="409" t="s">
        <v>914</v>
      </c>
    </row>
    <row r="396" spans="3:3">
      <c r="C396" s="409" t="s">
        <v>915</v>
      </c>
    </row>
    <row r="397" spans="3:3">
      <c r="C397" s="409" t="s">
        <v>916</v>
      </c>
    </row>
    <row r="398" spans="3:3">
      <c r="C398" s="409" t="s">
        <v>917</v>
      </c>
    </row>
    <row r="399" spans="3:3">
      <c r="C399" s="409" t="s">
        <v>918</v>
      </c>
    </row>
    <row r="401" spans="3:3">
      <c r="C401" s="409" t="s">
        <v>919</v>
      </c>
    </row>
    <row r="402" spans="3:3">
      <c r="C402" s="409" t="s">
        <v>920</v>
      </c>
    </row>
    <row r="403" spans="3:3">
      <c r="C403" s="409" t="s">
        <v>921</v>
      </c>
    </row>
    <row r="404" spans="3:3">
      <c r="C404" s="409" t="s">
        <v>922</v>
      </c>
    </row>
    <row r="405" spans="3:3">
      <c r="C405" s="409" t="s">
        <v>923</v>
      </c>
    </row>
    <row r="407" spans="3:3">
      <c r="C407" s="409" t="s">
        <v>924</v>
      </c>
    </row>
    <row r="408" spans="3:3">
      <c r="C408" s="409" t="s">
        <v>925</v>
      </c>
    </row>
    <row r="409" spans="3:3">
      <c r="C409" s="409" t="s">
        <v>926</v>
      </c>
    </row>
    <row r="410" spans="3:3">
      <c r="C410" s="409" t="s">
        <v>927</v>
      </c>
    </row>
    <row r="411" spans="3:3">
      <c r="C411" s="409" t="s">
        <v>928</v>
      </c>
    </row>
    <row r="413" spans="3:3">
      <c r="C413" s="409" t="s">
        <v>929</v>
      </c>
    </row>
    <row r="414" spans="3:3">
      <c r="C414" s="409" t="s">
        <v>930</v>
      </c>
    </row>
    <row r="415" spans="3:3">
      <c r="C415" s="409" t="s">
        <v>674</v>
      </c>
    </row>
    <row r="416" spans="3:3">
      <c r="C416" s="409" t="s">
        <v>675</v>
      </c>
    </row>
    <row r="417" spans="3:3">
      <c r="C417" s="409" t="s">
        <v>931</v>
      </c>
    </row>
    <row r="418" spans="3:3">
      <c r="C418" s="409" t="s">
        <v>932</v>
      </c>
    </row>
    <row r="419" spans="3:3">
      <c r="C419" s="409" t="s">
        <v>933</v>
      </c>
    </row>
    <row r="421" spans="3:3">
      <c r="C421" s="409" t="s">
        <v>934</v>
      </c>
    </row>
    <row r="422" spans="3:3">
      <c r="C422" s="409" t="s">
        <v>675</v>
      </c>
    </row>
    <row r="424" spans="3:3">
      <c r="C424" s="409" t="s">
        <v>935</v>
      </c>
    </row>
    <row r="425" spans="3:3">
      <c r="C425" s="409" t="s">
        <v>936</v>
      </c>
    </row>
    <row r="426" spans="3:3">
      <c r="C426" s="409" t="s">
        <v>937</v>
      </c>
    </row>
    <row r="428" spans="3:3">
      <c r="C428" s="409" t="s">
        <v>938</v>
      </c>
    </row>
    <row r="429" spans="3:3">
      <c r="C429" s="409" t="s">
        <v>939</v>
      </c>
    </row>
    <row r="430" spans="3:3">
      <c r="C430" s="409" t="s">
        <v>940</v>
      </c>
    </row>
    <row r="431" spans="3:3">
      <c r="C431" s="409" t="s">
        <v>941</v>
      </c>
    </row>
    <row r="432" spans="3:3">
      <c r="C432" s="409" t="s">
        <v>942</v>
      </c>
    </row>
    <row r="434" spans="3:3">
      <c r="C434" s="409" t="s">
        <v>1046</v>
      </c>
    </row>
    <row r="435" spans="3:3">
      <c r="C435" s="409" t="s">
        <v>866</v>
      </c>
    </row>
    <row r="436" spans="3:3">
      <c r="C436" s="409" t="s">
        <v>808</v>
      </c>
    </row>
    <row r="437" spans="3:3">
      <c r="C437" s="409" t="s">
        <v>944</v>
      </c>
    </row>
    <row r="438" spans="3:3">
      <c r="C438" s="409" t="s">
        <v>1201</v>
      </c>
    </row>
    <row r="439" spans="3:3">
      <c r="C439" s="409" t="s">
        <v>1202</v>
      </c>
    </row>
    <row r="440" spans="3:3">
      <c r="C440" s="409" t="s">
        <v>947</v>
      </c>
    </row>
    <row r="441" spans="3:3">
      <c r="C441" s="409" t="s">
        <v>948</v>
      </c>
    </row>
    <row r="442" spans="3:3">
      <c r="C442" s="409" t="s">
        <v>949</v>
      </c>
    </row>
    <row r="444" spans="3:3">
      <c r="C444" s="409" t="s">
        <v>1203</v>
      </c>
    </row>
    <row r="445" spans="3:3">
      <c r="C445" s="409" t="s">
        <v>1204</v>
      </c>
    </row>
    <row r="447" spans="3:3">
      <c r="C447" s="409" t="s">
        <v>952</v>
      </c>
    </row>
    <row r="448" spans="3:3">
      <c r="C448" s="409" t="s">
        <v>1205</v>
      </c>
    </row>
    <row r="449" spans="3:3">
      <c r="C449" s="409" t="s">
        <v>1052</v>
      </c>
    </row>
    <row r="450" spans="3:3">
      <c r="C450" s="409" t="s">
        <v>808</v>
      </c>
    </row>
    <row r="451" spans="3:3">
      <c r="C451" s="409" t="s">
        <v>1206</v>
      </c>
    </row>
    <row r="452" spans="3:3">
      <c r="C452" s="409" t="s">
        <v>944</v>
      </c>
    </row>
    <row r="453" spans="3:3">
      <c r="C453" s="409" t="s">
        <v>1207</v>
      </c>
    </row>
    <row r="454" spans="3:3">
      <c r="C454" s="409" t="s">
        <v>1208</v>
      </c>
    </row>
    <row r="455" spans="3:3">
      <c r="C455" s="409" t="s">
        <v>947</v>
      </c>
    </row>
    <row r="456" spans="3:3">
      <c r="C456" s="409" t="s">
        <v>948</v>
      </c>
    </row>
    <row r="457" spans="3:3">
      <c r="C457" s="409" t="s">
        <v>949</v>
      </c>
    </row>
    <row r="459" spans="3:3">
      <c r="C459" s="409" t="s">
        <v>1209</v>
      </c>
    </row>
    <row r="460" spans="3:3">
      <c r="C460" s="409" t="s">
        <v>1210</v>
      </c>
    </row>
    <row r="462" spans="3:3">
      <c r="C462" s="409" t="s">
        <v>952</v>
      </c>
    </row>
    <row r="463" spans="3:3">
      <c r="C463" s="409" t="s">
        <v>1211</v>
      </c>
    </row>
    <row r="464" spans="3:3">
      <c r="C464" s="409" t="s">
        <v>1052</v>
      </c>
    </row>
    <row r="466" spans="3:3">
      <c r="C466" s="409" t="s">
        <v>962</v>
      </c>
    </row>
    <row r="467" spans="3:3">
      <c r="C467" s="409" t="s">
        <v>963</v>
      </c>
    </row>
    <row r="468" spans="3:3">
      <c r="C468" s="409" t="s">
        <v>964</v>
      </c>
    </row>
    <row r="469" spans="3:3">
      <c r="C469" s="409" t="s">
        <v>966</v>
      </c>
    </row>
    <row r="470" spans="3:3">
      <c r="C470" s="409" t="s">
        <v>967</v>
      </c>
    </row>
    <row r="471" spans="3:3">
      <c r="C471" s="409" t="s">
        <v>968</v>
      </c>
    </row>
    <row r="472" spans="3:3">
      <c r="C472" s="409" t="s">
        <v>969</v>
      </c>
    </row>
    <row r="473" spans="3:3">
      <c r="C473" s="409" t="s">
        <v>970</v>
      </c>
    </row>
    <row r="474" spans="3:3">
      <c r="C474" s="409" t="s">
        <v>971</v>
      </c>
    </row>
    <row r="475" spans="3:3">
      <c r="C475" s="409" t="s">
        <v>1212</v>
      </c>
    </row>
    <row r="476" spans="3:3">
      <c r="C476" s="409" t="s">
        <v>1116</v>
      </c>
    </row>
    <row r="477" spans="3:3">
      <c r="C477" s="412" t="s">
        <v>1213</v>
      </c>
    </row>
    <row r="478" spans="3:3">
      <c r="C478" s="409" t="s">
        <v>1214</v>
      </c>
    </row>
    <row r="479" spans="3:3">
      <c r="C479" s="409" t="s">
        <v>1215</v>
      </c>
    </row>
    <row r="480" spans="3:3">
      <c r="C480" s="409" t="s">
        <v>1216</v>
      </c>
    </row>
    <row r="481" spans="3:3">
      <c r="C481" s="409" t="s">
        <v>1217</v>
      </c>
    </row>
    <row r="482" spans="3:3">
      <c r="C482" s="409" t="s">
        <v>1218</v>
      </c>
    </row>
    <row r="483" spans="3:3">
      <c r="C483" s="409" t="s">
        <v>978</v>
      </c>
    </row>
    <row r="484" spans="3:3">
      <c r="C484" s="409" t="s">
        <v>979</v>
      </c>
    </row>
    <row r="485" spans="3:3">
      <c r="C485" s="409" t="s">
        <v>980</v>
      </c>
    </row>
    <row r="486" spans="3:3">
      <c r="C486" s="409" t="s">
        <v>981</v>
      </c>
    </row>
    <row r="487" spans="3:3">
      <c r="C487" s="409" t="s">
        <v>982</v>
      </c>
    </row>
    <row r="488" spans="3:3">
      <c r="C488" s="409" t="s">
        <v>983</v>
      </c>
    </row>
    <row r="489" spans="3:3">
      <c r="C489" s="409" t="s">
        <v>984</v>
      </c>
    </row>
    <row r="490" spans="3:3">
      <c r="C490" s="409" t="s">
        <v>985</v>
      </c>
    </row>
    <row r="491" spans="3:3">
      <c r="C491" s="409" t="s">
        <v>986</v>
      </c>
    </row>
    <row r="492" spans="3:3">
      <c r="C492" s="409" t="s">
        <v>987</v>
      </c>
    </row>
    <row r="493" spans="3:3">
      <c r="C493" s="409" t="s">
        <v>988</v>
      </c>
    </row>
    <row r="494" spans="3:3">
      <c r="C494" s="409" t="s">
        <v>1219</v>
      </c>
    </row>
    <row r="495" spans="3:3">
      <c r="C495" s="409" t="s">
        <v>857</v>
      </c>
    </row>
    <row r="496" spans="3:3">
      <c r="C496" s="409" t="s">
        <v>990</v>
      </c>
    </row>
    <row r="497" spans="3:3">
      <c r="C497" s="409" t="s">
        <v>991</v>
      </c>
    </row>
    <row r="498" spans="3:3">
      <c r="C498" s="409" t="s">
        <v>1220</v>
      </c>
    </row>
    <row r="499" spans="3:3">
      <c r="C499" s="409" t="s">
        <v>993</v>
      </c>
    </row>
    <row r="500" spans="3:3">
      <c r="C500" s="409" t="s">
        <v>994</v>
      </c>
    </row>
    <row r="501" spans="3:3">
      <c r="C501" s="409" t="s">
        <v>995</v>
      </c>
    </row>
    <row r="502" spans="3:3">
      <c r="C502" s="409" t="s">
        <v>996</v>
      </c>
    </row>
    <row r="503" spans="3:3">
      <c r="C503" s="409" t="s">
        <v>808</v>
      </c>
    </row>
    <row r="504" spans="3:3">
      <c r="C504" s="409" t="s">
        <v>808</v>
      </c>
    </row>
    <row r="505" spans="3:3">
      <c r="C505" s="409" t="s">
        <v>808</v>
      </c>
    </row>
    <row r="506" spans="3:3">
      <c r="C506" s="409" t="s">
        <v>1137</v>
      </c>
    </row>
    <row r="507" spans="3:3">
      <c r="C507" s="409" t="s">
        <v>1138</v>
      </c>
    </row>
    <row r="508" spans="3:3">
      <c r="C508" s="409" t="s">
        <v>1221</v>
      </c>
    </row>
    <row r="510" spans="3:3">
      <c r="C510" s="409" t="s">
        <v>1139</v>
      </c>
    </row>
    <row r="511" spans="3:3">
      <c r="C511" s="409" t="s">
        <v>1140</v>
      </c>
    </row>
    <row r="512" spans="3:3">
      <c r="C512" s="409" t="s">
        <v>1141</v>
      </c>
    </row>
    <row r="514" spans="3:3">
      <c r="C514" s="409" t="s">
        <v>1142</v>
      </c>
    </row>
    <row r="515" spans="3:3">
      <c r="C515" s="409" t="s">
        <v>1143</v>
      </c>
    </row>
    <row r="516" spans="3:3">
      <c r="C516" s="409" t="s">
        <v>1144</v>
      </c>
    </row>
    <row r="517" spans="3:3">
      <c r="C517" s="412" t="s">
        <v>1145</v>
      </c>
    </row>
    <row r="519" spans="3:3">
      <c r="C519" s="409" t="s">
        <v>1146</v>
      </c>
    </row>
    <row r="520" spans="3:3">
      <c r="C520" s="409" t="s">
        <v>1147</v>
      </c>
    </row>
    <row r="522" spans="3:3">
      <c r="C522" s="409" t="s">
        <v>1148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C522"/>
  <sheetViews>
    <sheetView topLeftCell="B1" workbookViewId="0">
      <selection activeCell="C48" sqref="C48"/>
    </sheetView>
  </sheetViews>
  <sheetFormatPr defaultRowHeight="12.6"/>
  <cols>
    <col min="1" max="1" width="25.85546875" customWidth="1"/>
    <col min="3" max="3" width="158.42578125" style="409" customWidth="1"/>
  </cols>
  <sheetData>
    <row r="1" spans="1:3">
      <c r="A1" s="323" t="s">
        <v>528</v>
      </c>
      <c r="C1" s="409" t="s">
        <v>529</v>
      </c>
    </row>
    <row r="2" spans="1:3" ht="12.95" thickBot="1">
      <c r="A2" s="163" t="str">
        <f>_xlfn.CONCAT(Results!H13,".sim")</f>
        <v>Estatico.sim</v>
      </c>
      <c r="C2" s="409" t="s">
        <v>531</v>
      </c>
    </row>
    <row r="3" spans="1:3" ht="12.95" thickBot="1"/>
    <row r="4" spans="1:3">
      <c r="A4" s="410" t="s">
        <v>532</v>
      </c>
      <c r="C4" s="409" t="s">
        <v>533</v>
      </c>
    </row>
    <row r="5" spans="1:3" ht="12.95" thickBot="1">
      <c r="A5" s="163" t="s">
        <v>1222</v>
      </c>
      <c r="C5" s="409" t="s">
        <v>535</v>
      </c>
    </row>
    <row r="6" spans="1:3" ht="12.95" thickBot="1">
      <c r="C6" s="409" t="s">
        <v>536</v>
      </c>
    </row>
    <row r="7" spans="1:3">
      <c r="A7" s="410" t="s">
        <v>537</v>
      </c>
      <c r="C7" s="409" t="s">
        <v>538</v>
      </c>
    </row>
    <row r="8" spans="1:3" ht="12.95" thickBot="1">
      <c r="A8" s="163" t="s">
        <v>1223</v>
      </c>
      <c r="C8" s="409" t="s">
        <v>540</v>
      </c>
    </row>
    <row r="9" spans="1:3" ht="12.95" thickBot="1"/>
    <row r="10" spans="1:3">
      <c r="A10" s="323" t="s">
        <v>1224</v>
      </c>
      <c r="C10" s="409" t="s">
        <v>542</v>
      </c>
    </row>
    <row r="11" spans="1:3" ht="12.95" thickBot="1">
      <c r="A11" s="163" t="str">
        <f>_xlfn.CONCAT(Results!H16,".sim")</f>
        <v>Cont2.sim</v>
      </c>
      <c r="C11" s="409" t="s">
        <v>543</v>
      </c>
    </row>
    <row r="12" spans="1:3" ht="12.95" thickBot="1">
      <c r="C12" s="409" t="s">
        <v>544</v>
      </c>
    </row>
    <row r="13" spans="1:3">
      <c r="A13" s="323" t="s">
        <v>541</v>
      </c>
    </row>
    <row r="14" spans="1:3" ht="12.95" thickBot="1">
      <c r="A14" s="163">
        <f>Results!E4</f>
        <v>28</v>
      </c>
      <c r="C14" s="409" t="s">
        <v>545</v>
      </c>
    </row>
    <row r="15" spans="1:3">
      <c r="C15" s="409" t="str">
        <f>_xlfn.CONCAT("filename_static = '",A2,"'")</f>
        <v>filename_static = 'Estatico.sim'</v>
      </c>
    </row>
    <row r="17" spans="3:3">
      <c r="C17" s="409" t="s">
        <v>1152</v>
      </c>
    </row>
    <row r="18" spans="3:3">
      <c r="C18" s="409" t="str">
        <f>_xlfn.CONCAT("filename_1_cont = r'",A11,"'")</f>
        <v>filename_1_cont = r'Cont2.sim'</v>
      </c>
    </row>
    <row r="20" spans="3:3">
      <c r="C20" s="409" t="s">
        <v>546</v>
      </c>
    </row>
    <row r="21" spans="3:3">
      <c r="C21" s="409" t="str">
        <f>_xlfn.CONCAT("pngname = '",A5,"'")</f>
        <v>pngname = 'cont2.png'</v>
      </c>
    </row>
    <row r="23" spans="3:3">
      <c r="C23" s="409" t="s">
        <v>547</v>
      </c>
    </row>
    <row r="25" spans="3:3">
      <c r="C25" s="409" t="s">
        <v>548</v>
      </c>
    </row>
    <row r="26" spans="3:3">
      <c r="C26" s="409" t="s">
        <v>549</v>
      </c>
    </row>
    <row r="27" spans="3:3">
      <c r="C27" s="409" t="s">
        <v>550</v>
      </c>
    </row>
    <row r="29" spans="3:3">
      <c r="C29" s="409" t="s">
        <v>551</v>
      </c>
    </row>
    <row r="30" spans="3:3">
      <c r="C30" s="409" t="s">
        <v>552</v>
      </c>
    </row>
    <row r="31" spans="3:3">
      <c r="C31" s="409" t="s">
        <v>553</v>
      </c>
    </row>
    <row r="32" spans="3:3">
      <c r="C32" s="409" t="s">
        <v>554</v>
      </c>
    </row>
    <row r="33" spans="3:3">
      <c r="C33" s="409" t="s">
        <v>555</v>
      </c>
    </row>
    <row r="35" spans="3:3">
      <c r="C35" s="409" t="s">
        <v>572</v>
      </c>
    </row>
    <row r="36" spans="3:3">
      <c r="C36" s="409" t="s">
        <v>559</v>
      </c>
    </row>
    <row r="38" spans="3:3">
      <c r="C38" s="409" t="s">
        <v>574</v>
      </c>
    </row>
    <row r="39" spans="3:3">
      <c r="C39" s="409" t="s">
        <v>557</v>
      </c>
    </row>
    <row r="41" spans="3:3">
      <c r="C41" s="409" t="s">
        <v>1153</v>
      </c>
    </row>
    <row r="42" spans="3:3">
      <c r="C42" s="409" t="s">
        <v>563</v>
      </c>
    </row>
    <row r="44" spans="3:3">
      <c r="C44" s="409" t="s">
        <v>1154</v>
      </c>
    </row>
    <row r="45" spans="3:3">
      <c r="C45" s="409" t="s">
        <v>561</v>
      </c>
    </row>
    <row r="47" spans="3:3">
      <c r="C47" s="409" t="s">
        <v>608</v>
      </c>
    </row>
    <row r="48" spans="3:3">
      <c r="C48" s="409" t="str">
        <f>_xlfn.CONCAT("font_size = '",A14,"'")</f>
        <v>font_size = '28'</v>
      </c>
    </row>
    <row r="50" spans="3:3">
      <c r="C50" s="409" t="s">
        <v>542</v>
      </c>
    </row>
    <row r="51" spans="3:3">
      <c r="C51" s="409" t="s">
        <v>609</v>
      </c>
    </row>
    <row r="52" spans="3:3">
      <c r="C52" s="409" t="s">
        <v>544</v>
      </c>
    </row>
    <row r="55" spans="3:3">
      <c r="C55" s="409" t="s">
        <v>1155</v>
      </c>
    </row>
    <row r="56" spans="3:3">
      <c r="C56" s="409" t="s">
        <v>1156</v>
      </c>
    </row>
    <row r="58" spans="3:3">
      <c r="C58" s="409" t="s">
        <v>1157</v>
      </c>
    </row>
    <row r="59" spans="3:3">
      <c r="C59" s="409" t="s">
        <v>1157</v>
      </c>
    </row>
    <row r="60" spans="3:3">
      <c r="C60" s="409" t="s">
        <v>1157</v>
      </c>
    </row>
    <row r="61" spans="3:3">
      <c r="C61" s="409" t="s">
        <v>1157</v>
      </c>
    </row>
    <row r="62" spans="3:3">
      <c r="C62" s="409" t="s">
        <v>1157</v>
      </c>
    </row>
    <row r="64" spans="3:3">
      <c r="C64" s="409" t="s">
        <v>635</v>
      </c>
    </row>
    <row r="65" spans="3:3">
      <c r="C65" s="409" t="s">
        <v>1158</v>
      </c>
    </row>
    <row r="66" spans="3:3">
      <c r="C66" s="409" t="s">
        <v>637</v>
      </c>
    </row>
    <row r="67" spans="3:3">
      <c r="C67" s="409" t="s">
        <v>638</v>
      </c>
    </row>
    <row r="68" spans="3:3">
      <c r="C68" s="409" t="s">
        <v>639</v>
      </c>
    </row>
    <row r="69" spans="3:3">
      <c r="C69" s="409" t="s">
        <v>640</v>
      </c>
    </row>
    <row r="70" spans="3:3">
      <c r="C70" s="409" t="s">
        <v>641</v>
      </c>
    </row>
    <row r="71" spans="3:3">
      <c r="C71" s="409" t="s">
        <v>642</v>
      </c>
    </row>
    <row r="72" spans="3:3">
      <c r="C72" s="409" t="s">
        <v>643</v>
      </c>
    </row>
    <row r="73" spans="3:3">
      <c r="C73" s="409" t="s">
        <v>644</v>
      </c>
    </row>
    <row r="74" spans="3:3">
      <c r="C74" s="409" t="s">
        <v>645</v>
      </c>
    </row>
    <row r="75" spans="3:3">
      <c r="C75" s="409" t="s">
        <v>1159</v>
      </c>
    </row>
    <row r="76" spans="3:3">
      <c r="C76" s="409" t="s">
        <v>647</v>
      </c>
    </row>
    <row r="77" spans="3:3">
      <c r="C77" s="409" t="s">
        <v>648</v>
      </c>
    </row>
    <row r="78" spans="3:3">
      <c r="C78" s="409" t="s">
        <v>649</v>
      </c>
    </row>
    <row r="79" spans="3:3">
      <c r="C79" s="409" t="s">
        <v>640</v>
      </c>
    </row>
    <row r="80" spans="3:3">
      <c r="C80" s="409" t="s">
        <v>650</v>
      </c>
    </row>
    <row r="81" spans="3:3">
      <c r="C81" s="409" t="s">
        <v>1160</v>
      </c>
    </row>
    <row r="83" spans="3:3">
      <c r="C83" s="409" t="s">
        <v>706</v>
      </c>
    </row>
    <row r="84" spans="3:3">
      <c r="C84" s="409" t="s">
        <v>707</v>
      </c>
    </row>
    <row r="85" spans="3:3">
      <c r="C85" s="409" t="s">
        <v>708</v>
      </c>
    </row>
    <row r="86" spans="3:3">
      <c r="C86" s="409" t="s">
        <v>709</v>
      </c>
    </row>
    <row r="89" spans="3:3">
      <c r="C89" s="409" t="s">
        <v>729</v>
      </c>
    </row>
    <row r="90" spans="3:3">
      <c r="C90" s="409" t="s">
        <v>730</v>
      </c>
    </row>
    <row r="91" spans="3:3">
      <c r="C91" s="409" t="s">
        <v>731</v>
      </c>
    </row>
    <row r="92" spans="3:3">
      <c r="C92" s="409" t="s">
        <v>732</v>
      </c>
    </row>
    <row r="93" spans="3:3">
      <c r="C93" s="409" t="s">
        <v>1161</v>
      </c>
    </row>
    <row r="94" spans="3:3">
      <c r="C94" s="409" t="s">
        <v>737</v>
      </c>
    </row>
    <row r="95" spans="3:3">
      <c r="C95" s="409" t="s">
        <v>738</v>
      </c>
    </row>
    <row r="96" spans="3:3">
      <c r="C96" s="409" t="s">
        <v>739</v>
      </c>
    </row>
    <row r="97" spans="3:3">
      <c r="C97" s="409" t="s">
        <v>740</v>
      </c>
    </row>
    <row r="98" spans="3:3">
      <c r="C98" s="409" t="s">
        <v>741</v>
      </c>
    </row>
    <row r="99" spans="3:3">
      <c r="C99" s="409" t="s">
        <v>1162</v>
      </c>
    </row>
    <row r="100" spans="3:3">
      <c r="C100" s="409" t="s">
        <v>629</v>
      </c>
    </row>
    <row r="101" spans="3:3">
      <c r="C101" s="409" t="s">
        <v>743</v>
      </c>
    </row>
    <row r="102" spans="3:3">
      <c r="C102" s="409" t="s">
        <v>1163</v>
      </c>
    </row>
    <row r="103" spans="3:3">
      <c r="C103" s="409" t="s">
        <v>745</v>
      </c>
    </row>
    <row r="104" spans="3:3">
      <c r="C104" s="409" t="s">
        <v>746</v>
      </c>
    </row>
    <row r="105" spans="3:3">
      <c r="C105" s="409" t="s">
        <v>738</v>
      </c>
    </row>
    <row r="106" spans="3:3">
      <c r="C106" s="409" t="s">
        <v>739</v>
      </c>
    </row>
    <row r="107" spans="3:3">
      <c r="C107" s="409" t="s">
        <v>747</v>
      </c>
    </row>
    <row r="108" spans="3:3">
      <c r="C108" s="409" t="s">
        <v>748</v>
      </c>
    </row>
    <row r="109" spans="3:3">
      <c r="C109" s="409" t="s">
        <v>749</v>
      </c>
    </row>
    <row r="110" spans="3:3">
      <c r="C110" s="409" t="s">
        <v>750</v>
      </c>
    </row>
    <row r="111" spans="3:3">
      <c r="C111" s="409" t="s">
        <v>751</v>
      </c>
    </row>
    <row r="112" spans="3:3">
      <c r="C112" s="409" t="s">
        <v>752</v>
      </c>
    </row>
    <row r="113" spans="3:3">
      <c r="C113" s="409" t="s">
        <v>1164</v>
      </c>
    </row>
    <row r="114" spans="3:3">
      <c r="C114" s="409" t="s">
        <v>754</v>
      </c>
    </row>
    <row r="115" spans="3:3">
      <c r="C115" s="409" t="s">
        <v>629</v>
      </c>
    </row>
    <row r="116" spans="3:3">
      <c r="C116" s="409" t="s">
        <v>755</v>
      </c>
    </row>
    <row r="117" spans="3:3">
      <c r="C117" s="409" t="s">
        <v>1165</v>
      </c>
    </row>
    <row r="118" spans="3:3">
      <c r="C118" s="409" t="s">
        <v>757</v>
      </c>
    </row>
    <row r="119" spans="3:3">
      <c r="C119" s="409" t="s">
        <v>738</v>
      </c>
    </row>
    <row r="120" spans="3:3">
      <c r="C120" s="409" t="s">
        <v>739</v>
      </c>
    </row>
    <row r="121" spans="3:3">
      <c r="C121" s="409" t="s">
        <v>747</v>
      </c>
    </row>
    <row r="122" spans="3:3">
      <c r="C122" s="409" t="s">
        <v>1166</v>
      </c>
    </row>
    <row r="123" spans="3:3">
      <c r="C123" s="409" t="s">
        <v>1167</v>
      </c>
    </row>
    <row r="124" spans="3:3">
      <c r="C124" s="409" t="s">
        <v>629</v>
      </c>
    </row>
    <row r="125" spans="3:3">
      <c r="C125" s="409" t="s">
        <v>1168</v>
      </c>
    </row>
    <row r="126" spans="3:3">
      <c r="C126" s="409" t="s">
        <v>761</v>
      </c>
    </row>
    <row r="127" spans="3:3">
      <c r="C127" s="409" t="s">
        <v>738</v>
      </c>
    </row>
    <row r="128" spans="3:3">
      <c r="C128" s="409" t="s">
        <v>739</v>
      </c>
    </row>
    <row r="129" spans="3:3">
      <c r="C129" s="409" t="s">
        <v>747</v>
      </c>
    </row>
    <row r="130" spans="3:3">
      <c r="C130" s="409" t="s">
        <v>749</v>
      </c>
    </row>
    <row r="131" spans="3:3">
      <c r="C131" s="409" t="s">
        <v>750</v>
      </c>
    </row>
    <row r="132" spans="3:3">
      <c r="C132" s="409" t="s">
        <v>751</v>
      </c>
    </row>
    <row r="133" spans="3:3">
      <c r="C133" s="409" t="s">
        <v>752</v>
      </c>
    </row>
    <row r="134" spans="3:3">
      <c r="C134" s="409" t="s">
        <v>1164</v>
      </c>
    </row>
    <row r="135" spans="3:3">
      <c r="C135" s="409" t="s">
        <v>1169</v>
      </c>
    </row>
    <row r="136" spans="3:3">
      <c r="C136" s="409" t="s">
        <v>763</v>
      </c>
    </row>
    <row r="137" spans="3:3">
      <c r="C137" s="409" t="s">
        <v>1170</v>
      </c>
    </row>
    <row r="138" spans="3:3">
      <c r="C138" s="409" t="s">
        <v>1171</v>
      </c>
    </row>
    <row r="139" spans="3:3">
      <c r="C139" s="409" t="s">
        <v>766</v>
      </c>
    </row>
    <row r="140" spans="3:3">
      <c r="C140" s="409" t="s">
        <v>767</v>
      </c>
    </row>
    <row r="141" spans="3:3">
      <c r="C141" s="409" t="s">
        <v>768</v>
      </c>
    </row>
    <row r="142" spans="3:3">
      <c r="C142" s="409" t="s">
        <v>769</v>
      </c>
    </row>
    <row r="143" spans="3:3">
      <c r="C143" s="409" t="s">
        <v>770</v>
      </c>
    </row>
    <row r="144" spans="3:3">
      <c r="C144" s="409" t="s">
        <v>771</v>
      </c>
    </row>
    <row r="145" spans="3:3">
      <c r="C145" s="409" t="s">
        <v>772</v>
      </c>
    </row>
    <row r="146" spans="3:3">
      <c r="C146" s="409" t="s">
        <v>1172</v>
      </c>
    </row>
    <row r="147" spans="3:3">
      <c r="C147" s="409" t="s">
        <v>1173</v>
      </c>
    </row>
    <row r="148" spans="3:3">
      <c r="C148" s="409" t="s">
        <v>775</v>
      </c>
    </row>
    <row r="149" spans="3:3">
      <c r="C149" s="409" t="s">
        <v>1174</v>
      </c>
    </row>
    <row r="151" spans="3:3">
      <c r="C151" s="409" t="s">
        <v>1157</v>
      </c>
    </row>
    <row r="152" spans="3:3">
      <c r="C152" s="409" t="s">
        <v>1157</v>
      </c>
    </row>
    <row r="153" spans="3:3">
      <c r="C153" s="409" t="s">
        <v>1157</v>
      </c>
    </row>
    <row r="154" spans="3:3">
      <c r="C154" s="409" t="s">
        <v>1157</v>
      </c>
    </row>
    <row r="155" spans="3:3">
      <c r="C155" s="409" t="s">
        <v>1157</v>
      </c>
    </row>
    <row r="158" spans="3:3">
      <c r="C158" s="409" t="s">
        <v>633</v>
      </c>
    </row>
    <row r="159" spans="3:3">
      <c r="C159" s="409" t="s">
        <v>1175</v>
      </c>
    </row>
    <row r="161" spans="3:3">
      <c r="C161" s="409" t="s">
        <v>635</v>
      </c>
    </row>
    <row r="162" spans="3:3">
      <c r="C162" s="409" t="s">
        <v>636</v>
      </c>
    </row>
    <row r="163" spans="3:3">
      <c r="C163" s="409" t="s">
        <v>637</v>
      </c>
    </row>
    <row r="164" spans="3:3">
      <c r="C164" s="409" t="s">
        <v>638</v>
      </c>
    </row>
    <row r="165" spans="3:3">
      <c r="C165" s="409" t="s">
        <v>639</v>
      </c>
    </row>
    <row r="166" spans="3:3">
      <c r="C166" s="409" t="s">
        <v>640</v>
      </c>
    </row>
    <row r="167" spans="3:3">
      <c r="C167" s="409" t="s">
        <v>641</v>
      </c>
    </row>
    <row r="168" spans="3:3">
      <c r="C168" s="409" t="s">
        <v>642</v>
      </c>
    </row>
    <row r="169" spans="3:3">
      <c r="C169" s="409" t="s">
        <v>643</v>
      </c>
    </row>
    <row r="170" spans="3:3">
      <c r="C170" s="409" t="s">
        <v>644</v>
      </c>
    </row>
    <row r="171" spans="3:3">
      <c r="C171" s="409" t="s">
        <v>645</v>
      </c>
    </row>
    <row r="172" spans="3:3">
      <c r="C172" s="409" t="s">
        <v>646</v>
      </c>
    </row>
    <row r="174" spans="3:3">
      <c r="C174" s="409" t="s">
        <v>647</v>
      </c>
    </row>
    <row r="175" spans="3:3">
      <c r="C175" s="409" t="s">
        <v>648</v>
      </c>
    </row>
    <row r="176" spans="3:3">
      <c r="C176" s="409" t="s">
        <v>649</v>
      </c>
    </row>
    <row r="177" spans="3:3">
      <c r="C177" s="409" t="s">
        <v>640</v>
      </c>
    </row>
    <row r="178" spans="3:3">
      <c r="C178" s="409" t="s">
        <v>650</v>
      </c>
    </row>
    <row r="179" spans="3:3">
      <c r="C179" s="409" t="s">
        <v>1176</v>
      </c>
    </row>
    <row r="180" spans="3:3">
      <c r="C180" s="409" t="s">
        <v>1177</v>
      </c>
    </row>
    <row r="181" spans="3:3">
      <c r="C181" s="409" t="s">
        <v>1178</v>
      </c>
    </row>
    <row r="182" spans="3:3">
      <c r="C182" s="409" t="s">
        <v>1179</v>
      </c>
    </row>
    <row r="183" spans="3:3">
      <c r="C183" s="409" t="s">
        <v>1180</v>
      </c>
    </row>
    <row r="184" spans="3:3">
      <c r="C184" s="409" t="s">
        <v>1181</v>
      </c>
    </row>
    <row r="185" spans="3:3">
      <c r="C185" s="409" t="s">
        <v>629</v>
      </c>
    </row>
    <row r="186" spans="3:3">
      <c r="C186" s="409" t="s">
        <v>1182</v>
      </c>
    </row>
    <row r="187" spans="3:3">
      <c r="C187" s="409" t="s">
        <v>642</v>
      </c>
    </row>
    <row r="188" spans="3:3">
      <c r="C188" s="409" t="s">
        <v>1183</v>
      </c>
    </row>
    <row r="189" spans="3:3">
      <c r="C189" s="409" t="s">
        <v>1184</v>
      </c>
    </row>
    <row r="190" spans="3:3">
      <c r="C190" s="409" t="s">
        <v>653</v>
      </c>
    </row>
    <row r="191" spans="3:3">
      <c r="C191" s="409" t="s">
        <v>654</v>
      </c>
    </row>
    <row r="192" spans="3:3">
      <c r="C192" s="409" t="s">
        <v>1185</v>
      </c>
    </row>
    <row r="193" spans="3:3">
      <c r="C193" s="409" t="s">
        <v>1186</v>
      </c>
    </row>
    <row r="194" spans="3:3">
      <c r="C194" s="409" t="s">
        <v>1187</v>
      </c>
    </row>
    <row r="195" spans="3:3">
      <c r="C195" s="409" t="s">
        <v>657</v>
      </c>
    </row>
    <row r="196" spans="3:3">
      <c r="C196" s="409" t="s">
        <v>658</v>
      </c>
    </row>
    <row r="197" spans="3:3">
      <c r="C197" s="409" t="s">
        <v>659</v>
      </c>
    </row>
    <row r="198" spans="3:3">
      <c r="C198" s="409" t="s">
        <v>660</v>
      </c>
    </row>
    <row r="199" spans="3:3">
      <c r="C199" s="409" t="s">
        <v>661</v>
      </c>
    </row>
    <row r="200" spans="3:3">
      <c r="C200" s="409" t="s">
        <v>662</v>
      </c>
    </row>
    <row r="201" spans="3:3">
      <c r="C201" s="409" t="s">
        <v>663</v>
      </c>
    </row>
    <row r="202" spans="3:3">
      <c r="C202" s="409" t="s">
        <v>664</v>
      </c>
    </row>
    <row r="203" spans="3:3">
      <c r="C203" s="409" t="s">
        <v>665</v>
      </c>
    </row>
    <row r="204" spans="3:3">
      <c r="C204" s="409" t="s">
        <v>666</v>
      </c>
    </row>
    <row r="205" spans="3:3">
      <c r="C205" s="409" t="s">
        <v>667</v>
      </c>
    </row>
    <row r="206" spans="3:3">
      <c r="C206" s="409" t="s">
        <v>668</v>
      </c>
    </row>
    <row r="207" spans="3:3">
      <c r="C207" s="409" t="s">
        <v>669</v>
      </c>
    </row>
    <row r="208" spans="3:3">
      <c r="C208" s="409" t="s">
        <v>670</v>
      </c>
    </row>
    <row r="209" spans="3:3">
      <c r="C209" s="409" t="s">
        <v>640</v>
      </c>
    </row>
    <row r="210" spans="3:3">
      <c r="C210" s="409" t="s">
        <v>671</v>
      </c>
    </row>
    <row r="211" spans="3:3">
      <c r="C211" s="409" t="s">
        <v>672</v>
      </c>
    </row>
    <row r="212" spans="3:3">
      <c r="C212" s="409" t="s">
        <v>673</v>
      </c>
    </row>
    <row r="213" spans="3:3">
      <c r="C213" s="409" t="s">
        <v>674</v>
      </c>
    </row>
    <row r="214" spans="3:3">
      <c r="C214" s="409" t="s">
        <v>675</v>
      </c>
    </row>
    <row r="215" spans="3:3">
      <c r="C215" s="409" t="s">
        <v>676</v>
      </c>
    </row>
    <row r="216" spans="3:3">
      <c r="C216" s="409" t="s">
        <v>677</v>
      </c>
    </row>
    <row r="217" spans="3:3">
      <c r="C217" s="409" t="s">
        <v>678</v>
      </c>
    </row>
    <row r="218" spans="3:3">
      <c r="C218" s="409" t="s">
        <v>640</v>
      </c>
    </row>
    <row r="219" spans="3:3">
      <c r="C219" s="409" t="s">
        <v>679</v>
      </c>
    </row>
    <row r="220" spans="3:3">
      <c r="C220" s="409" t="s">
        <v>680</v>
      </c>
    </row>
    <row r="221" spans="3:3">
      <c r="C221" s="409" t="s">
        <v>681</v>
      </c>
    </row>
    <row r="222" spans="3:3">
      <c r="C222" s="409" t="s">
        <v>682</v>
      </c>
    </row>
    <row r="223" spans="3:3">
      <c r="C223" s="409" t="s">
        <v>683</v>
      </c>
    </row>
    <row r="224" spans="3:3">
      <c r="C224" s="409" t="s">
        <v>684</v>
      </c>
    </row>
    <row r="225" spans="3:3">
      <c r="C225" s="409" t="s">
        <v>685</v>
      </c>
    </row>
    <row r="226" spans="3:3">
      <c r="C226" s="409" t="s">
        <v>686</v>
      </c>
    </row>
    <row r="227" spans="3:3">
      <c r="C227" s="409" t="s">
        <v>687</v>
      </c>
    </row>
    <row r="228" spans="3:3">
      <c r="C228" s="409" t="s">
        <v>688</v>
      </c>
    </row>
    <row r="229" spans="3:3">
      <c r="C229" s="409" t="s">
        <v>689</v>
      </c>
    </row>
    <row r="230" spans="3:3">
      <c r="C230" s="409" t="s">
        <v>690</v>
      </c>
    </row>
    <row r="231" spans="3:3">
      <c r="C231" s="409" t="s">
        <v>691</v>
      </c>
    </row>
    <row r="232" spans="3:3">
      <c r="C232" s="409" t="s">
        <v>692</v>
      </c>
    </row>
    <row r="233" spans="3:3">
      <c r="C233" s="409" t="s">
        <v>693</v>
      </c>
    </row>
    <row r="234" spans="3:3">
      <c r="C234" s="409" t="s">
        <v>694</v>
      </c>
    </row>
    <row r="235" spans="3:3">
      <c r="C235" s="409" t="s">
        <v>695</v>
      </c>
    </row>
    <row r="236" spans="3:3">
      <c r="C236" s="409" t="s">
        <v>696</v>
      </c>
    </row>
    <row r="237" spans="3:3">
      <c r="C237" s="409" t="s">
        <v>697</v>
      </c>
    </row>
    <row r="238" spans="3:3">
      <c r="C238" s="409" t="s">
        <v>698</v>
      </c>
    </row>
    <row r="239" spans="3:3">
      <c r="C239" s="409" t="s">
        <v>699</v>
      </c>
    </row>
    <row r="240" spans="3:3">
      <c r="C240" s="409" t="s">
        <v>700</v>
      </c>
    </row>
    <row r="241" spans="3:3">
      <c r="C241" s="409" t="s">
        <v>701</v>
      </c>
    </row>
    <row r="242" spans="3:3">
      <c r="C242" s="409" t="s">
        <v>702</v>
      </c>
    </row>
    <row r="244" spans="3:3">
      <c r="C244" s="409" t="s">
        <v>703</v>
      </c>
    </row>
    <row r="245" spans="3:3">
      <c r="C245" s="409" t="s">
        <v>704</v>
      </c>
    </row>
    <row r="246" spans="3:3">
      <c r="C246" s="409" t="s">
        <v>705</v>
      </c>
    </row>
    <row r="247" spans="3:3">
      <c r="C247" s="409" t="s">
        <v>706</v>
      </c>
    </row>
    <row r="248" spans="3:3">
      <c r="C248" s="409" t="s">
        <v>707</v>
      </c>
    </row>
    <row r="249" spans="3:3">
      <c r="C249" s="409" t="s">
        <v>708</v>
      </c>
    </row>
    <row r="250" spans="3:3">
      <c r="C250" s="409" t="s">
        <v>709</v>
      </c>
    </row>
    <row r="251" spans="3:3">
      <c r="C251" s="409" t="s">
        <v>710</v>
      </c>
    </row>
    <row r="252" spans="3:3">
      <c r="C252" s="409" t="s">
        <v>711</v>
      </c>
    </row>
    <row r="253" spans="3:3">
      <c r="C253" s="409" t="s">
        <v>712</v>
      </c>
    </row>
    <row r="254" spans="3:3">
      <c r="C254" s="409" t="s">
        <v>713</v>
      </c>
    </row>
    <row r="255" spans="3:3">
      <c r="C255" s="409" t="s">
        <v>674</v>
      </c>
    </row>
    <row r="256" spans="3:3">
      <c r="C256" s="409" t="s">
        <v>675</v>
      </c>
    </row>
    <row r="257" spans="3:3">
      <c r="C257" s="409" t="s">
        <v>714</v>
      </c>
    </row>
    <row r="258" spans="3:3">
      <c r="C258" s="409" t="s">
        <v>715</v>
      </c>
    </row>
    <row r="259" spans="3:3">
      <c r="C259" s="409" t="s">
        <v>716</v>
      </c>
    </row>
    <row r="260" spans="3:3">
      <c r="C260" s="409" t="s">
        <v>722</v>
      </c>
    </row>
    <row r="261" spans="3:3">
      <c r="C261" s="409" t="s">
        <v>723</v>
      </c>
    </row>
    <row r="262" spans="3:3">
      <c r="C262" s="409" t="s">
        <v>724</v>
      </c>
    </row>
    <row r="263" spans="3:3">
      <c r="C263" s="409" t="s">
        <v>725</v>
      </c>
    </row>
    <row r="264" spans="3:3">
      <c r="C264" s="409" t="s">
        <v>726</v>
      </c>
    </row>
    <row r="265" spans="3:3">
      <c r="C265" s="409" t="s">
        <v>727</v>
      </c>
    </row>
    <row r="266" spans="3:3">
      <c r="C266" s="409" t="s">
        <v>728</v>
      </c>
    </row>
    <row r="267" spans="3:3">
      <c r="C267" s="409" t="s">
        <v>729</v>
      </c>
    </row>
    <row r="268" spans="3:3">
      <c r="C268" s="409" t="s">
        <v>730</v>
      </c>
    </row>
    <row r="269" spans="3:3">
      <c r="C269" s="409" t="s">
        <v>731</v>
      </c>
    </row>
    <row r="270" spans="3:3">
      <c r="C270" s="409" t="s">
        <v>732</v>
      </c>
    </row>
    <row r="271" spans="3:3">
      <c r="C271" s="409" t="s">
        <v>733</v>
      </c>
    </row>
    <row r="272" spans="3:3">
      <c r="C272" s="409" t="s">
        <v>734</v>
      </c>
    </row>
    <row r="273" spans="3:3">
      <c r="C273" s="409" t="s">
        <v>735</v>
      </c>
    </row>
    <row r="274" spans="3:3">
      <c r="C274" s="409" t="s">
        <v>736</v>
      </c>
    </row>
    <row r="275" spans="3:3">
      <c r="C275" s="409" t="s">
        <v>737</v>
      </c>
    </row>
    <row r="276" spans="3:3">
      <c r="C276" s="409" t="s">
        <v>738</v>
      </c>
    </row>
    <row r="277" spans="3:3">
      <c r="C277" s="409" t="s">
        <v>739</v>
      </c>
    </row>
    <row r="278" spans="3:3">
      <c r="C278" s="409" t="s">
        <v>740</v>
      </c>
    </row>
    <row r="279" spans="3:3">
      <c r="C279" s="409" t="s">
        <v>741</v>
      </c>
    </row>
    <row r="280" spans="3:3">
      <c r="C280" s="409" t="s">
        <v>742</v>
      </c>
    </row>
    <row r="281" spans="3:3">
      <c r="C281" s="409" t="s">
        <v>629</v>
      </c>
    </row>
    <row r="282" spans="3:3">
      <c r="C282" s="409" t="s">
        <v>743</v>
      </c>
    </row>
    <row r="283" spans="3:3">
      <c r="C283" s="409" t="s">
        <v>744</v>
      </c>
    </row>
    <row r="284" spans="3:3">
      <c r="C284" s="409" t="s">
        <v>745</v>
      </c>
    </row>
    <row r="285" spans="3:3">
      <c r="C285" s="409" t="s">
        <v>746</v>
      </c>
    </row>
    <row r="286" spans="3:3">
      <c r="C286" s="409" t="s">
        <v>738</v>
      </c>
    </row>
    <row r="287" spans="3:3">
      <c r="C287" s="409" t="s">
        <v>739</v>
      </c>
    </row>
    <row r="288" spans="3:3">
      <c r="C288" s="409" t="s">
        <v>747</v>
      </c>
    </row>
    <row r="289" spans="3:3">
      <c r="C289" s="409" t="s">
        <v>748</v>
      </c>
    </row>
    <row r="290" spans="3:3">
      <c r="C290" s="409" t="s">
        <v>749</v>
      </c>
    </row>
    <row r="291" spans="3:3">
      <c r="C291" s="409" t="s">
        <v>750</v>
      </c>
    </row>
    <row r="292" spans="3:3">
      <c r="C292" s="409" t="s">
        <v>751</v>
      </c>
    </row>
    <row r="293" spans="3:3">
      <c r="C293" s="409" t="s">
        <v>752</v>
      </c>
    </row>
    <row r="294" spans="3:3">
      <c r="C294" s="409" t="s">
        <v>753</v>
      </c>
    </row>
    <row r="295" spans="3:3">
      <c r="C295" s="409" t="s">
        <v>754</v>
      </c>
    </row>
    <row r="296" spans="3:3">
      <c r="C296" s="409" t="s">
        <v>629</v>
      </c>
    </row>
    <row r="297" spans="3:3">
      <c r="C297" s="409" t="s">
        <v>755</v>
      </c>
    </row>
    <row r="298" spans="3:3">
      <c r="C298" s="409" t="s">
        <v>756</v>
      </c>
    </row>
    <row r="299" spans="3:3">
      <c r="C299" s="409" t="s">
        <v>757</v>
      </c>
    </row>
    <row r="300" spans="3:3">
      <c r="C300" s="409" t="s">
        <v>738</v>
      </c>
    </row>
    <row r="301" spans="3:3">
      <c r="C301" s="409" t="s">
        <v>739</v>
      </c>
    </row>
    <row r="302" spans="3:3">
      <c r="C302" s="409" t="s">
        <v>747</v>
      </c>
    </row>
    <row r="303" spans="3:3">
      <c r="C303" s="409" t="s">
        <v>758</v>
      </c>
    </row>
    <row r="304" spans="3:3">
      <c r="C304" s="409" t="s">
        <v>759</v>
      </c>
    </row>
    <row r="305" spans="3:3">
      <c r="C305" s="409" t="s">
        <v>629</v>
      </c>
    </row>
    <row r="306" spans="3:3">
      <c r="C306" s="409" t="s">
        <v>760</v>
      </c>
    </row>
    <row r="307" spans="3:3">
      <c r="C307" s="409" t="s">
        <v>761</v>
      </c>
    </row>
    <row r="308" spans="3:3">
      <c r="C308" s="409" t="s">
        <v>738</v>
      </c>
    </row>
    <row r="309" spans="3:3">
      <c r="C309" s="409" t="s">
        <v>739</v>
      </c>
    </row>
    <row r="310" spans="3:3">
      <c r="C310" s="409" t="s">
        <v>747</v>
      </c>
    </row>
    <row r="311" spans="3:3">
      <c r="C311" s="409" t="s">
        <v>749</v>
      </c>
    </row>
    <row r="312" spans="3:3">
      <c r="C312" s="409" t="s">
        <v>750</v>
      </c>
    </row>
    <row r="313" spans="3:3">
      <c r="C313" s="409" t="s">
        <v>751</v>
      </c>
    </row>
    <row r="314" spans="3:3">
      <c r="C314" s="409" t="s">
        <v>752</v>
      </c>
    </row>
    <row r="315" spans="3:3">
      <c r="C315" s="409" t="s">
        <v>753</v>
      </c>
    </row>
    <row r="316" spans="3:3">
      <c r="C316" s="409" t="s">
        <v>762</v>
      </c>
    </row>
    <row r="317" spans="3:3">
      <c r="C317" s="409" t="s">
        <v>763</v>
      </c>
    </row>
    <row r="318" spans="3:3">
      <c r="C318" s="409" t="s">
        <v>764</v>
      </c>
    </row>
    <row r="319" spans="3:3">
      <c r="C319" s="409" t="s">
        <v>765</v>
      </c>
    </row>
    <row r="320" spans="3:3">
      <c r="C320" s="409" t="s">
        <v>766</v>
      </c>
    </row>
    <row r="321" spans="3:3">
      <c r="C321" s="409" t="s">
        <v>767</v>
      </c>
    </row>
    <row r="322" spans="3:3">
      <c r="C322" s="409" t="s">
        <v>768</v>
      </c>
    </row>
    <row r="323" spans="3:3">
      <c r="C323" s="409" t="s">
        <v>769</v>
      </c>
    </row>
    <row r="324" spans="3:3">
      <c r="C324" s="409" t="s">
        <v>770</v>
      </c>
    </row>
    <row r="325" spans="3:3">
      <c r="C325" s="409" t="s">
        <v>771</v>
      </c>
    </row>
    <row r="326" spans="3:3">
      <c r="C326" s="409" t="s">
        <v>772</v>
      </c>
    </row>
    <row r="327" spans="3:3">
      <c r="C327" s="409" t="s">
        <v>773</v>
      </c>
    </row>
    <row r="328" spans="3:3">
      <c r="C328" s="409" t="s">
        <v>774</v>
      </c>
    </row>
    <row r="329" spans="3:3">
      <c r="C329" s="409" t="s">
        <v>775</v>
      </c>
    </row>
    <row r="330" spans="3:3">
      <c r="C330" s="409" t="s">
        <v>776</v>
      </c>
    </row>
    <row r="331" spans="3:3">
      <c r="C331" s="409" t="s">
        <v>777</v>
      </c>
    </row>
    <row r="332" spans="3:3">
      <c r="C332" s="409" t="s">
        <v>778</v>
      </c>
    </row>
    <row r="333" spans="3:3">
      <c r="C333" s="409" t="s">
        <v>770</v>
      </c>
    </row>
    <row r="334" spans="3:3">
      <c r="C334" s="409" t="s">
        <v>779</v>
      </c>
    </row>
    <row r="335" spans="3:3">
      <c r="C335" s="409" t="s">
        <v>780</v>
      </c>
    </row>
    <row r="336" spans="3:3">
      <c r="C336" s="409" t="s">
        <v>781</v>
      </c>
    </row>
    <row r="337" spans="3:3">
      <c r="C337" s="409" t="s">
        <v>782</v>
      </c>
    </row>
    <row r="338" spans="3:3">
      <c r="C338" s="409" t="s">
        <v>629</v>
      </c>
    </row>
    <row r="339" spans="3:3">
      <c r="C339" s="409" t="s">
        <v>783</v>
      </c>
    </row>
    <row r="340" spans="3:3">
      <c r="C340" s="409" t="s">
        <v>784</v>
      </c>
    </row>
    <row r="341" spans="3:3">
      <c r="C341" s="409" t="s">
        <v>785</v>
      </c>
    </row>
    <row r="342" spans="3:3">
      <c r="C342" s="409" t="s">
        <v>770</v>
      </c>
    </row>
    <row r="343" spans="3:3">
      <c r="C343" s="409" t="s">
        <v>786</v>
      </c>
    </row>
    <row r="344" spans="3:3">
      <c r="C344" s="409" t="s">
        <v>787</v>
      </c>
    </row>
    <row r="345" spans="3:3">
      <c r="C345" s="409" t="s">
        <v>788</v>
      </c>
    </row>
    <row r="346" spans="3:3">
      <c r="C346" s="409" t="s">
        <v>789</v>
      </c>
    </row>
    <row r="347" spans="3:3">
      <c r="C347" s="409" t="s">
        <v>790</v>
      </c>
    </row>
    <row r="348" spans="3:3">
      <c r="C348" s="409" t="s">
        <v>791</v>
      </c>
    </row>
    <row r="349" spans="3:3">
      <c r="C349" s="409" t="s">
        <v>792</v>
      </c>
    </row>
    <row r="350" spans="3:3">
      <c r="C350" s="409" t="s">
        <v>793</v>
      </c>
    </row>
    <row r="351" spans="3:3">
      <c r="C351" s="409" t="s">
        <v>794</v>
      </c>
    </row>
    <row r="353" spans="3:3">
      <c r="C353" s="409" t="s">
        <v>1188</v>
      </c>
    </row>
    <row r="354" spans="3:3">
      <c r="C354" s="409" t="s">
        <v>1189</v>
      </c>
    </row>
    <row r="355" spans="3:3">
      <c r="C355" s="409" t="s">
        <v>1190</v>
      </c>
    </row>
    <row r="356" spans="3:3">
      <c r="C356" s="409" t="s">
        <v>1191</v>
      </c>
    </row>
    <row r="357" spans="3:3">
      <c r="C357" s="409" t="s">
        <v>1192</v>
      </c>
    </row>
    <row r="358" spans="3:3">
      <c r="C358" s="409" t="s">
        <v>1193</v>
      </c>
    </row>
    <row r="359" spans="3:3">
      <c r="C359" s="409" t="s">
        <v>1194</v>
      </c>
    </row>
    <row r="360" spans="3:3">
      <c r="C360" s="409" t="s">
        <v>1195</v>
      </c>
    </row>
    <row r="361" spans="3:3">
      <c r="C361" s="409" t="s">
        <v>1196</v>
      </c>
    </row>
    <row r="362" spans="3:3">
      <c r="C362" s="409" t="s">
        <v>1197</v>
      </c>
    </row>
    <row r="363" spans="3:3">
      <c r="C363" s="409" t="s">
        <v>1198</v>
      </c>
    </row>
    <row r="364" spans="3:3">
      <c r="C364" s="409" t="s">
        <v>1199</v>
      </c>
    </row>
    <row r="365" spans="3:3">
      <c r="C365" s="409" t="s">
        <v>808</v>
      </c>
    </row>
    <row r="366" spans="3:3">
      <c r="C366" s="409" t="s">
        <v>892</v>
      </c>
    </row>
    <row r="367" spans="3:3">
      <c r="C367" s="409" t="s">
        <v>892</v>
      </c>
    </row>
    <row r="369" spans="3:3">
      <c r="C369" s="409" t="s">
        <v>1200</v>
      </c>
    </row>
    <row r="370" spans="3:3">
      <c r="C370" s="409" t="s">
        <v>893</v>
      </c>
    </row>
    <row r="373" spans="3:3">
      <c r="C373" s="409" t="s">
        <v>896</v>
      </c>
    </row>
    <row r="374" spans="3:3">
      <c r="C374" s="409" t="s">
        <v>897</v>
      </c>
    </row>
    <row r="375" spans="3:3">
      <c r="C375" s="409" t="s">
        <v>898</v>
      </c>
    </row>
    <row r="376" spans="3:3">
      <c r="C376" s="409" t="s">
        <v>899</v>
      </c>
    </row>
    <row r="377" spans="3:3">
      <c r="C377" s="409" t="s">
        <v>900</v>
      </c>
    </row>
    <row r="378" spans="3:3">
      <c r="C378" s="409" t="s">
        <v>901</v>
      </c>
    </row>
    <row r="379" spans="3:3">
      <c r="C379" s="409" t="s">
        <v>902</v>
      </c>
    </row>
    <row r="380" spans="3:3">
      <c r="C380" s="409" t="s">
        <v>903</v>
      </c>
    </row>
    <row r="381" spans="3:3">
      <c r="C381" s="409" t="s">
        <v>904</v>
      </c>
    </row>
    <row r="382" spans="3:3">
      <c r="C382" s="409" t="s">
        <v>905</v>
      </c>
    </row>
    <row r="383" spans="3:3">
      <c r="C383" s="409" t="s">
        <v>906</v>
      </c>
    </row>
    <row r="384" spans="3:3">
      <c r="C384" s="409" t="s">
        <v>907</v>
      </c>
    </row>
    <row r="386" spans="3:3">
      <c r="C386" s="409" t="s">
        <v>908</v>
      </c>
    </row>
    <row r="388" spans="3:3">
      <c r="C388" s="409" t="s">
        <v>909</v>
      </c>
    </row>
    <row r="389" spans="3:3">
      <c r="C389" s="409" t="s">
        <v>910</v>
      </c>
    </row>
    <row r="391" spans="3:3">
      <c r="C391" s="409" t="s">
        <v>911</v>
      </c>
    </row>
    <row r="392" spans="3:3">
      <c r="C392" s="409" t="s">
        <v>912</v>
      </c>
    </row>
    <row r="394" spans="3:3">
      <c r="C394" s="409" t="s">
        <v>913</v>
      </c>
    </row>
    <row r="395" spans="3:3">
      <c r="C395" s="409" t="s">
        <v>914</v>
      </c>
    </row>
    <row r="396" spans="3:3">
      <c r="C396" s="409" t="s">
        <v>915</v>
      </c>
    </row>
    <row r="397" spans="3:3">
      <c r="C397" s="409" t="s">
        <v>916</v>
      </c>
    </row>
    <row r="398" spans="3:3">
      <c r="C398" s="409" t="s">
        <v>917</v>
      </c>
    </row>
    <row r="399" spans="3:3">
      <c r="C399" s="409" t="s">
        <v>918</v>
      </c>
    </row>
    <row r="401" spans="3:3">
      <c r="C401" s="409" t="s">
        <v>919</v>
      </c>
    </row>
    <row r="402" spans="3:3">
      <c r="C402" s="409" t="s">
        <v>920</v>
      </c>
    </row>
    <row r="403" spans="3:3">
      <c r="C403" s="409" t="s">
        <v>921</v>
      </c>
    </row>
    <row r="404" spans="3:3">
      <c r="C404" s="409" t="s">
        <v>922</v>
      </c>
    </row>
    <row r="405" spans="3:3">
      <c r="C405" s="409" t="s">
        <v>923</v>
      </c>
    </row>
    <row r="407" spans="3:3">
      <c r="C407" s="409" t="s">
        <v>924</v>
      </c>
    </row>
    <row r="408" spans="3:3">
      <c r="C408" s="409" t="s">
        <v>925</v>
      </c>
    </row>
    <row r="409" spans="3:3">
      <c r="C409" s="409" t="s">
        <v>926</v>
      </c>
    </row>
    <row r="410" spans="3:3">
      <c r="C410" s="409" t="s">
        <v>927</v>
      </c>
    </row>
    <row r="411" spans="3:3">
      <c r="C411" s="409" t="s">
        <v>928</v>
      </c>
    </row>
    <row r="413" spans="3:3">
      <c r="C413" s="409" t="s">
        <v>929</v>
      </c>
    </row>
    <row r="414" spans="3:3">
      <c r="C414" s="409" t="s">
        <v>930</v>
      </c>
    </row>
    <row r="415" spans="3:3">
      <c r="C415" s="409" t="s">
        <v>674</v>
      </c>
    </row>
    <row r="416" spans="3:3">
      <c r="C416" s="409" t="s">
        <v>675</v>
      </c>
    </row>
    <row r="417" spans="3:3">
      <c r="C417" s="409" t="s">
        <v>931</v>
      </c>
    </row>
    <row r="418" spans="3:3">
      <c r="C418" s="409" t="s">
        <v>932</v>
      </c>
    </row>
    <row r="419" spans="3:3">
      <c r="C419" s="409" t="s">
        <v>933</v>
      </c>
    </row>
    <row r="421" spans="3:3">
      <c r="C421" s="409" t="s">
        <v>934</v>
      </c>
    </row>
    <row r="422" spans="3:3">
      <c r="C422" s="409" t="s">
        <v>675</v>
      </c>
    </row>
    <row r="424" spans="3:3">
      <c r="C424" s="409" t="s">
        <v>935</v>
      </c>
    </row>
    <row r="425" spans="3:3">
      <c r="C425" s="409" t="s">
        <v>936</v>
      </c>
    </row>
    <row r="426" spans="3:3">
      <c r="C426" s="409" t="s">
        <v>937</v>
      </c>
    </row>
    <row r="428" spans="3:3">
      <c r="C428" s="409" t="s">
        <v>938</v>
      </c>
    </row>
    <row r="429" spans="3:3">
      <c r="C429" s="409" t="s">
        <v>939</v>
      </c>
    </row>
    <row r="430" spans="3:3">
      <c r="C430" s="409" t="s">
        <v>940</v>
      </c>
    </row>
    <row r="431" spans="3:3">
      <c r="C431" s="409" t="s">
        <v>941</v>
      </c>
    </row>
    <row r="432" spans="3:3">
      <c r="C432" s="409" t="s">
        <v>942</v>
      </c>
    </row>
    <row r="434" spans="3:3">
      <c r="C434" s="409" t="s">
        <v>1046</v>
      </c>
    </row>
    <row r="435" spans="3:3">
      <c r="C435" s="409" t="s">
        <v>866</v>
      </c>
    </row>
    <row r="436" spans="3:3">
      <c r="C436" s="409" t="s">
        <v>808</v>
      </c>
    </row>
    <row r="437" spans="3:3">
      <c r="C437" s="409" t="s">
        <v>944</v>
      </c>
    </row>
    <row r="438" spans="3:3">
      <c r="C438" s="409" t="s">
        <v>1201</v>
      </c>
    </row>
    <row r="439" spans="3:3">
      <c r="C439" s="409" t="s">
        <v>1202</v>
      </c>
    </row>
    <row r="440" spans="3:3">
      <c r="C440" s="409" t="s">
        <v>947</v>
      </c>
    </row>
    <row r="441" spans="3:3">
      <c r="C441" s="409" t="s">
        <v>948</v>
      </c>
    </row>
    <row r="442" spans="3:3">
      <c r="C442" s="409" t="s">
        <v>949</v>
      </c>
    </row>
    <row r="444" spans="3:3">
      <c r="C444" s="409" t="s">
        <v>1203</v>
      </c>
    </row>
    <row r="445" spans="3:3">
      <c r="C445" s="409" t="s">
        <v>1204</v>
      </c>
    </row>
    <row r="447" spans="3:3">
      <c r="C447" s="409" t="s">
        <v>952</v>
      </c>
    </row>
    <row r="448" spans="3:3">
      <c r="C448" s="409" t="s">
        <v>1205</v>
      </c>
    </row>
    <row r="449" spans="3:3">
      <c r="C449" s="409" t="s">
        <v>1052</v>
      </c>
    </row>
    <row r="450" spans="3:3">
      <c r="C450" s="409" t="s">
        <v>808</v>
      </c>
    </row>
    <row r="451" spans="3:3">
      <c r="C451" s="409" t="s">
        <v>1206</v>
      </c>
    </row>
    <row r="452" spans="3:3">
      <c r="C452" s="409" t="s">
        <v>944</v>
      </c>
    </row>
    <row r="453" spans="3:3">
      <c r="C453" s="409" t="s">
        <v>1207</v>
      </c>
    </row>
    <row r="454" spans="3:3">
      <c r="C454" s="409" t="s">
        <v>1208</v>
      </c>
    </row>
    <row r="455" spans="3:3">
      <c r="C455" s="409" t="s">
        <v>947</v>
      </c>
    </row>
    <row r="456" spans="3:3">
      <c r="C456" s="409" t="s">
        <v>948</v>
      </c>
    </row>
    <row r="457" spans="3:3">
      <c r="C457" s="409" t="s">
        <v>949</v>
      </c>
    </row>
    <row r="459" spans="3:3">
      <c r="C459" s="409" t="s">
        <v>1209</v>
      </c>
    </row>
    <row r="460" spans="3:3">
      <c r="C460" s="409" t="s">
        <v>1210</v>
      </c>
    </row>
    <row r="462" spans="3:3">
      <c r="C462" s="409" t="s">
        <v>952</v>
      </c>
    </row>
    <row r="463" spans="3:3">
      <c r="C463" s="409" t="s">
        <v>1211</v>
      </c>
    </row>
    <row r="464" spans="3:3">
      <c r="C464" s="409" t="s">
        <v>1052</v>
      </c>
    </row>
    <row r="466" spans="3:3">
      <c r="C466" s="409" t="s">
        <v>962</v>
      </c>
    </row>
    <row r="467" spans="3:3">
      <c r="C467" s="409" t="s">
        <v>963</v>
      </c>
    </row>
    <row r="468" spans="3:3">
      <c r="C468" s="409" t="s">
        <v>964</v>
      </c>
    </row>
    <row r="469" spans="3:3">
      <c r="C469" s="409" t="s">
        <v>966</v>
      </c>
    </row>
    <row r="470" spans="3:3">
      <c r="C470" s="409" t="s">
        <v>967</v>
      </c>
    </row>
    <row r="471" spans="3:3">
      <c r="C471" s="409" t="s">
        <v>968</v>
      </c>
    </row>
    <row r="472" spans="3:3">
      <c r="C472" s="409" t="s">
        <v>969</v>
      </c>
    </row>
    <row r="473" spans="3:3">
      <c r="C473" s="409" t="s">
        <v>970</v>
      </c>
    </row>
    <row r="474" spans="3:3">
      <c r="C474" s="409" t="s">
        <v>971</v>
      </c>
    </row>
    <row r="475" spans="3:3">
      <c r="C475" s="409" t="s">
        <v>1212</v>
      </c>
    </row>
    <row r="476" spans="3:3">
      <c r="C476" s="409" t="s">
        <v>1116</v>
      </c>
    </row>
    <row r="477" spans="3:3">
      <c r="C477" s="412" t="s">
        <v>1213</v>
      </c>
    </row>
    <row r="478" spans="3:3">
      <c r="C478" s="409" t="s">
        <v>1214</v>
      </c>
    </row>
    <row r="479" spans="3:3">
      <c r="C479" s="409" t="s">
        <v>1215</v>
      </c>
    </row>
    <row r="480" spans="3:3">
      <c r="C480" s="409" t="s">
        <v>1216</v>
      </c>
    </row>
    <row r="481" spans="3:3">
      <c r="C481" s="409" t="s">
        <v>1217</v>
      </c>
    </row>
    <row r="482" spans="3:3">
      <c r="C482" s="409" t="s">
        <v>1218</v>
      </c>
    </row>
    <row r="483" spans="3:3">
      <c r="C483" s="409" t="s">
        <v>978</v>
      </c>
    </row>
    <row r="484" spans="3:3">
      <c r="C484" s="409" t="s">
        <v>979</v>
      </c>
    </row>
    <row r="485" spans="3:3">
      <c r="C485" s="409" t="s">
        <v>980</v>
      </c>
    </row>
    <row r="486" spans="3:3">
      <c r="C486" s="409" t="s">
        <v>981</v>
      </c>
    </row>
    <row r="487" spans="3:3">
      <c r="C487" s="409" t="s">
        <v>982</v>
      </c>
    </row>
    <row r="488" spans="3:3">
      <c r="C488" s="409" t="s">
        <v>983</v>
      </c>
    </row>
    <row r="489" spans="3:3">
      <c r="C489" s="409" t="s">
        <v>984</v>
      </c>
    </row>
    <row r="490" spans="3:3">
      <c r="C490" s="409" t="s">
        <v>985</v>
      </c>
    </row>
    <row r="491" spans="3:3">
      <c r="C491" s="409" t="s">
        <v>986</v>
      </c>
    </row>
    <row r="492" spans="3:3">
      <c r="C492" s="409" t="s">
        <v>987</v>
      </c>
    </row>
    <row r="493" spans="3:3">
      <c r="C493" s="409" t="s">
        <v>988</v>
      </c>
    </row>
    <row r="494" spans="3:3">
      <c r="C494" s="409" t="s">
        <v>1219</v>
      </c>
    </row>
    <row r="495" spans="3:3">
      <c r="C495" s="409" t="s">
        <v>857</v>
      </c>
    </row>
    <row r="496" spans="3:3">
      <c r="C496" s="409" t="s">
        <v>990</v>
      </c>
    </row>
    <row r="497" spans="3:3">
      <c r="C497" s="409" t="s">
        <v>991</v>
      </c>
    </row>
    <row r="498" spans="3:3">
      <c r="C498" s="409" t="s">
        <v>1220</v>
      </c>
    </row>
    <row r="499" spans="3:3">
      <c r="C499" s="409" t="s">
        <v>993</v>
      </c>
    </row>
    <row r="500" spans="3:3">
      <c r="C500" s="409" t="s">
        <v>994</v>
      </c>
    </row>
    <row r="501" spans="3:3">
      <c r="C501" s="409" t="s">
        <v>995</v>
      </c>
    </row>
    <row r="502" spans="3:3">
      <c r="C502" s="409" t="s">
        <v>996</v>
      </c>
    </row>
    <row r="503" spans="3:3">
      <c r="C503" s="409" t="s">
        <v>808</v>
      </c>
    </row>
    <row r="504" spans="3:3">
      <c r="C504" s="409" t="s">
        <v>808</v>
      </c>
    </row>
    <row r="505" spans="3:3">
      <c r="C505" s="409" t="s">
        <v>808</v>
      </c>
    </row>
    <row r="506" spans="3:3">
      <c r="C506" s="409" t="s">
        <v>1137</v>
      </c>
    </row>
    <row r="507" spans="3:3">
      <c r="C507" s="409" t="s">
        <v>1138</v>
      </c>
    </row>
    <row r="508" spans="3:3">
      <c r="C508" s="409" t="s">
        <v>1221</v>
      </c>
    </row>
    <row r="510" spans="3:3">
      <c r="C510" s="409" t="s">
        <v>1139</v>
      </c>
    </row>
    <row r="511" spans="3:3">
      <c r="C511" s="409" t="s">
        <v>1140</v>
      </c>
    </row>
    <row r="512" spans="3:3">
      <c r="C512" s="409" t="s">
        <v>1141</v>
      </c>
    </row>
    <row r="514" spans="3:3">
      <c r="C514" s="409" t="s">
        <v>1142</v>
      </c>
    </row>
    <row r="515" spans="3:3">
      <c r="C515" s="409" t="s">
        <v>1143</v>
      </c>
    </row>
    <row r="516" spans="3:3">
      <c r="C516" s="409" t="s">
        <v>1144</v>
      </c>
    </row>
    <row r="517" spans="3:3">
      <c r="C517" s="412" t="s">
        <v>1145</v>
      </c>
    </row>
    <row r="519" spans="3:3">
      <c r="C519" s="409" t="s">
        <v>1146</v>
      </c>
    </row>
    <row r="520" spans="3:3">
      <c r="C520" s="409" t="s">
        <v>1147</v>
      </c>
    </row>
    <row r="522" spans="3:3">
      <c r="C522" s="409" t="s">
        <v>1148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criptSheet"/>
  <dimension ref="A1:L180"/>
  <sheetViews>
    <sheetView zoomScale="85" zoomScaleNormal="85" workbookViewId="0">
      <selection activeCell="A2" sqref="A2"/>
    </sheetView>
  </sheetViews>
  <sheetFormatPr defaultColWidth="17.5703125" defaultRowHeight="15" customHeight="1"/>
  <cols>
    <col min="1" max="1" width="17.5703125" style="26" customWidth="1"/>
    <col min="2" max="2" width="10.28515625" style="26" bestFit="1" customWidth="1"/>
    <col min="3" max="3" width="24.7109375" style="27" bestFit="1" customWidth="1"/>
    <col min="4" max="4" width="23.42578125" style="27" bestFit="1" customWidth="1"/>
    <col min="5" max="5" width="34.5703125" style="74" customWidth="1"/>
    <col min="6" max="6" width="10.42578125" style="75" customWidth="1"/>
    <col min="7" max="7" width="10.42578125" style="29" bestFit="1" customWidth="1"/>
    <col min="8" max="8" width="10.42578125" style="30" bestFit="1" customWidth="1"/>
    <col min="9" max="12" width="10.42578125" style="26" bestFit="1" customWidth="1"/>
    <col min="13" max="14" width="17.5703125" style="26" customWidth="1"/>
    <col min="15" max="16384" width="17.5703125" style="26"/>
  </cols>
  <sheetData>
    <row r="1" spans="1:12" ht="15" customHeight="1" thickBot="1">
      <c r="D1" s="28"/>
      <c r="E1" s="28"/>
      <c r="F1" s="28"/>
    </row>
    <row r="2" spans="1:12" ht="15" customHeight="1" thickBot="1">
      <c r="A2" s="31" t="s">
        <v>1225</v>
      </c>
      <c r="B2" s="32" t="s">
        <v>1226</v>
      </c>
      <c r="C2" s="33"/>
      <c r="D2" s="34"/>
      <c r="E2" s="27"/>
      <c r="F2" s="27"/>
    </row>
    <row r="3" spans="1:12" ht="15" customHeight="1">
      <c r="A3" s="35" t="s">
        <v>1227</v>
      </c>
      <c r="B3" s="36"/>
      <c r="C3" s="105" t="s">
        <v>1228</v>
      </c>
      <c r="D3" s="36"/>
      <c r="E3" s="37"/>
      <c r="F3" s="38"/>
      <c r="H3" s="39"/>
      <c r="I3" s="39"/>
      <c r="J3" s="39"/>
      <c r="K3" s="39"/>
      <c r="L3" s="39"/>
    </row>
    <row r="4" spans="1:12" ht="15" customHeight="1">
      <c r="A4" s="40" t="s">
        <v>1229</v>
      </c>
      <c r="B4" s="104" t="s">
        <v>1230</v>
      </c>
      <c r="C4" s="106" t="s">
        <v>1231</v>
      </c>
      <c r="D4" s="41"/>
      <c r="E4" s="42"/>
      <c r="F4" s="38"/>
      <c r="H4" s="39" t="s">
        <v>1232</v>
      </c>
      <c r="I4" s="39"/>
      <c r="J4" s="39"/>
      <c r="K4" s="39"/>
      <c r="L4" s="39"/>
    </row>
    <row r="5" spans="1:12" ht="15" customHeight="1" thickBot="1">
      <c r="A5" s="40"/>
      <c r="B5" s="43"/>
      <c r="C5" s="43"/>
      <c r="D5" s="43"/>
      <c r="E5" s="44"/>
      <c r="F5" s="38"/>
      <c r="H5" s="39" t="s">
        <v>1230</v>
      </c>
      <c r="I5" s="39"/>
      <c r="J5" s="39"/>
      <c r="K5" s="39"/>
      <c r="L5" s="39"/>
    </row>
    <row r="6" spans="1:12" ht="15" customHeight="1">
      <c r="A6" s="45"/>
      <c r="B6" s="46"/>
      <c r="C6" s="47"/>
      <c r="D6" s="48" t="s">
        <v>1233</v>
      </c>
      <c r="E6" s="49">
        <v>1</v>
      </c>
      <c r="F6" s="38"/>
      <c r="H6" s="26"/>
    </row>
    <row r="7" spans="1:12" ht="15" customHeight="1">
      <c r="A7" s="50"/>
      <c r="B7" s="51"/>
      <c r="C7" s="52"/>
      <c r="D7" s="53" t="s">
        <v>1234</v>
      </c>
      <c r="E7" s="54" t="s">
        <v>1235</v>
      </c>
      <c r="F7" s="38"/>
      <c r="H7" s="26">
        <f>COUNTIF('Bending Stiffness'!A5:A15000,"&gt;0")+1</f>
        <v>25</v>
      </c>
      <c r="I7" s="27"/>
      <c r="J7" s="27"/>
      <c r="K7" s="27"/>
      <c r="L7" s="27"/>
    </row>
    <row r="8" spans="1:12" ht="15" customHeight="1">
      <c r="A8" s="55"/>
      <c r="B8" s="56" t="s">
        <v>1236</v>
      </c>
      <c r="C8" s="51" t="s">
        <v>1237</v>
      </c>
      <c r="D8" s="53" t="s">
        <v>1238</v>
      </c>
      <c r="E8" s="57">
        <f>Values!C8</f>
        <v>0.29076297180076899</v>
      </c>
      <c r="F8" s="38"/>
      <c r="H8" s="27"/>
      <c r="I8" s="27"/>
      <c r="J8" s="27"/>
      <c r="K8" s="27"/>
      <c r="L8" s="27"/>
    </row>
    <row r="9" spans="1:12" ht="15" customHeight="1">
      <c r="A9" s="55"/>
      <c r="B9" s="56" t="s">
        <v>1236</v>
      </c>
      <c r="C9" s="51" t="s">
        <v>1237</v>
      </c>
      <c r="D9" s="53" t="s">
        <v>1239</v>
      </c>
      <c r="E9" s="57">
        <f>Values!C9</f>
        <v>0.15996565064685772</v>
      </c>
      <c r="F9" s="38"/>
      <c r="H9" s="27"/>
      <c r="I9" s="27"/>
      <c r="J9" s="27"/>
      <c r="K9" s="27"/>
      <c r="L9" s="27"/>
    </row>
    <row r="10" spans="1:12" ht="15" customHeight="1">
      <c r="A10" s="55"/>
      <c r="B10" s="56" t="s">
        <v>1236</v>
      </c>
      <c r="C10" s="51" t="s">
        <v>1237</v>
      </c>
      <c r="D10" s="58" t="s">
        <v>1240</v>
      </c>
      <c r="E10" s="57">
        <f>Values!C4/1000</f>
        <v>0.16619999999999999</v>
      </c>
      <c r="F10" s="60"/>
      <c r="H10" s="61"/>
      <c r="I10" s="61"/>
      <c r="J10" s="61"/>
      <c r="K10" s="61"/>
      <c r="L10" s="61"/>
    </row>
    <row r="11" spans="1:12" ht="15" customHeight="1">
      <c r="A11" s="55"/>
      <c r="B11" s="56" t="s">
        <v>1236</v>
      </c>
      <c r="C11" s="51" t="s">
        <v>1237</v>
      </c>
      <c r="D11" s="62" t="s">
        <v>1241</v>
      </c>
      <c r="E11" s="57">
        <f>Values!C10/1000</f>
        <v>0.29133999999999999</v>
      </c>
      <c r="F11" s="60"/>
      <c r="H11" s="61"/>
      <c r="I11" s="61"/>
      <c r="J11" s="61"/>
      <c r="K11" s="61"/>
      <c r="L11" s="61"/>
    </row>
    <row r="12" spans="1:12" ht="15" customHeight="1">
      <c r="A12" s="55"/>
      <c r="B12" s="56" t="s">
        <v>1236</v>
      </c>
      <c r="C12" s="51" t="s">
        <v>1237</v>
      </c>
      <c r="D12" s="62" t="s">
        <v>1242</v>
      </c>
      <c r="E12" s="57">
        <f>Values!C10/1000</f>
        <v>0.29133999999999999</v>
      </c>
      <c r="F12" s="60"/>
      <c r="H12" s="61"/>
      <c r="I12" s="61"/>
      <c r="J12" s="61"/>
      <c r="K12" s="61"/>
      <c r="L12" s="61"/>
    </row>
    <row r="13" spans="1:12" ht="15" customHeight="1">
      <c r="A13" s="55"/>
      <c r="B13" s="56" t="s">
        <v>1236</v>
      </c>
      <c r="C13" s="51" t="s">
        <v>1237</v>
      </c>
      <c r="D13" s="62" t="s">
        <v>1243</v>
      </c>
      <c r="E13" s="57">
        <f>Values!C10/1000</f>
        <v>0.29133999999999999</v>
      </c>
      <c r="F13" s="60"/>
      <c r="H13" s="61"/>
      <c r="I13" s="61"/>
      <c r="J13" s="61"/>
      <c r="K13" s="61"/>
      <c r="L13" s="61"/>
    </row>
    <row r="14" spans="1:12" ht="15" customHeight="1">
      <c r="A14" s="55"/>
      <c r="B14" s="56"/>
      <c r="C14" s="56" t="s">
        <v>1236</v>
      </c>
      <c r="D14" s="58" t="s">
        <v>1244</v>
      </c>
      <c r="E14" s="59">
        <f>('MCV e Guindaste'!O17)-160-100-40-10-E15-E19-E50</f>
        <v>1922</v>
      </c>
      <c r="F14" s="60"/>
      <c r="H14" s="61"/>
      <c r="I14" s="61"/>
      <c r="J14" s="61"/>
      <c r="K14" s="61"/>
      <c r="L14" s="61"/>
    </row>
    <row r="15" spans="1:12" ht="15" customHeight="1">
      <c r="A15" s="55"/>
      <c r="B15" s="56"/>
      <c r="C15" s="56" t="s">
        <v>1236</v>
      </c>
      <c r="D15" s="58" t="s">
        <v>1245</v>
      </c>
      <c r="E15" s="80">
        <f>Values!C18/1000</f>
        <v>5.7809999999999997</v>
      </c>
      <c r="F15" s="60"/>
      <c r="H15" s="61"/>
      <c r="I15" s="61"/>
      <c r="J15" s="61"/>
      <c r="K15" s="61"/>
      <c r="L15" s="61"/>
    </row>
    <row r="16" spans="1:12" ht="15" customHeight="1">
      <c r="A16" s="55"/>
      <c r="B16" s="56" t="s">
        <v>1236</v>
      </c>
      <c r="C16" s="51" t="s">
        <v>1246</v>
      </c>
      <c r="D16" s="53" t="s">
        <v>1238</v>
      </c>
      <c r="E16" s="57">
        <f>Values!C23</f>
        <v>0.37592807806225836</v>
      </c>
      <c r="F16" s="60"/>
      <c r="H16" s="61"/>
      <c r="I16" s="61"/>
      <c r="J16" s="61"/>
      <c r="K16" s="61"/>
      <c r="L16" s="61"/>
    </row>
    <row r="17" spans="1:12" ht="15" customHeight="1">
      <c r="A17" s="55"/>
      <c r="B17" s="56" t="s">
        <v>1236</v>
      </c>
      <c r="C17" s="51" t="s">
        <v>1246</v>
      </c>
      <c r="D17" s="53" t="s">
        <v>1239</v>
      </c>
      <c r="E17" s="338">
        <f>Values!C25/1000</f>
        <v>0.313</v>
      </c>
      <c r="F17" s="60"/>
      <c r="H17" s="61"/>
      <c r="I17" s="61"/>
      <c r="J17" s="61"/>
      <c r="K17" s="61"/>
      <c r="L17" s="61"/>
    </row>
    <row r="18" spans="1:12" ht="15" customHeight="1">
      <c r="A18" s="55"/>
      <c r="B18" s="56" t="s">
        <v>1236</v>
      </c>
      <c r="C18" s="51" t="s">
        <v>1246</v>
      </c>
      <c r="D18" s="58" t="s">
        <v>1240</v>
      </c>
      <c r="E18" s="57">
        <f>Values!C21</f>
        <v>0.26846566338003808</v>
      </c>
      <c r="F18" s="60"/>
      <c r="H18" s="61"/>
      <c r="I18" s="61"/>
      <c r="J18" s="61"/>
      <c r="K18" s="61"/>
      <c r="L18" s="61"/>
    </row>
    <row r="19" spans="1:12" ht="15" customHeight="1">
      <c r="A19" s="55"/>
      <c r="B19" s="56"/>
      <c r="C19" s="56" t="s">
        <v>1236</v>
      </c>
      <c r="D19" s="58" t="s">
        <v>1247</v>
      </c>
      <c r="E19" s="79">
        <f>Values!C37/1000</f>
        <v>2.2189999999999999</v>
      </c>
      <c r="F19" s="60"/>
      <c r="H19" s="61"/>
      <c r="I19" s="61"/>
      <c r="J19" s="61"/>
      <c r="K19" s="61"/>
      <c r="L19" s="61"/>
    </row>
    <row r="20" spans="1:12" ht="15" customHeight="1">
      <c r="A20" s="55"/>
      <c r="B20" s="56" t="s">
        <v>1236</v>
      </c>
      <c r="C20" s="51" t="s">
        <v>1248</v>
      </c>
      <c r="D20" s="53" t="s">
        <v>1238</v>
      </c>
      <c r="E20" s="57">
        <f>Values!C42</f>
        <v>0.46090827946403307</v>
      </c>
      <c r="F20" s="60"/>
      <c r="H20" s="61"/>
      <c r="I20" s="61"/>
      <c r="J20" s="61"/>
      <c r="K20" s="61"/>
      <c r="L20" s="61"/>
    </row>
    <row r="21" spans="1:12" ht="15" customHeight="1">
      <c r="A21" s="55"/>
      <c r="B21" s="56" t="s">
        <v>1236</v>
      </c>
      <c r="C21" s="51" t="s">
        <v>1248</v>
      </c>
      <c r="D21" s="53" t="s">
        <v>1239</v>
      </c>
      <c r="E21" s="57">
        <f>Values!C44/1000</f>
        <v>0.15240000000000001</v>
      </c>
      <c r="F21" s="60"/>
      <c r="H21" s="61"/>
      <c r="I21" s="61"/>
      <c r="J21" s="61"/>
      <c r="K21" s="61"/>
      <c r="L21" s="61"/>
    </row>
    <row r="22" spans="1:12" ht="15" customHeight="1">
      <c r="A22" s="55"/>
      <c r="B22" s="56" t="s">
        <v>1236</v>
      </c>
      <c r="C22" s="51" t="s">
        <v>1248</v>
      </c>
      <c r="D22" s="58" t="s">
        <v>1240</v>
      </c>
      <c r="E22" s="57">
        <f>Values!C40</f>
        <v>1.1716989634970709</v>
      </c>
      <c r="F22" s="60"/>
      <c r="H22" s="61"/>
      <c r="I22" s="61"/>
      <c r="J22" s="61"/>
      <c r="K22" s="61"/>
      <c r="L22" s="61"/>
    </row>
    <row r="23" spans="1:12" ht="15" customHeight="1">
      <c r="A23" s="55"/>
      <c r="B23" s="56" t="s">
        <v>1236</v>
      </c>
      <c r="C23" s="51" t="s">
        <v>1237</v>
      </c>
      <c r="D23" s="62" t="s">
        <v>1249</v>
      </c>
      <c r="E23" s="57">
        <f>Values!C17</f>
        <v>563380</v>
      </c>
      <c r="F23" s="60"/>
      <c r="H23" s="61"/>
      <c r="I23" s="61"/>
      <c r="J23" s="61"/>
      <c r="K23" s="61"/>
      <c r="L23" s="61"/>
    </row>
    <row r="24" spans="1:12" ht="15" customHeight="1">
      <c r="A24" s="55"/>
      <c r="B24" s="56" t="s">
        <v>1236</v>
      </c>
      <c r="C24" s="51" t="s">
        <v>1246</v>
      </c>
      <c r="D24" s="62" t="s">
        <v>1249</v>
      </c>
      <c r="E24" s="81">
        <f>Values!C31</f>
        <v>10</v>
      </c>
      <c r="F24" s="60"/>
      <c r="H24" s="61"/>
      <c r="I24" s="61"/>
      <c r="J24" s="61"/>
      <c r="K24" s="61"/>
      <c r="L24" s="61"/>
    </row>
    <row r="25" spans="1:12" ht="15" customHeight="1">
      <c r="A25" s="55"/>
      <c r="B25" s="56" t="s">
        <v>1236</v>
      </c>
      <c r="C25" s="51" t="s">
        <v>1248</v>
      </c>
      <c r="D25" s="62" t="s">
        <v>1250</v>
      </c>
      <c r="E25" s="81">
        <f>Values!C46</f>
        <v>78816.727166176031</v>
      </c>
      <c r="F25" s="60"/>
      <c r="H25" s="61"/>
      <c r="I25" s="61"/>
      <c r="J25" s="61"/>
      <c r="K25" s="61"/>
      <c r="L25" s="61"/>
    </row>
    <row r="26" spans="1:12" ht="15" customHeight="1">
      <c r="A26" s="55"/>
      <c r="B26" s="56" t="s">
        <v>1236</v>
      </c>
      <c r="C26" s="51" t="s">
        <v>1248</v>
      </c>
      <c r="D26" s="62" t="s">
        <v>1249</v>
      </c>
      <c r="E26" s="57">
        <f>Values!C47</f>
        <v>11032094.014109271</v>
      </c>
      <c r="F26" s="60"/>
      <c r="H26" s="61"/>
      <c r="I26" s="61"/>
      <c r="J26" s="61"/>
      <c r="K26" s="61"/>
      <c r="L26" s="61"/>
    </row>
    <row r="27" spans="1:12" ht="15" customHeight="1">
      <c r="A27" s="55"/>
      <c r="B27" s="56" t="s">
        <v>1236</v>
      </c>
      <c r="C27" s="51" t="s">
        <v>1237</v>
      </c>
      <c r="D27" s="62" t="s">
        <v>1251</v>
      </c>
      <c r="E27" s="79">
        <f>Values!C13</f>
        <v>2.4</v>
      </c>
      <c r="F27" s="60"/>
      <c r="H27" s="61"/>
      <c r="I27" s="61"/>
      <c r="J27" s="61"/>
      <c r="K27" s="61"/>
      <c r="L27" s="61"/>
    </row>
    <row r="28" spans="1:12" ht="15" customHeight="1">
      <c r="A28" s="55"/>
      <c r="B28" s="56" t="s">
        <v>1236</v>
      </c>
      <c r="C28" s="51" t="s">
        <v>1246</v>
      </c>
      <c r="D28" s="62" t="s">
        <v>1251</v>
      </c>
      <c r="E28" s="79">
        <f>Values!C27</f>
        <v>4.1399999999999997</v>
      </c>
      <c r="F28" s="60"/>
      <c r="H28" s="61"/>
      <c r="I28" s="61"/>
      <c r="J28" s="61"/>
      <c r="K28" s="61"/>
      <c r="L28" s="61"/>
    </row>
    <row r="29" spans="1:12" ht="15" customHeight="1">
      <c r="A29" s="55"/>
      <c r="B29" s="56" t="s">
        <v>1236</v>
      </c>
      <c r="C29" s="51" t="s">
        <v>1248</v>
      </c>
      <c r="D29" s="62" t="s">
        <v>1251</v>
      </c>
      <c r="E29" s="79">
        <f>Values!C27</f>
        <v>4.1399999999999997</v>
      </c>
      <c r="F29" s="60"/>
      <c r="H29" s="61"/>
      <c r="I29" s="61"/>
      <c r="J29" s="61"/>
      <c r="K29" s="61"/>
      <c r="L29" s="61"/>
    </row>
    <row r="30" spans="1:12" ht="15" customHeight="1">
      <c r="A30" s="55"/>
      <c r="B30" s="56" t="s">
        <v>1236</v>
      </c>
      <c r="C30" s="51" t="s">
        <v>1246</v>
      </c>
      <c r="D30" s="62" t="s">
        <v>1242</v>
      </c>
      <c r="E30" s="79">
        <f>Values!C26/1000</f>
        <v>0.33800000000000002</v>
      </c>
      <c r="F30" s="60"/>
      <c r="H30" s="61"/>
      <c r="I30" s="61"/>
      <c r="J30" s="61"/>
      <c r="K30" s="61"/>
      <c r="L30" s="61"/>
    </row>
    <row r="31" spans="1:12" ht="15" customHeight="1">
      <c r="A31" s="55"/>
      <c r="B31" s="56" t="s">
        <v>1236</v>
      </c>
      <c r="C31" s="51" t="s">
        <v>1248</v>
      </c>
      <c r="D31" s="62" t="s">
        <v>1242</v>
      </c>
      <c r="E31" s="79">
        <f>Values!C45/1000</f>
        <v>0.59</v>
      </c>
      <c r="F31" s="60"/>
      <c r="H31" s="61"/>
      <c r="I31" s="61"/>
      <c r="J31" s="61"/>
      <c r="K31" s="61"/>
      <c r="L31" s="61"/>
    </row>
    <row r="32" spans="1:12" ht="15" customHeight="1">
      <c r="A32" s="55"/>
      <c r="B32" s="56" t="s">
        <v>1236</v>
      </c>
      <c r="C32" s="51" t="s">
        <v>1246</v>
      </c>
      <c r="D32" s="62" t="s">
        <v>1243</v>
      </c>
      <c r="E32" s="79">
        <f>Values!C26/1000</f>
        <v>0.33800000000000002</v>
      </c>
      <c r="F32" s="60"/>
      <c r="H32" s="61"/>
      <c r="I32" s="61"/>
      <c r="J32" s="61"/>
      <c r="K32" s="61"/>
      <c r="L32" s="61"/>
    </row>
    <row r="33" spans="1:12" ht="15" customHeight="1">
      <c r="A33" s="55"/>
      <c r="B33" s="56" t="s">
        <v>1236</v>
      </c>
      <c r="C33" s="51" t="s">
        <v>1248</v>
      </c>
      <c r="D33" s="62" t="s">
        <v>1243</v>
      </c>
      <c r="E33" s="79">
        <f>Values!C45/1000</f>
        <v>0.59</v>
      </c>
      <c r="F33" s="60"/>
      <c r="H33" s="61"/>
      <c r="I33" s="61"/>
      <c r="J33" s="61"/>
      <c r="K33" s="61"/>
      <c r="L33" s="61"/>
    </row>
    <row r="34" spans="1:12" ht="15" customHeight="1">
      <c r="A34" s="55"/>
      <c r="B34" s="56" t="s">
        <v>1236</v>
      </c>
      <c r="C34" s="51" t="s">
        <v>1246</v>
      </c>
      <c r="D34" s="62" t="s">
        <v>1241</v>
      </c>
      <c r="E34" s="79">
        <f>Values!C26/1000</f>
        <v>0.33800000000000002</v>
      </c>
      <c r="F34" s="60"/>
      <c r="H34" s="61"/>
      <c r="I34" s="61"/>
      <c r="J34" s="61"/>
      <c r="K34" s="61"/>
      <c r="L34" s="61"/>
    </row>
    <row r="35" spans="1:12" ht="15" customHeight="1">
      <c r="A35" s="55"/>
      <c r="B35" s="56" t="s">
        <v>1236</v>
      </c>
      <c r="C35" s="51" t="s">
        <v>1248</v>
      </c>
      <c r="D35" s="62" t="s">
        <v>1241</v>
      </c>
      <c r="E35" s="79">
        <f>Values!C45/1000</f>
        <v>0.59</v>
      </c>
      <c r="F35" s="60"/>
      <c r="H35" s="61"/>
      <c r="I35" s="61"/>
      <c r="J35" s="61"/>
      <c r="K35" s="61"/>
      <c r="L35" s="61"/>
    </row>
    <row r="36" spans="1:12" ht="15" customHeight="1">
      <c r="A36" s="55"/>
      <c r="B36" s="56" t="s">
        <v>1236</v>
      </c>
      <c r="C36" s="51" t="s">
        <v>1246</v>
      </c>
      <c r="D36" s="62" t="s">
        <v>1252</v>
      </c>
      <c r="E36" s="79">
        <f>Values!C32</f>
        <v>10</v>
      </c>
      <c r="F36" s="60"/>
      <c r="H36" s="61"/>
      <c r="I36" s="61"/>
      <c r="J36" s="61"/>
      <c r="K36" s="61"/>
      <c r="L36" s="61"/>
    </row>
    <row r="37" spans="1:12" ht="15" customHeight="1">
      <c r="A37" s="55"/>
      <c r="B37" s="56" t="s">
        <v>1236</v>
      </c>
      <c r="C37" s="51" t="s">
        <v>1248</v>
      </c>
      <c r="D37" s="62" t="s">
        <v>1252</v>
      </c>
      <c r="E37" s="57">
        <f>Values!C48</f>
        <v>60628.251666289267</v>
      </c>
      <c r="F37" s="60"/>
      <c r="H37" s="61"/>
      <c r="I37" s="61"/>
      <c r="J37" s="61"/>
      <c r="K37" s="61"/>
      <c r="L37" s="61"/>
    </row>
    <row r="38" spans="1:12" ht="15" customHeight="1">
      <c r="A38" s="55"/>
      <c r="B38" s="56" t="s">
        <v>1236</v>
      </c>
      <c r="C38" s="51" t="s">
        <v>1237</v>
      </c>
      <c r="D38" s="62" t="s">
        <v>1252</v>
      </c>
      <c r="E38" s="57">
        <f>Values!C15</f>
        <v>1685</v>
      </c>
      <c r="F38" s="60"/>
      <c r="H38" s="61"/>
      <c r="I38" s="61"/>
      <c r="J38" s="61"/>
      <c r="K38" s="61"/>
      <c r="L38" s="61"/>
    </row>
    <row r="39" spans="1:12" ht="15" customHeight="1">
      <c r="A39" s="55"/>
      <c r="B39" s="56" t="str">
        <f>IF(Values!$A$51="","","Select Line")</f>
        <v/>
      </c>
      <c r="C39" s="51" t="str">
        <f>IF(Values!$A$51="","Select Line","Select Adaptador")</f>
        <v>Select Line</v>
      </c>
      <c r="D39" s="53" t="str">
        <f>IF(Values!$A$51="","NumberOfSections =","OD =")</f>
        <v>NumberOfSections =</v>
      </c>
      <c r="E39" s="79" t="str">
        <f>IF(Values!$A$51="","7",Values!C54)</f>
        <v>7</v>
      </c>
      <c r="F39" s="60"/>
      <c r="H39" s="61"/>
      <c r="I39" s="61"/>
      <c r="J39" s="61"/>
      <c r="K39" s="61"/>
      <c r="L39" s="61"/>
    </row>
    <row r="40" spans="1:12" ht="15" customHeight="1">
      <c r="A40" s="55"/>
      <c r="B40" s="56" t="str">
        <f>IF(Values!$A$51="","","Select Line")</f>
        <v/>
      </c>
      <c r="C40" s="51" t="str">
        <f>IF(Values!$A$51="","Select Line","Select Adaptador")</f>
        <v>Select Line</v>
      </c>
      <c r="D40" s="53" t="str">
        <f>IF(Values!$A$51="","NumberOfSections =","ID =")</f>
        <v>NumberOfSections =</v>
      </c>
      <c r="E40" s="79" t="str">
        <f>IF(Values!$A$51="","7",Values!C56/1000)</f>
        <v>7</v>
      </c>
      <c r="F40" s="60"/>
      <c r="H40" s="61"/>
      <c r="I40" s="61"/>
      <c r="J40" s="61"/>
      <c r="K40" s="61"/>
      <c r="L40" s="61"/>
    </row>
    <row r="41" spans="1:12" ht="15" customHeight="1">
      <c r="A41" s="55"/>
      <c r="B41" s="56" t="str">
        <f>IF(Values!$A$51="","","Select Line")</f>
        <v/>
      </c>
      <c r="C41" s="51" t="str">
        <f>IF(Values!$A$51="","Select Line","Select Adaptador")</f>
        <v>Select Line</v>
      </c>
      <c r="D41" s="58" t="str">
        <f>IF(Values!$A$51="","NumberOfSections =","MassPerUnitLength =")</f>
        <v>NumberOfSections =</v>
      </c>
      <c r="E41" s="79" t="str">
        <f>IF(Values!$A$51="","7",Values!C52)</f>
        <v>7</v>
      </c>
      <c r="F41" s="60"/>
      <c r="H41" s="61"/>
      <c r="I41" s="61"/>
      <c r="J41" s="61"/>
      <c r="K41" s="61"/>
      <c r="L41" s="61"/>
    </row>
    <row r="42" spans="1:12" ht="15" customHeight="1">
      <c r="A42" s="55"/>
      <c r="B42" s="56" t="str">
        <f>IF(Values!$A$51="","","Select Line")</f>
        <v/>
      </c>
      <c r="C42" s="51" t="str">
        <f>IF(Values!$A$51="","Select Line","Select Adaptador")</f>
        <v>Select Line</v>
      </c>
      <c r="D42" s="62" t="str">
        <f>IF(Values!$A$51="","NumberOfSections =","EIx =")</f>
        <v>NumberOfSections =</v>
      </c>
      <c r="E42" s="79" t="str">
        <f>IF(Values!$A$51="","7",Values!C58)</f>
        <v>7</v>
      </c>
      <c r="F42" s="60"/>
      <c r="H42" s="61"/>
      <c r="I42" s="61"/>
      <c r="J42" s="61"/>
      <c r="K42" s="61"/>
      <c r="L42" s="61"/>
    </row>
    <row r="43" spans="1:12" ht="15" customHeight="1">
      <c r="A43" s="55"/>
      <c r="B43" s="56" t="str">
        <f>IF(Values!$A$51="","","Select Line")</f>
        <v/>
      </c>
      <c r="C43" s="51" t="str">
        <f>IF(Values!$A$51="","Select Line","Select Adaptador")</f>
        <v>Select Line</v>
      </c>
      <c r="D43" s="62" t="str">
        <f>IF(Values!$A$51="","NumberOfSections =","EA =")</f>
        <v>NumberOfSections =</v>
      </c>
      <c r="E43" s="79" t="str">
        <f>IF(Values!$A$51="","7",Values!C59)</f>
        <v>7</v>
      </c>
      <c r="F43" s="60"/>
      <c r="H43" s="61"/>
      <c r="I43" s="61"/>
      <c r="J43" s="61"/>
      <c r="K43" s="61"/>
      <c r="L43" s="61"/>
    </row>
    <row r="44" spans="1:12" ht="15" customHeight="1">
      <c r="A44" s="55"/>
      <c r="B44" s="56" t="str">
        <f>IF(Values!$A$51="","","Select Line")</f>
        <v/>
      </c>
      <c r="C44" s="51" t="str">
        <f>IF(Values!$A$51="","Select Line","Select Adaptador")</f>
        <v>Select Line</v>
      </c>
      <c r="D44" s="62" t="str">
        <f>IF(Values!$A$51="","NumberOfSections =","xMinRadius =")</f>
        <v>NumberOfSections =</v>
      </c>
      <c r="E44" s="79" t="str">
        <f>IF(Values!$A$51="","7",Values!C27)</f>
        <v>7</v>
      </c>
      <c r="F44" s="60"/>
      <c r="H44" s="61"/>
      <c r="I44" s="61"/>
      <c r="J44" s="61"/>
      <c r="K44" s="61"/>
      <c r="L44" s="61"/>
    </row>
    <row r="45" spans="1:12" ht="15" customHeight="1">
      <c r="A45" s="55"/>
      <c r="B45" s="56" t="str">
        <f>IF(Values!$A$51="","","Select Line")</f>
        <v/>
      </c>
      <c r="C45" s="51" t="str">
        <f>IF(Values!$A$51="","Select Line","Select Adaptador")</f>
        <v>Select Line</v>
      </c>
      <c r="D45" s="62" t="str">
        <f>IF(Values!$A$51="","NumberOfSections =","NormalDragLiftDiameter =")</f>
        <v>NumberOfSections =</v>
      </c>
      <c r="E45" s="79" t="str">
        <f>IF(Values!$A$51="","7",Values!C57/1000)</f>
        <v>7</v>
      </c>
      <c r="F45" s="60"/>
      <c r="H45" s="61"/>
      <c r="I45" s="61"/>
      <c r="J45" s="61"/>
      <c r="K45" s="61"/>
      <c r="L45" s="61"/>
    </row>
    <row r="46" spans="1:12" ht="15" customHeight="1">
      <c r="A46" s="55"/>
      <c r="B46" s="56" t="str">
        <f>IF(Values!$A$51="","","Select Line")</f>
        <v/>
      </c>
      <c r="C46" s="51" t="str">
        <f>IF(Values!$A$51="","Select Line","Select Adaptador")</f>
        <v>Select Line</v>
      </c>
      <c r="D46" s="62" t="str">
        <f>IF(Values!$A$51="","NumberOfSections =","AxialDragLiftDiameter =")</f>
        <v>NumberOfSections =</v>
      </c>
      <c r="E46" s="79" t="str">
        <f>IF(Values!$A$51="","7",Values!C57/1000)</f>
        <v>7</v>
      </c>
      <c r="F46" s="60"/>
      <c r="H46" s="61"/>
      <c r="I46" s="61"/>
      <c r="J46" s="61"/>
      <c r="K46" s="61"/>
      <c r="L46" s="61"/>
    </row>
    <row r="47" spans="1:12" ht="15" customHeight="1">
      <c r="A47" s="55"/>
      <c r="B47" s="56" t="str">
        <f>IF(Values!$A$51="","","Select Line")</f>
        <v/>
      </c>
      <c r="C47" s="51" t="str">
        <f>IF(Values!$A$51="","Select Line","Select Adaptador")</f>
        <v>Select Line</v>
      </c>
      <c r="D47" s="62" t="str">
        <f>IF(Values!$A$51="","NumberOfSections =","ContactDiameter =")</f>
        <v>NumberOfSections =</v>
      </c>
      <c r="E47" s="79" t="str">
        <f>IF(Values!$A$51="","7",Values!C57/1000)</f>
        <v>7</v>
      </c>
      <c r="F47" s="60"/>
      <c r="H47" s="61"/>
      <c r="I47" s="61"/>
      <c r="J47" s="61"/>
      <c r="K47" s="61"/>
      <c r="L47" s="61"/>
    </row>
    <row r="48" spans="1:12" ht="15" customHeight="1">
      <c r="A48" s="55"/>
      <c r="B48" s="56" t="str">
        <f>IF(Values!$A$51="","","Select Line")</f>
        <v/>
      </c>
      <c r="C48" s="51" t="str">
        <f>IF(Values!$A$51="","Select Line","Select Adaptador")</f>
        <v>Select Line</v>
      </c>
      <c r="D48" s="62" t="str">
        <f>IF(Values!$A$51="","NumberOfSections =","GJ =")</f>
        <v>NumberOfSections =</v>
      </c>
      <c r="E48" s="79" t="str">
        <f>IF(Values!$A$51="","7",Values!C60)</f>
        <v>7</v>
      </c>
      <c r="F48" s="60"/>
      <c r="H48" s="61"/>
      <c r="I48" s="61"/>
      <c r="J48" s="61"/>
      <c r="K48" s="61"/>
      <c r="L48" s="61"/>
    </row>
    <row r="49" spans="1:12" ht="15" customHeight="1">
      <c r="A49" s="55"/>
      <c r="B49" s="56"/>
      <c r="C49" s="51" t="str">
        <f>IF(Values!$A$51="","Select Line","Select Adaptador")</f>
        <v>Select Line</v>
      </c>
      <c r="D49" s="62" t="str">
        <f>IF(Values!$A$51="","NumberOfSections =","Name =")</f>
        <v>NumberOfSections =</v>
      </c>
      <c r="E49" s="79" t="str">
        <f>IF(Values!$A$51="","7",SUBSTITUTE(Values!A51," ","_"))</f>
        <v>7</v>
      </c>
      <c r="F49" s="60"/>
      <c r="H49" s="61"/>
      <c r="I49" s="61"/>
      <c r="J49" s="61"/>
      <c r="K49" s="61"/>
      <c r="L49" s="61"/>
    </row>
    <row r="50" spans="1:12" ht="15" customHeight="1">
      <c r="A50" s="55"/>
      <c r="B50" s="56"/>
      <c r="C50" s="56" t="s">
        <v>1236</v>
      </c>
      <c r="D50" s="58" t="str">
        <f>IF(Values!$A$51="","Attachmentz[1] =","Length[8] =")</f>
        <v>Attachmentz[1] =</v>
      </c>
      <c r="E50" s="79" t="str">
        <f>IF(Values!$A$51="","0",Values!C49/1000)</f>
        <v>0</v>
      </c>
      <c r="F50" s="60"/>
      <c r="H50" s="61"/>
      <c r="I50" s="61"/>
      <c r="J50" s="61"/>
      <c r="K50" s="61"/>
      <c r="L50" s="61"/>
    </row>
    <row r="51" spans="1:12" ht="15" customHeight="1">
      <c r="A51" s="55"/>
      <c r="B51" s="65"/>
      <c r="C51" s="56" t="s">
        <v>1236</v>
      </c>
      <c r="D51" s="58" t="s">
        <v>1253</v>
      </c>
      <c r="E51" s="79">
        <f>E50+Values!C37/1000</f>
        <v>2.2189999999999999</v>
      </c>
      <c r="F51" s="60"/>
      <c r="H51" s="61"/>
      <c r="I51" s="61"/>
      <c r="J51" s="61"/>
      <c r="K51" s="61"/>
      <c r="L51" s="61"/>
    </row>
    <row r="52" spans="1:12" ht="15" customHeight="1">
      <c r="A52" s="55"/>
      <c r="B52" s="65"/>
      <c r="C52" s="65" t="s">
        <v>1254</v>
      </c>
      <c r="D52" s="62" t="s">
        <v>1255</v>
      </c>
      <c r="E52" s="76">
        <f>'MCV e Guindaste'!C18/1000</f>
        <v>5.0430000000000001</v>
      </c>
      <c r="F52" s="60"/>
      <c r="H52" s="61"/>
      <c r="I52" s="61"/>
      <c r="J52" s="61"/>
      <c r="K52" s="61"/>
      <c r="L52" s="61"/>
    </row>
    <row r="53" spans="1:12" ht="15" customHeight="1">
      <c r="A53" s="55"/>
      <c r="B53" s="65"/>
      <c r="C53" s="65" t="s">
        <v>1254</v>
      </c>
      <c r="D53" s="62" t="s">
        <v>1256</v>
      </c>
      <c r="E53" s="76">
        <f>('MCV e Guindaste'!B13/1000)+('MCV e Guindaste'!B9/1000)</f>
        <v>2.5389999999999997</v>
      </c>
      <c r="F53" s="60"/>
      <c r="H53" s="61"/>
      <c r="I53" s="61"/>
      <c r="J53" s="61"/>
      <c r="K53" s="61"/>
      <c r="L53" s="61"/>
    </row>
    <row r="54" spans="1:12" ht="15" customHeight="1">
      <c r="A54" s="64"/>
      <c r="B54" s="65"/>
      <c r="C54" s="65" t="s">
        <v>1254</v>
      </c>
      <c r="D54" s="62" t="s">
        <v>1257</v>
      </c>
      <c r="E54" s="63">
        <f>('MCV e Guindaste'!C27*(-1))</f>
        <v>-2238.2269999999999</v>
      </c>
      <c r="F54" s="60"/>
      <c r="H54" s="61"/>
      <c r="I54" s="61"/>
      <c r="J54" s="61"/>
      <c r="K54" s="61"/>
      <c r="L54" s="61"/>
    </row>
    <row r="55" spans="1:12" ht="15" customHeight="1">
      <c r="A55" s="66"/>
      <c r="B55" s="65"/>
      <c r="C55" s="65" t="s">
        <v>1254</v>
      </c>
      <c r="D55" s="62" t="s">
        <v>1258</v>
      </c>
      <c r="E55" s="77">
        <f>'MCV e Guindaste'!C22</f>
        <v>-2.5000000000000022E-2</v>
      </c>
      <c r="F55" s="67"/>
      <c r="H55" s="61"/>
      <c r="I55" s="61"/>
      <c r="J55" s="61"/>
      <c r="K55" s="61"/>
      <c r="L55" s="61"/>
    </row>
    <row r="56" spans="1:12" ht="15" customHeight="1">
      <c r="A56" s="66"/>
      <c r="B56" s="65"/>
      <c r="C56" s="65" t="s">
        <v>1254</v>
      </c>
      <c r="D56" s="62" t="s">
        <v>1259</v>
      </c>
      <c r="E56" s="77">
        <f>'MCV e Guindaste'!C21</f>
        <v>1.3559999999999999</v>
      </c>
      <c r="F56" s="67"/>
      <c r="H56" s="61"/>
      <c r="I56" s="61"/>
      <c r="J56" s="61"/>
      <c r="K56" s="61"/>
      <c r="L56" s="61"/>
    </row>
    <row r="57" spans="1:12" ht="15" customHeight="1">
      <c r="A57" s="66"/>
      <c r="B57" s="65"/>
      <c r="C57" s="65" t="s">
        <v>1254</v>
      </c>
      <c r="D57" s="62" t="s">
        <v>1260</v>
      </c>
      <c r="E57" s="77">
        <f>'MCV e Guindaste'!C22</f>
        <v>-2.5000000000000022E-2</v>
      </c>
      <c r="F57" s="67"/>
      <c r="H57" s="61"/>
      <c r="I57" s="61"/>
      <c r="J57" s="61"/>
      <c r="K57" s="61"/>
      <c r="L57" s="61"/>
    </row>
    <row r="58" spans="1:12" ht="15" customHeight="1">
      <c r="A58" s="66"/>
      <c r="B58" s="65"/>
      <c r="C58" s="65" t="s">
        <v>1254</v>
      </c>
      <c r="D58" s="62" t="s">
        <v>1261</v>
      </c>
      <c r="E58" s="77">
        <f>'MCV e Guindaste'!C21</f>
        <v>1.3559999999999999</v>
      </c>
      <c r="F58" s="67"/>
      <c r="H58" s="61"/>
      <c r="I58" s="61"/>
      <c r="J58" s="61"/>
      <c r="K58" s="61"/>
      <c r="L58" s="61"/>
    </row>
    <row r="59" spans="1:12" ht="15" customHeight="1">
      <c r="A59" s="64"/>
      <c r="B59" s="65"/>
      <c r="C59" s="65" t="s">
        <v>1236</v>
      </c>
      <c r="D59" s="62" t="s">
        <v>1262</v>
      </c>
      <c r="E59" s="78">
        <f>'MCV e Guindaste'!C26</f>
        <v>0.83899999999999997</v>
      </c>
      <c r="F59" s="60"/>
      <c r="H59" s="61"/>
      <c r="I59" s="61"/>
      <c r="J59" s="61"/>
      <c r="K59" s="61"/>
      <c r="L59" s="61"/>
    </row>
    <row r="60" spans="1:12" ht="15" customHeight="1">
      <c r="A60" s="64"/>
      <c r="B60" s="65"/>
      <c r="C60" s="65" t="s">
        <v>1236</v>
      </c>
      <c r="D60" s="62" t="s">
        <v>1263</v>
      </c>
      <c r="E60" s="78">
        <f>'MCV e Guindaste'!C25</f>
        <v>2.0369999999999999</v>
      </c>
      <c r="F60" s="60"/>
      <c r="H60" s="61"/>
      <c r="I60" s="61"/>
      <c r="J60" s="61"/>
      <c r="K60" s="61"/>
      <c r="L60" s="61"/>
    </row>
    <row r="61" spans="1:12" ht="15" customHeight="1">
      <c r="A61" s="64"/>
      <c r="B61" s="65"/>
      <c r="C61" s="65" t="s">
        <v>1236</v>
      </c>
      <c r="D61" s="62" t="s">
        <v>1264</v>
      </c>
      <c r="E61" s="78">
        <f>'MCV e Guindaste'!C28</f>
        <v>60</v>
      </c>
      <c r="F61" s="60"/>
      <c r="H61" s="61"/>
      <c r="I61" s="61"/>
      <c r="J61" s="61"/>
      <c r="K61" s="61"/>
      <c r="L61" s="61"/>
    </row>
    <row r="62" spans="1:12" ht="15" customHeight="1">
      <c r="A62" s="64"/>
      <c r="B62" s="65"/>
      <c r="C62" s="65" t="s">
        <v>1265</v>
      </c>
      <c r="D62" s="62" t="s">
        <v>1266</v>
      </c>
      <c r="E62" s="78">
        <f>Values!C18/1000</f>
        <v>5.7809999999999997</v>
      </c>
      <c r="F62" s="60"/>
      <c r="H62" s="61"/>
      <c r="I62" s="61"/>
      <c r="J62" s="61"/>
      <c r="K62" s="61"/>
      <c r="L62" s="61"/>
    </row>
    <row r="63" spans="1:12" ht="15" customHeight="1">
      <c r="A63" s="64"/>
      <c r="B63" s="65"/>
      <c r="C63" s="65" t="s">
        <v>1267</v>
      </c>
      <c r="D63" s="65" t="s">
        <v>1268</v>
      </c>
      <c r="E63" s="78">
        <f>'MCV e Guindaste'!C24</f>
        <v>-6.800000000000006E-2</v>
      </c>
      <c r="F63" s="60"/>
      <c r="H63" s="61"/>
      <c r="I63" s="61"/>
      <c r="J63" s="61"/>
      <c r="K63" s="61"/>
      <c r="L63" s="61"/>
    </row>
    <row r="64" spans="1:12" ht="15" customHeight="1">
      <c r="A64" s="64"/>
      <c r="B64" s="65"/>
      <c r="C64" s="65" t="s">
        <v>1267</v>
      </c>
      <c r="D64" s="65" t="s">
        <v>1269</v>
      </c>
      <c r="E64" s="78">
        <f>'MCV e Guindaste'!C23</f>
        <v>2.5389999999999997</v>
      </c>
      <c r="F64" s="60"/>
      <c r="H64" s="61"/>
      <c r="I64" s="61"/>
      <c r="J64" s="61"/>
      <c r="K64" s="61"/>
      <c r="L64" s="61"/>
    </row>
    <row r="65" spans="1:12" ht="15" customHeight="1">
      <c r="A65" s="64"/>
      <c r="B65" s="65"/>
      <c r="C65" s="65" t="s">
        <v>1267</v>
      </c>
      <c r="D65" s="65" t="s">
        <v>1270</v>
      </c>
      <c r="E65" s="68">
        <f>'MCV e Guindaste'!O18</f>
        <v>2235.6880000000001</v>
      </c>
      <c r="F65" s="60"/>
      <c r="H65" s="61"/>
      <c r="I65" s="61"/>
      <c r="J65" s="61"/>
      <c r="K65" s="61"/>
      <c r="L65" s="61"/>
    </row>
    <row r="66" spans="1:12" ht="15" customHeight="1">
      <c r="A66" s="64"/>
      <c r="B66" s="65"/>
      <c r="C66" s="65" t="s">
        <v>1237</v>
      </c>
      <c r="D66" s="62" t="s">
        <v>1271</v>
      </c>
      <c r="E66" s="68" t="str">
        <f>IF(Values!A5="","Linha",SUBSTITUTE(Values!A5," ","_"))</f>
        <v>WSI_152.2553-RD-4042-6</v>
      </c>
      <c r="F66" s="60"/>
      <c r="H66" s="61"/>
      <c r="I66" s="61"/>
      <c r="J66" s="61"/>
      <c r="K66" s="61"/>
      <c r="L66" s="61"/>
    </row>
    <row r="67" spans="1:12" ht="15" customHeight="1">
      <c r="A67" s="64"/>
      <c r="B67" s="65"/>
      <c r="C67" s="65" t="s">
        <v>1246</v>
      </c>
      <c r="D67" s="62" t="s">
        <v>1271</v>
      </c>
      <c r="E67" s="68" t="str">
        <f>IF(Values!A20="","Vértebra",SUBSTITUTE(Values!A20," ","_"))</f>
        <v>CB-BR1522553-00-01</v>
      </c>
      <c r="F67" s="60"/>
      <c r="H67" s="61"/>
      <c r="I67" s="61"/>
      <c r="J67" s="61"/>
      <c r="K67" s="61"/>
      <c r="L67" s="61"/>
    </row>
    <row r="68" spans="1:12" ht="15" customHeight="1">
      <c r="A68" s="64"/>
      <c r="B68" s="65"/>
      <c r="C68" s="65" t="s">
        <v>1248</v>
      </c>
      <c r="D68" s="62" t="s">
        <v>1271</v>
      </c>
      <c r="E68" s="68" t="str">
        <f>IF(Values!A39="","Conector",SUBSTITUTE(Values!A39," ","_"))</f>
        <v>CB-EF1522540-00-05</v>
      </c>
      <c r="F68" s="60"/>
      <c r="H68" s="61"/>
      <c r="I68" s="61"/>
      <c r="J68" s="61"/>
      <c r="K68" s="61"/>
      <c r="L68" s="61"/>
    </row>
    <row r="69" spans="1:12" ht="15" customHeight="1">
      <c r="A69" s="64"/>
      <c r="B69" s="65"/>
      <c r="C69" s="65" t="s">
        <v>1254</v>
      </c>
      <c r="D69" s="62" t="s">
        <v>1271</v>
      </c>
      <c r="E69" s="68" t="str">
        <f>IF('MCV e Guindaste'!B6="","MCV",SUBSTITUTE('MCV e Guindaste'!B6," ","_"))</f>
        <v>P7000048060</v>
      </c>
      <c r="F69" s="60"/>
      <c r="H69" s="61"/>
      <c r="I69" s="61"/>
      <c r="J69" s="61"/>
      <c r="K69" s="61"/>
      <c r="L69" s="61"/>
    </row>
    <row r="70" spans="1:12" ht="15" customHeight="1">
      <c r="A70" s="64"/>
      <c r="B70" s="65"/>
      <c r="C70" s="65" t="s">
        <v>1272</v>
      </c>
      <c r="D70" s="62" t="s">
        <v>1273</v>
      </c>
      <c r="E70" s="78" t="s">
        <v>1274</v>
      </c>
      <c r="F70" s="60"/>
      <c r="H70" s="61"/>
      <c r="I70" s="61"/>
      <c r="J70" s="61"/>
      <c r="K70" s="61"/>
      <c r="L70" s="61"/>
    </row>
    <row r="71" spans="1:12" ht="15" customHeight="1">
      <c r="A71" s="64"/>
      <c r="B71" s="65" t="str">
        <f>IF($B$4="Umbilical","Select Line","")</f>
        <v/>
      </c>
      <c r="C71" s="65" t="str">
        <f>IF($B$4="Umbilical",_xlfn.CONCAT("Select ",E54),"Select Stiffness1")</f>
        <v>Select Stiffness1</v>
      </c>
      <c r="D71" s="62" t="str">
        <f>IF($B$4="Umbilical","Eix=","NumberOfRows=")</f>
        <v>NumberOfRows=</v>
      </c>
      <c r="E71" s="103">
        <f>IF($B$4="Umbilical",Values!C14,$H$7)</f>
        <v>25</v>
      </c>
      <c r="F71" s="60"/>
      <c r="H71" s="61"/>
      <c r="I71" s="61"/>
      <c r="J71" s="61"/>
      <c r="K71" s="61"/>
      <c r="L71" s="61"/>
    </row>
    <row r="72" spans="1:12" ht="15" customHeight="1">
      <c r="A72" s="64"/>
      <c r="B72" s="65"/>
      <c r="C72" s="65" t="s">
        <v>1275</v>
      </c>
      <c r="D72" s="62" t="s">
        <v>1276</v>
      </c>
      <c r="E72" s="487">
        <f>'Bending Stiffness'!A6</f>
        <v>3.0000000000000001E-3</v>
      </c>
      <c r="F72" s="60"/>
      <c r="H72" s="61"/>
      <c r="I72" s="61"/>
      <c r="J72" s="61"/>
      <c r="K72" s="61"/>
      <c r="L72" s="61"/>
    </row>
    <row r="73" spans="1:12" ht="15" customHeight="1">
      <c r="A73" s="64"/>
      <c r="B73" s="65"/>
      <c r="C73" s="65" t="s">
        <v>1275</v>
      </c>
      <c r="D73" s="62" t="s">
        <v>1277</v>
      </c>
      <c r="E73" s="487">
        <f>'Bending Stiffness'!A7</f>
        <v>6.0000000000000001E-3</v>
      </c>
      <c r="F73" s="60"/>
      <c r="H73" s="61"/>
      <c r="I73" s="61"/>
      <c r="J73" s="61"/>
      <c r="K73" s="61"/>
      <c r="L73" s="61"/>
    </row>
    <row r="74" spans="1:12" ht="15" customHeight="1">
      <c r="A74" s="64"/>
      <c r="B74" s="65"/>
      <c r="C74" s="65" t="s">
        <v>1275</v>
      </c>
      <c r="D74" s="62" t="s">
        <v>1278</v>
      </c>
      <c r="E74" s="487">
        <f>'Bending Stiffness'!A8</f>
        <v>8.9999999999999993E-3</v>
      </c>
      <c r="F74" s="60"/>
      <c r="H74" s="61"/>
      <c r="I74" s="61"/>
      <c r="J74" s="61"/>
      <c r="K74" s="61"/>
      <c r="L74" s="61"/>
    </row>
    <row r="75" spans="1:12" ht="15" customHeight="1">
      <c r="A75" s="64"/>
      <c r="B75" s="65"/>
      <c r="C75" s="65" t="s">
        <v>1275</v>
      </c>
      <c r="D75" s="62" t="s">
        <v>1279</v>
      </c>
      <c r="E75" s="487">
        <f>'Bending Stiffness'!A9</f>
        <v>1.4E-2</v>
      </c>
      <c r="F75" s="60"/>
      <c r="H75" s="61"/>
      <c r="I75" s="61"/>
      <c r="J75" s="61"/>
      <c r="K75" s="61"/>
      <c r="L75" s="61"/>
    </row>
    <row r="76" spans="1:12" ht="15" customHeight="1">
      <c r="A76" s="64"/>
      <c r="B76" s="65"/>
      <c r="C76" s="65" t="s">
        <v>1275</v>
      </c>
      <c r="D76" s="62" t="s">
        <v>1280</v>
      </c>
      <c r="E76" s="487">
        <f>'Bending Stiffness'!A10</f>
        <v>1.9E-2</v>
      </c>
      <c r="F76" s="60"/>
      <c r="H76" s="61"/>
      <c r="I76" s="61"/>
      <c r="J76" s="61"/>
      <c r="K76" s="61"/>
      <c r="L76" s="61"/>
    </row>
    <row r="77" spans="1:12" ht="15" customHeight="1">
      <c r="A77" s="64"/>
      <c r="B77" s="65"/>
      <c r="C77" s="65" t="s">
        <v>1275</v>
      </c>
      <c r="D77" s="62" t="s">
        <v>1281</v>
      </c>
      <c r="E77" s="487">
        <f>'Bending Stiffness'!A11</f>
        <v>2.4E-2</v>
      </c>
      <c r="F77" s="60"/>
      <c r="H77" s="61"/>
      <c r="I77" s="61"/>
      <c r="J77" s="61"/>
      <c r="K77" s="61"/>
      <c r="L77" s="61"/>
    </row>
    <row r="78" spans="1:12" ht="15" customHeight="1">
      <c r="A78" s="64"/>
      <c r="B78" s="65"/>
      <c r="C78" s="65" t="s">
        <v>1275</v>
      </c>
      <c r="D78" s="62" t="s">
        <v>1282</v>
      </c>
      <c r="E78" s="487">
        <f>'Bending Stiffness'!A12</f>
        <v>0.03</v>
      </c>
      <c r="F78" s="60"/>
      <c r="H78" s="61"/>
      <c r="I78" s="61"/>
      <c r="J78" s="61"/>
      <c r="K78" s="61"/>
      <c r="L78" s="61"/>
    </row>
    <row r="79" spans="1:12" ht="15" customHeight="1">
      <c r="A79" s="64"/>
      <c r="B79" s="65"/>
      <c r="C79" s="65" t="s">
        <v>1275</v>
      </c>
      <c r="D79" s="62" t="s">
        <v>1283</v>
      </c>
      <c r="E79" s="487">
        <f>'Bending Stiffness'!A13</f>
        <v>3.5999999999999997E-2</v>
      </c>
      <c r="F79" s="60"/>
      <c r="H79" s="61"/>
      <c r="I79" s="61"/>
      <c r="J79" s="61"/>
      <c r="K79" s="61"/>
      <c r="L79" s="61"/>
    </row>
    <row r="80" spans="1:12" ht="15" customHeight="1">
      <c r="A80" s="64"/>
      <c r="B80" s="65"/>
      <c r="C80" s="65" t="s">
        <v>1275</v>
      </c>
      <c r="D80" s="62" t="s">
        <v>1284</v>
      </c>
      <c r="E80" s="487">
        <f>'Bending Stiffness'!A14</f>
        <v>4.3999999999999997E-2</v>
      </c>
      <c r="F80" s="60"/>
      <c r="H80" s="61"/>
      <c r="I80" s="61"/>
      <c r="J80" s="61"/>
      <c r="K80" s="61"/>
      <c r="L80" s="61"/>
    </row>
    <row r="81" spans="1:12" ht="15" customHeight="1">
      <c r="A81" s="64"/>
      <c r="B81" s="65"/>
      <c r="C81" s="65" t="s">
        <v>1275</v>
      </c>
      <c r="D81" s="62" t="s">
        <v>1285</v>
      </c>
      <c r="E81" s="487">
        <f>'Bending Stiffness'!A15</f>
        <v>5.0999999999999997E-2</v>
      </c>
      <c r="F81" s="60"/>
      <c r="H81" s="61"/>
      <c r="I81" s="61"/>
      <c r="J81" s="61"/>
      <c r="K81" s="61"/>
      <c r="L81" s="61"/>
    </row>
    <row r="82" spans="1:12" ht="15" customHeight="1">
      <c r="A82" s="64"/>
      <c r="B82" s="65"/>
      <c r="C82" s="65" t="s">
        <v>1275</v>
      </c>
      <c r="D82" s="62" t="s">
        <v>1286</v>
      </c>
      <c r="E82" s="487">
        <f>'Bending Stiffness'!A16</f>
        <v>5.8999999999999997E-2</v>
      </c>
      <c r="F82" s="60"/>
      <c r="H82" s="61"/>
      <c r="I82" s="61"/>
      <c r="J82" s="61"/>
      <c r="K82" s="61"/>
      <c r="L82" s="61"/>
    </row>
    <row r="83" spans="1:12" ht="15" customHeight="1">
      <c r="A83" s="64"/>
      <c r="B83" s="65"/>
      <c r="C83" s="65" t="s">
        <v>1275</v>
      </c>
      <c r="D83" s="62" t="s">
        <v>1287</v>
      </c>
      <c r="E83" s="487">
        <f>'Bending Stiffness'!A17</f>
        <v>6.8000000000000005E-2</v>
      </c>
      <c r="F83" s="60"/>
      <c r="H83" s="61"/>
      <c r="I83" s="61"/>
      <c r="J83" s="61"/>
      <c r="K83" s="61"/>
      <c r="L83" s="61"/>
    </row>
    <row r="84" spans="1:12" ht="15" customHeight="1">
      <c r="A84" s="64"/>
      <c r="B84" s="65"/>
      <c r="C84" s="65" t="s">
        <v>1275</v>
      </c>
      <c r="D84" s="62" t="s">
        <v>1288</v>
      </c>
      <c r="E84" s="487">
        <f>'Bending Stiffness'!A18</f>
        <v>7.8E-2</v>
      </c>
      <c r="F84" s="60"/>
      <c r="H84" s="61"/>
      <c r="I84" s="61"/>
      <c r="J84" s="61"/>
      <c r="K84" s="61"/>
      <c r="L84" s="61"/>
    </row>
    <row r="85" spans="1:12" ht="15" customHeight="1">
      <c r="A85" s="64"/>
      <c r="B85" s="65"/>
      <c r="C85" s="65" t="s">
        <v>1275</v>
      </c>
      <c r="D85" s="62" t="s">
        <v>1289</v>
      </c>
      <c r="E85" s="487">
        <f>'Bending Stiffness'!A19</f>
        <v>8.6999999999999994E-2</v>
      </c>
      <c r="F85" s="60"/>
      <c r="H85" s="61"/>
      <c r="I85" s="61"/>
      <c r="J85" s="61"/>
      <c r="K85" s="61"/>
      <c r="L85" s="61"/>
    </row>
    <row r="86" spans="1:12" ht="15" customHeight="1">
      <c r="A86" s="64"/>
      <c r="B86" s="65"/>
      <c r="C86" s="65" t="s">
        <v>1275</v>
      </c>
      <c r="D86" s="62" t="s">
        <v>1290</v>
      </c>
      <c r="E86" s="487">
        <f>'Bending Stiffness'!A20</f>
        <v>9.8000000000000004E-2</v>
      </c>
      <c r="F86" s="60"/>
      <c r="H86" s="61"/>
      <c r="I86" s="61"/>
      <c r="J86" s="61"/>
      <c r="K86" s="61"/>
      <c r="L86" s="61"/>
    </row>
    <row r="87" spans="1:12" ht="15" customHeight="1">
      <c r="A87" s="64"/>
      <c r="B87" s="65"/>
      <c r="C87" s="65" t="s">
        <v>1275</v>
      </c>
      <c r="D87" s="62" t="s">
        <v>1291</v>
      </c>
      <c r="E87" s="487">
        <f>'Bending Stiffness'!A21</f>
        <v>0.109</v>
      </c>
      <c r="F87" s="60"/>
      <c r="H87" s="61"/>
      <c r="I87" s="61"/>
      <c r="J87" s="61"/>
      <c r="K87" s="61"/>
      <c r="L87" s="61"/>
    </row>
    <row r="88" spans="1:12" ht="15" customHeight="1">
      <c r="A88" s="64"/>
      <c r="B88" s="65"/>
      <c r="C88" s="65" t="s">
        <v>1275</v>
      </c>
      <c r="D88" s="62" t="s">
        <v>1292</v>
      </c>
      <c r="E88" s="487">
        <f>'Bending Stiffness'!A22</f>
        <v>0.121</v>
      </c>
      <c r="F88" s="60"/>
      <c r="H88" s="61"/>
      <c r="I88" s="61"/>
      <c r="J88" s="61"/>
      <c r="K88" s="61"/>
      <c r="L88" s="61"/>
    </row>
    <row r="89" spans="1:12" ht="15" customHeight="1">
      <c r="A89" s="64"/>
      <c r="B89" s="65"/>
      <c r="C89" s="65" t="s">
        <v>1275</v>
      </c>
      <c r="D89" s="62" t="s">
        <v>1293</v>
      </c>
      <c r="E89" s="487">
        <f>'Bending Stiffness'!A23</f>
        <v>0.13300000000000001</v>
      </c>
      <c r="F89" s="60"/>
      <c r="H89" s="61"/>
      <c r="I89" s="61"/>
      <c r="J89" s="61"/>
      <c r="K89" s="61"/>
      <c r="L89" s="61"/>
    </row>
    <row r="90" spans="1:12" ht="15" customHeight="1">
      <c r="A90" s="64"/>
      <c r="B90" s="65"/>
      <c r="C90" s="65" t="s">
        <v>1275</v>
      </c>
      <c r="D90" s="62" t="s">
        <v>1294</v>
      </c>
      <c r="E90" s="487">
        <f>'Bending Stiffness'!A24</f>
        <v>0.14499999999999999</v>
      </c>
      <c r="F90" s="60"/>
      <c r="H90" s="61"/>
      <c r="I90" s="61"/>
      <c r="J90" s="61"/>
      <c r="K90" s="61"/>
      <c r="L90" s="61"/>
    </row>
    <row r="91" spans="1:12" ht="15" customHeight="1">
      <c r="A91" s="64"/>
      <c r="B91" s="65"/>
      <c r="C91" s="65" t="s">
        <v>1275</v>
      </c>
      <c r="D91" s="62" t="s">
        <v>1295</v>
      </c>
      <c r="E91" s="487">
        <f>'Bending Stiffness'!A25</f>
        <v>0.159</v>
      </c>
      <c r="F91" s="60"/>
      <c r="H91" s="61"/>
      <c r="I91" s="61"/>
      <c r="J91" s="61"/>
      <c r="K91" s="61"/>
      <c r="L91" s="61"/>
    </row>
    <row r="92" spans="1:12" ht="15" customHeight="1">
      <c r="A92" s="64"/>
      <c r="B92" s="65"/>
      <c r="C92" s="65" t="s">
        <v>1275</v>
      </c>
      <c r="D92" s="62" t="s">
        <v>1296</v>
      </c>
      <c r="E92" s="487">
        <f>'Bending Stiffness'!A26</f>
        <v>0.17299999999999999</v>
      </c>
      <c r="F92" s="60"/>
      <c r="H92" s="61"/>
      <c r="I92" s="61"/>
      <c r="J92" s="61"/>
      <c r="K92" s="61"/>
      <c r="L92" s="61"/>
    </row>
    <row r="93" spans="1:12" ht="15" customHeight="1">
      <c r="A93" s="64"/>
      <c r="B93" s="65"/>
      <c r="C93" s="65" t="s">
        <v>1275</v>
      </c>
      <c r="D93" s="62" t="s">
        <v>1297</v>
      </c>
      <c r="E93" s="487">
        <f>'Bending Stiffness'!A27</f>
        <v>0.187</v>
      </c>
      <c r="F93" s="60"/>
      <c r="H93" s="61"/>
      <c r="I93" s="61"/>
      <c r="J93" s="61"/>
      <c r="K93" s="61"/>
      <c r="L93" s="61"/>
    </row>
    <row r="94" spans="1:12" ht="15" customHeight="1">
      <c r="A94" s="64"/>
      <c r="B94" s="65"/>
      <c r="C94" s="65" t="s">
        <v>1275</v>
      </c>
      <c r="D94" s="62" t="s">
        <v>1298</v>
      </c>
      <c r="E94" s="487">
        <f>'Bending Stiffness'!A28</f>
        <v>0.20200000000000001</v>
      </c>
      <c r="F94" s="60"/>
      <c r="H94" s="61"/>
      <c r="I94" s="61"/>
      <c r="J94" s="61"/>
      <c r="K94" s="61"/>
      <c r="L94" s="61"/>
    </row>
    <row r="95" spans="1:12" ht="15" customHeight="1">
      <c r="A95" s="64"/>
      <c r="B95" s="65"/>
      <c r="C95" s="65" t="s">
        <v>1275</v>
      </c>
      <c r="D95" s="62" t="s">
        <v>1299</v>
      </c>
      <c r="E95" s="487">
        <f>'Bending Stiffness'!A29</f>
        <v>0.217</v>
      </c>
      <c r="F95" s="60"/>
      <c r="H95" s="61"/>
      <c r="I95" s="61"/>
      <c r="J95" s="61"/>
      <c r="K95" s="61"/>
      <c r="L95" s="61"/>
    </row>
    <row r="96" spans="1:12" ht="15" customHeight="1">
      <c r="A96" s="64"/>
      <c r="B96" s="65"/>
      <c r="C96" s="65" t="s">
        <v>1275</v>
      </c>
      <c r="D96" s="62" t="s">
        <v>1300</v>
      </c>
      <c r="E96" s="487">
        <f>'Bending Stiffness'!C6</f>
        <v>1.3220000000000001</v>
      </c>
      <c r="F96" s="60"/>
      <c r="H96" s="61"/>
      <c r="I96" s="61"/>
      <c r="J96" s="61"/>
      <c r="K96" s="61"/>
      <c r="L96" s="61"/>
    </row>
    <row r="97" spans="1:12" ht="15" customHeight="1">
      <c r="A97" s="64"/>
      <c r="B97" s="65"/>
      <c r="C97" s="65" t="s">
        <v>1275</v>
      </c>
      <c r="D97" s="62" t="s">
        <v>1301</v>
      </c>
      <c r="E97" s="487">
        <f>'Bending Stiffness'!C7</f>
        <v>1.5309999999999999</v>
      </c>
      <c r="F97" s="60"/>
      <c r="H97" s="61"/>
      <c r="I97" s="61"/>
      <c r="J97" s="61"/>
      <c r="K97" s="61"/>
      <c r="L97" s="61"/>
    </row>
    <row r="98" spans="1:12" ht="15" customHeight="1">
      <c r="A98" s="64"/>
      <c r="B98" s="65"/>
      <c r="C98" s="65" t="s">
        <v>1275</v>
      </c>
      <c r="D98" s="62" t="s">
        <v>1302</v>
      </c>
      <c r="E98" s="487">
        <f>'Bending Stiffness'!C8</f>
        <v>1.7749999999999999</v>
      </c>
      <c r="F98" s="60"/>
      <c r="H98" s="61"/>
      <c r="I98" s="61"/>
      <c r="J98" s="61"/>
      <c r="K98" s="61"/>
      <c r="L98" s="61"/>
    </row>
    <row r="99" spans="1:12" ht="15" customHeight="1">
      <c r="A99" s="64"/>
      <c r="B99" s="65"/>
      <c r="C99" s="65" t="s">
        <v>1275</v>
      </c>
      <c r="D99" s="62" t="s">
        <v>1303</v>
      </c>
      <c r="E99" s="487">
        <f>'Bending Stiffness'!C9</f>
        <v>2.0550000000000002</v>
      </c>
      <c r="F99" s="60"/>
      <c r="H99" s="61"/>
      <c r="I99" s="61"/>
      <c r="J99" s="61"/>
      <c r="K99" s="61"/>
      <c r="L99" s="61"/>
    </row>
    <row r="100" spans="1:12" ht="15" customHeight="1">
      <c r="A100" s="64"/>
      <c r="B100" s="65"/>
      <c r="C100" s="65" t="s">
        <v>1275</v>
      </c>
      <c r="D100" s="62" t="s">
        <v>1304</v>
      </c>
      <c r="E100" s="487">
        <f>'Bending Stiffness'!C10</f>
        <v>2.3820000000000001</v>
      </c>
      <c r="F100" s="60"/>
      <c r="H100" s="61"/>
      <c r="I100" s="61"/>
      <c r="J100" s="61"/>
      <c r="K100" s="61"/>
      <c r="L100" s="61"/>
    </row>
    <row r="101" spans="1:12" ht="15" customHeight="1">
      <c r="A101" s="64"/>
      <c r="B101" s="65"/>
      <c r="C101" s="65" t="s">
        <v>1275</v>
      </c>
      <c r="D101" s="62" t="s">
        <v>1305</v>
      </c>
      <c r="E101" s="487">
        <f>'Bending Stiffness'!C11</f>
        <v>2.726</v>
      </c>
      <c r="F101" s="60"/>
      <c r="H101" s="61"/>
      <c r="I101" s="61"/>
      <c r="J101" s="61"/>
      <c r="K101" s="61"/>
      <c r="L101" s="61"/>
    </row>
    <row r="102" spans="1:12" ht="15" customHeight="1">
      <c r="A102" s="64"/>
      <c r="B102" s="65"/>
      <c r="C102" s="65" t="s">
        <v>1275</v>
      </c>
      <c r="D102" s="62" t="s">
        <v>1306</v>
      </c>
      <c r="E102" s="487">
        <f>'Bending Stiffness'!C12</f>
        <v>3.1160000000000001</v>
      </c>
      <c r="F102" s="60"/>
      <c r="H102" s="61"/>
      <c r="I102" s="61"/>
      <c r="J102" s="61"/>
      <c r="K102" s="61"/>
      <c r="L102" s="61"/>
    </row>
    <row r="103" spans="1:12" ht="15" customHeight="1">
      <c r="A103" s="64"/>
      <c r="B103" s="65"/>
      <c r="C103" s="65" t="s">
        <v>1275</v>
      </c>
      <c r="D103" s="62" t="s">
        <v>1307</v>
      </c>
      <c r="E103" s="487">
        <f>'Bending Stiffness'!C13</f>
        <v>3.5430000000000001</v>
      </c>
      <c r="F103" s="60"/>
      <c r="H103" s="61"/>
      <c r="I103" s="61"/>
      <c r="J103" s="61"/>
      <c r="K103" s="61"/>
      <c r="L103" s="61"/>
    </row>
    <row r="104" spans="1:12" ht="15" customHeight="1">
      <c r="A104" s="64"/>
      <c r="B104" s="65"/>
      <c r="C104" s="65" t="s">
        <v>1275</v>
      </c>
      <c r="D104" s="62" t="s">
        <v>1308</v>
      </c>
      <c r="E104" s="487">
        <f>'Bending Stiffness'!C14</f>
        <v>4.0069999999999997</v>
      </c>
      <c r="F104" s="60"/>
      <c r="H104" s="61"/>
      <c r="I104" s="61"/>
      <c r="J104" s="61"/>
      <c r="K104" s="61"/>
      <c r="L104" s="61"/>
    </row>
    <row r="105" spans="1:12" ht="15" customHeight="1">
      <c r="A105" s="64"/>
      <c r="B105" s="65"/>
      <c r="C105" s="65" t="s">
        <v>1275</v>
      </c>
      <c r="D105" s="62" t="s">
        <v>1309</v>
      </c>
      <c r="E105" s="487">
        <f>'Bending Stiffness'!C15</f>
        <v>4.508</v>
      </c>
      <c r="F105" s="60"/>
      <c r="H105" s="61"/>
      <c r="I105" s="61"/>
      <c r="J105" s="61"/>
      <c r="K105" s="61"/>
      <c r="L105" s="61"/>
    </row>
    <row r="106" spans="1:12" ht="15" customHeight="1">
      <c r="A106" s="64"/>
      <c r="B106" s="65"/>
      <c r="C106" s="65" t="s">
        <v>1275</v>
      </c>
      <c r="D106" s="62" t="s">
        <v>1310</v>
      </c>
      <c r="E106" s="487">
        <f>'Bending Stiffness'!C16</f>
        <v>5.0460000000000003</v>
      </c>
      <c r="F106" s="60"/>
      <c r="H106" s="61"/>
      <c r="I106" s="61"/>
      <c r="J106" s="61"/>
      <c r="K106" s="61"/>
      <c r="L106" s="61"/>
    </row>
    <row r="107" spans="1:12" ht="15" customHeight="1">
      <c r="A107" s="64"/>
      <c r="B107" s="65"/>
      <c r="C107" s="65" t="s">
        <v>1275</v>
      </c>
      <c r="D107" s="62" t="s">
        <v>1311</v>
      </c>
      <c r="E107" s="487">
        <f>'Bending Stiffness'!C17</f>
        <v>5.6210000000000004</v>
      </c>
      <c r="F107" s="60"/>
      <c r="H107" s="61"/>
      <c r="I107" s="61"/>
      <c r="J107" s="61"/>
      <c r="K107" s="61"/>
      <c r="L107" s="61"/>
    </row>
    <row r="108" spans="1:12" ht="15" customHeight="1">
      <c r="A108" s="64"/>
      <c r="B108" s="65"/>
      <c r="C108" s="65" t="s">
        <v>1275</v>
      </c>
      <c r="D108" s="62" t="s">
        <v>1312</v>
      </c>
      <c r="E108" s="487">
        <f>'Bending Stiffness'!C18</f>
        <v>6.2320000000000002</v>
      </c>
      <c r="F108" s="60"/>
      <c r="H108" s="61"/>
      <c r="I108" s="61"/>
      <c r="J108" s="61"/>
      <c r="K108" s="61"/>
      <c r="L108" s="61"/>
    </row>
    <row r="109" spans="1:12" ht="15" customHeight="1">
      <c r="A109" s="64"/>
      <c r="B109" s="65"/>
      <c r="C109" s="65" t="s">
        <v>1275</v>
      </c>
      <c r="D109" s="62" t="s">
        <v>1313</v>
      </c>
      <c r="E109" s="487">
        <f>'Bending Stiffness'!C19</f>
        <v>6.88</v>
      </c>
      <c r="F109" s="60"/>
      <c r="H109" s="61"/>
      <c r="I109" s="61"/>
      <c r="J109" s="61"/>
      <c r="K109" s="61"/>
      <c r="L109" s="61"/>
    </row>
    <row r="110" spans="1:12" ht="15" customHeight="1">
      <c r="A110" s="64"/>
      <c r="B110" s="65"/>
      <c r="C110" s="65" t="s">
        <v>1275</v>
      </c>
      <c r="D110" s="62" t="s">
        <v>1314</v>
      </c>
      <c r="E110" s="487">
        <f>'Bending Stiffness'!C20</f>
        <v>7.5650000000000004</v>
      </c>
      <c r="F110" s="60"/>
      <c r="H110" s="61"/>
      <c r="I110" s="61"/>
      <c r="J110" s="61"/>
      <c r="K110" s="61"/>
      <c r="L110" s="61"/>
    </row>
    <row r="111" spans="1:12" ht="15" customHeight="1">
      <c r="A111" s="64"/>
      <c r="B111" s="65"/>
      <c r="C111" s="65" t="s">
        <v>1275</v>
      </c>
      <c r="D111" s="62" t="s">
        <v>1315</v>
      </c>
      <c r="E111" s="487">
        <f>'Bending Stiffness'!C21</f>
        <v>8.2870000000000008</v>
      </c>
      <c r="F111" s="60"/>
      <c r="H111" s="61"/>
      <c r="I111" s="61"/>
      <c r="J111" s="61"/>
      <c r="K111" s="61"/>
      <c r="L111" s="61"/>
    </row>
    <row r="112" spans="1:12" ht="15" customHeight="1">
      <c r="A112" s="64"/>
      <c r="B112" s="65"/>
      <c r="C112" s="65" t="s">
        <v>1275</v>
      </c>
      <c r="D112" s="62" t="s">
        <v>1316</v>
      </c>
      <c r="E112" s="487">
        <f>'Bending Stiffness'!C22</f>
        <v>9.0459999999999994</v>
      </c>
      <c r="F112" s="60"/>
      <c r="H112" s="61"/>
      <c r="I112" s="61"/>
      <c r="J112" s="61"/>
      <c r="K112" s="61"/>
      <c r="L112" s="61"/>
    </row>
    <row r="113" spans="1:12" ht="15" customHeight="1">
      <c r="A113" s="64"/>
      <c r="B113" s="65"/>
      <c r="C113" s="65" t="s">
        <v>1275</v>
      </c>
      <c r="D113" s="62" t="s">
        <v>1317</v>
      </c>
      <c r="E113" s="487">
        <f>'Bending Stiffness'!C23</f>
        <v>9.8409999999999993</v>
      </c>
      <c r="F113" s="60"/>
      <c r="H113" s="61"/>
      <c r="I113" s="61"/>
      <c r="J113" s="61"/>
      <c r="K113" s="61"/>
      <c r="L113" s="61"/>
    </row>
    <row r="114" spans="1:12" ht="15" customHeight="1">
      <c r="A114" s="64"/>
      <c r="B114" s="65"/>
      <c r="C114" s="65" t="s">
        <v>1275</v>
      </c>
      <c r="D114" s="62" t="s">
        <v>1318</v>
      </c>
      <c r="E114" s="487">
        <f>'Bending Stiffness'!C24</f>
        <v>10.673999999999999</v>
      </c>
      <c r="F114" s="60"/>
      <c r="H114" s="61"/>
      <c r="I114" s="61"/>
      <c r="J114" s="61"/>
      <c r="K114" s="61"/>
      <c r="L114" s="61"/>
    </row>
    <row r="115" spans="1:12" ht="15" customHeight="1">
      <c r="A115" s="64"/>
      <c r="B115" s="65"/>
      <c r="C115" s="65" t="s">
        <v>1275</v>
      </c>
      <c r="D115" s="62" t="s">
        <v>1319</v>
      </c>
      <c r="E115" s="487">
        <f>'Bending Stiffness'!C25</f>
        <v>11.542999999999999</v>
      </c>
      <c r="F115" s="60"/>
      <c r="H115" s="61"/>
      <c r="I115" s="61"/>
      <c r="J115" s="61"/>
      <c r="K115" s="61"/>
      <c r="L115" s="61"/>
    </row>
    <row r="116" spans="1:12" ht="15" customHeight="1">
      <c r="A116" s="64"/>
      <c r="B116" s="65"/>
      <c r="C116" s="65" t="s">
        <v>1275</v>
      </c>
      <c r="D116" s="62" t="s">
        <v>1320</v>
      </c>
      <c r="E116" s="487">
        <f>'Bending Stiffness'!C26</f>
        <v>12.449</v>
      </c>
      <c r="F116" s="60"/>
      <c r="H116" s="61"/>
      <c r="I116" s="61"/>
      <c r="J116" s="61"/>
      <c r="K116" s="61"/>
      <c r="L116" s="61"/>
    </row>
    <row r="117" spans="1:12" ht="15" customHeight="1">
      <c r="A117" s="64"/>
      <c r="B117" s="65"/>
      <c r="C117" s="65" t="s">
        <v>1275</v>
      </c>
      <c r="D117" s="62" t="s">
        <v>1321</v>
      </c>
      <c r="E117" s="487">
        <f>'Bending Stiffness'!C27</f>
        <v>13.391</v>
      </c>
      <c r="F117" s="60"/>
      <c r="H117" s="61"/>
      <c r="I117" s="61"/>
      <c r="J117" s="61"/>
      <c r="K117" s="61"/>
      <c r="L117" s="61"/>
    </row>
    <row r="118" spans="1:12" ht="15" customHeight="1">
      <c r="A118" s="64"/>
      <c r="B118" s="65"/>
      <c r="C118" s="65" t="s">
        <v>1275</v>
      </c>
      <c r="D118" s="62" t="s">
        <v>1322</v>
      </c>
      <c r="E118" s="487">
        <f>'Bending Stiffness'!C28</f>
        <v>14.371</v>
      </c>
      <c r="F118" s="60"/>
      <c r="H118" s="61"/>
      <c r="I118" s="61"/>
      <c r="J118" s="61"/>
      <c r="K118" s="61"/>
      <c r="L118" s="61"/>
    </row>
    <row r="119" spans="1:12" ht="15" customHeight="1">
      <c r="A119" s="64"/>
      <c r="B119" s="65"/>
      <c r="C119" s="65" t="s">
        <v>1275</v>
      </c>
      <c r="D119" s="62" t="s">
        <v>1323</v>
      </c>
      <c r="E119" s="487">
        <f>'Bending Stiffness'!C29</f>
        <v>15.388</v>
      </c>
      <c r="F119" s="60"/>
      <c r="H119" s="61"/>
      <c r="I119" s="61"/>
      <c r="J119" s="61"/>
      <c r="K119" s="61"/>
      <c r="L119" s="61"/>
    </row>
    <row r="120" spans="1:12" ht="15" customHeight="1">
      <c r="A120" s="64"/>
      <c r="B120" s="65"/>
      <c r="C120" s="65" t="s">
        <v>1275</v>
      </c>
      <c r="D120" s="62" t="s">
        <v>1276</v>
      </c>
      <c r="E120" s="487">
        <f>'Bending Stiffness'!A6</f>
        <v>3.0000000000000001E-3</v>
      </c>
      <c r="F120" s="60"/>
      <c r="H120" s="61"/>
      <c r="I120" s="61"/>
      <c r="J120" s="61"/>
      <c r="K120" s="61"/>
      <c r="L120" s="61"/>
    </row>
    <row r="121" spans="1:12" ht="15" customHeight="1">
      <c r="A121" s="64"/>
      <c r="B121" s="65"/>
      <c r="C121" s="65" t="s">
        <v>1275</v>
      </c>
      <c r="D121" s="62" t="s">
        <v>1277</v>
      </c>
      <c r="E121" s="487">
        <f>'Bending Stiffness'!A7</f>
        <v>6.0000000000000001E-3</v>
      </c>
      <c r="F121" s="60"/>
      <c r="H121" s="61"/>
      <c r="I121" s="61"/>
      <c r="J121" s="61"/>
      <c r="K121" s="61"/>
      <c r="L121" s="61"/>
    </row>
    <row r="122" spans="1:12" ht="15" customHeight="1">
      <c r="A122" s="64"/>
      <c r="B122" s="65"/>
      <c r="C122" s="65" t="s">
        <v>1275</v>
      </c>
      <c r="D122" s="62" t="s">
        <v>1278</v>
      </c>
      <c r="E122" s="487">
        <f>'Bending Stiffness'!A8</f>
        <v>8.9999999999999993E-3</v>
      </c>
      <c r="F122" s="60"/>
      <c r="H122" s="61"/>
      <c r="I122" s="61"/>
      <c r="J122" s="61"/>
      <c r="K122" s="61"/>
      <c r="L122" s="61"/>
    </row>
    <row r="123" spans="1:12" ht="15" customHeight="1">
      <c r="A123" s="64"/>
      <c r="B123" s="65"/>
      <c r="C123" s="65" t="s">
        <v>1275</v>
      </c>
      <c r="D123" s="62" t="s">
        <v>1279</v>
      </c>
      <c r="E123" s="487">
        <f>'Bending Stiffness'!A9</f>
        <v>1.4E-2</v>
      </c>
      <c r="F123" s="60"/>
      <c r="H123" s="61"/>
      <c r="I123" s="61"/>
      <c r="J123" s="61"/>
      <c r="K123" s="61"/>
      <c r="L123" s="61"/>
    </row>
    <row r="124" spans="1:12" ht="15" customHeight="1">
      <c r="A124" s="64"/>
      <c r="B124" s="65"/>
      <c r="C124" s="65" t="s">
        <v>1275</v>
      </c>
      <c r="D124" s="62" t="s">
        <v>1280</v>
      </c>
      <c r="E124" s="487">
        <f>'Bending Stiffness'!A10</f>
        <v>1.9E-2</v>
      </c>
      <c r="F124" s="60"/>
      <c r="H124" s="61"/>
      <c r="I124" s="61"/>
      <c r="J124" s="61"/>
      <c r="K124" s="61"/>
      <c r="L124" s="61"/>
    </row>
    <row r="125" spans="1:12" ht="15" customHeight="1">
      <c r="A125" s="64"/>
      <c r="B125" s="65"/>
      <c r="C125" s="65" t="s">
        <v>1275</v>
      </c>
      <c r="D125" s="62" t="s">
        <v>1281</v>
      </c>
      <c r="E125" s="487">
        <f>'Bending Stiffness'!A11</f>
        <v>2.4E-2</v>
      </c>
      <c r="F125" s="60"/>
      <c r="H125" s="61"/>
      <c r="I125" s="61"/>
      <c r="J125" s="61"/>
      <c r="K125" s="61"/>
      <c r="L125" s="61"/>
    </row>
    <row r="126" spans="1:12" ht="15" customHeight="1">
      <c r="A126" s="64"/>
      <c r="B126" s="65"/>
      <c r="C126" s="65" t="s">
        <v>1275</v>
      </c>
      <c r="D126" s="62" t="s">
        <v>1282</v>
      </c>
      <c r="E126" s="487">
        <f>'Bending Stiffness'!A12</f>
        <v>0.03</v>
      </c>
      <c r="F126" s="60"/>
      <c r="H126" s="61"/>
      <c r="I126" s="61"/>
      <c r="J126" s="61"/>
      <c r="K126" s="61"/>
      <c r="L126" s="61"/>
    </row>
    <row r="127" spans="1:12" ht="15" customHeight="1">
      <c r="A127" s="64"/>
      <c r="B127" s="65"/>
      <c r="C127" s="65" t="s">
        <v>1275</v>
      </c>
      <c r="D127" s="62" t="s">
        <v>1283</v>
      </c>
      <c r="E127" s="487">
        <f>'Bending Stiffness'!A13</f>
        <v>3.5999999999999997E-2</v>
      </c>
      <c r="F127" s="60"/>
      <c r="H127" s="61"/>
      <c r="I127" s="61"/>
      <c r="J127" s="61"/>
      <c r="K127" s="61"/>
      <c r="L127" s="61"/>
    </row>
    <row r="128" spans="1:12" ht="15" customHeight="1">
      <c r="A128" s="64"/>
      <c r="B128" s="65"/>
      <c r="C128" s="65" t="s">
        <v>1275</v>
      </c>
      <c r="D128" s="62" t="s">
        <v>1284</v>
      </c>
      <c r="E128" s="487">
        <f>'Bending Stiffness'!A14</f>
        <v>4.3999999999999997E-2</v>
      </c>
      <c r="F128" s="60"/>
      <c r="H128" s="61"/>
      <c r="I128" s="61"/>
      <c r="J128" s="61"/>
      <c r="K128" s="61"/>
      <c r="L128" s="61"/>
    </row>
    <row r="129" spans="1:12" ht="15" customHeight="1">
      <c r="A129" s="64"/>
      <c r="B129" s="65"/>
      <c r="C129" s="65" t="s">
        <v>1275</v>
      </c>
      <c r="D129" s="62" t="s">
        <v>1285</v>
      </c>
      <c r="E129" s="487">
        <f>'Bending Stiffness'!A15</f>
        <v>5.0999999999999997E-2</v>
      </c>
      <c r="F129" s="60"/>
      <c r="H129" s="61"/>
      <c r="I129" s="61"/>
      <c r="J129" s="61"/>
      <c r="K129" s="61"/>
      <c r="L129" s="61"/>
    </row>
    <row r="130" spans="1:12" ht="15" customHeight="1">
      <c r="A130" s="64"/>
      <c r="B130" s="65"/>
      <c r="C130" s="65" t="s">
        <v>1275</v>
      </c>
      <c r="D130" s="62" t="s">
        <v>1286</v>
      </c>
      <c r="E130" s="487">
        <f>'Bending Stiffness'!A16</f>
        <v>5.8999999999999997E-2</v>
      </c>
      <c r="F130" s="60"/>
      <c r="H130" s="61"/>
      <c r="I130" s="61"/>
      <c r="J130" s="61"/>
      <c r="K130" s="61"/>
      <c r="L130" s="61"/>
    </row>
    <row r="131" spans="1:12" ht="15" customHeight="1">
      <c r="A131" s="64"/>
      <c r="B131" s="65"/>
      <c r="C131" s="65" t="s">
        <v>1275</v>
      </c>
      <c r="D131" s="62" t="s">
        <v>1287</v>
      </c>
      <c r="E131" s="487">
        <f>'Bending Stiffness'!A17</f>
        <v>6.8000000000000005E-2</v>
      </c>
      <c r="F131" s="60"/>
      <c r="H131" s="61"/>
      <c r="I131" s="61"/>
      <c r="J131" s="61"/>
      <c r="K131" s="61"/>
      <c r="L131" s="61"/>
    </row>
    <row r="132" spans="1:12" ht="15" customHeight="1">
      <c r="A132" s="64"/>
      <c r="B132" s="65"/>
      <c r="C132" s="65" t="s">
        <v>1275</v>
      </c>
      <c r="D132" s="62" t="s">
        <v>1288</v>
      </c>
      <c r="E132" s="487">
        <f>'Bending Stiffness'!A18</f>
        <v>7.8E-2</v>
      </c>
      <c r="F132" s="60"/>
      <c r="H132" s="61"/>
      <c r="I132" s="61"/>
      <c r="J132" s="61"/>
      <c r="K132" s="61"/>
      <c r="L132" s="61"/>
    </row>
    <row r="133" spans="1:12" ht="15" customHeight="1">
      <c r="A133" s="64"/>
      <c r="B133" s="65"/>
      <c r="C133" s="65" t="s">
        <v>1275</v>
      </c>
      <c r="D133" s="62" t="s">
        <v>1289</v>
      </c>
      <c r="E133" s="487">
        <f>'Bending Stiffness'!A19</f>
        <v>8.6999999999999994E-2</v>
      </c>
      <c r="F133" s="60"/>
      <c r="H133" s="61"/>
      <c r="I133" s="61"/>
      <c r="J133" s="61"/>
      <c r="K133" s="61"/>
      <c r="L133" s="61"/>
    </row>
    <row r="134" spans="1:12" ht="15" customHeight="1">
      <c r="A134" s="64"/>
      <c r="B134" s="65"/>
      <c r="C134" s="65" t="s">
        <v>1275</v>
      </c>
      <c r="D134" s="62" t="s">
        <v>1290</v>
      </c>
      <c r="E134" s="487">
        <f>'Bending Stiffness'!A20</f>
        <v>9.8000000000000004E-2</v>
      </c>
      <c r="F134" s="60"/>
      <c r="H134" s="61"/>
      <c r="I134" s="61"/>
      <c r="J134" s="61"/>
      <c r="K134" s="61"/>
      <c r="L134" s="61"/>
    </row>
    <row r="135" spans="1:12" ht="15" customHeight="1">
      <c r="A135" s="64"/>
      <c r="B135" s="65"/>
      <c r="C135" s="65" t="s">
        <v>1275</v>
      </c>
      <c r="D135" s="62" t="s">
        <v>1291</v>
      </c>
      <c r="E135" s="487">
        <f>'Bending Stiffness'!A21</f>
        <v>0.109</v>
      </c>
      <c r="F135" s="60"/>
      <c r="H135" s="61"/>
      <c r="I135" s="61"/>
      <c r="J135" s="61"/>
      <c r="K135" s="61"/>
      <c r="L135" s="61"/>
    </row>
    <row r="136" spans="1:12" ht="15" customHeight="1">
      <c r="A136" s="64"/>
      <c r="B136" s="65"/>
      <c r="C136" s="65" t="s">
        <v>1275</v>
      </c>
      <c r="D136" s="62" t="s">
        <v>1292</v>
      </c>
      <c r="E136" s="487">
        <f>'Bending Stiffness'!A22</f>
        <v>0.121</v>
      </c>
      <c r="F136" s="60"/>
      <c r="H136" s="61"/>
      <c r="I136" s="61"/>
      <c r="J136" s="61"/>
      <c r="K136" s="61"/>
      <c r="L136" s="61"/>
    </row>
    <row r="137" spans="1:12" ht="15" customHeight="1">
      <c r="A137" s="64"/>
      <c r="B137" s="65"/>
      <c r="C137" s="65" t="s">
        <v>1275</v>
      </c>
      <c r="D137" s="62" t="s">
        <v>1293</v>
      </c>
      <c r="E137" s="487">
        <f>'Bending Stiffness'!A23</f>
        <v>0.13300000000000001</v>
      </c>
      <c r="F137" s="60"/>
      <c r="H137" s="61"/>
      <c r="I137" s="61"/>
      <c r="J137" s="61"/>
      <c r="K137" s="61"/>
      <c r="L137" s="61"/>
    </row>
    <row r="138" spans="1:12" ht="15" customHeight="1">
      <c r="A138" s="64"/>
      <c r="B138" s="65"/>
      <c r="C138" s="65" t="s">
        <v>1275</v>
      </c>
      <c r="D138" s="62" t="s">
        <v>1294</v>
      </c>
      <c r="E138" s="487">
        <f>'Bending Stiffness'!A24</f>
        <v>0.14499999999999999</v>
      </c>
      <c r="F138" s="60"/>
      <c r="H138" s="61"/>
      <c r="I138" s="61"/>
      <c r="J138" s="61"/>
      <c r="K138" s="61"/>
      <c r="L138" s="61"/>
    </row>
    <row r="139" spans="1:12" ht="15" customHeight="1">
      <c r="A139" s="64"/>
      <c r="B139" s="65"/>
      <c r="C139" s="65" t="s">
        <v>1275</v>
      </c>
      <c r="D139" s="62" t="s">
        <v>1295</v>
      </c>
      <c r="E139" s="487">
        <f>'Bending Stiffness'!A25</f>
        <v>0.159</v>
      </c>
      <c r="F139" s="60"/>
      <c r="H139" s="61"/>
      <c r="I139" s="61"/>
      <c r="J139" s="61"/>
      <c r="K139" s="61"/>
      <c r="L139" s="61"/>
    </row>
    <row r="140" spans="1:12" ht="15" customHeight="1">
      <c r="A140" s="64"/>
      <c r="B140" s="65"/>
      <c r="C140" s="65" t="s">
        <v>1275</v>
      </c>
      <c r="D140" s="62" t="s">
        <v>1296</v>
      </c>
      <c r="E140" s="487">
        <f>'Bending Stiffness'!A26</f>
        <v>0.17299999999999999</v>
      </c>
      <c r="F140" s="60"/>
      <c r="H140" s="61"/>
      <c r="I140" s="61"/>
      <c r="J140" s="61"/>
      <c r="K140" s="61"/>
      <c r="L140" s="61"/>
    </row>
    <row r="141" spans="1:12" ht="15" customHeight="1">
      <c r="A141" s="64"/>
      <c r="B141" s="65"/>
      <c r="C141" s="65" t="s">
        <v>1275</v>
      </c>
      <c r="D141" s="62" t="s">
        <v>1297</v>
      </c>
      <c r="E141" s="487">
        <f>'Bending Stiffness'!A27</f>
        <v>0.187</v>
      </c>
      <c r="F141" s="60"/>
      <c r="H141" s="61"/>
      <c r="I141" s="61"/>
      <c r="J141" s="61"/>
      <c r="K141" s="61"/>
      <c r="L141" s="61"/>
    </row>
    <row r="142" spans="1:12" ht="15" customHeight="1">
      <c r="A142" s="64"/>
      <c r="B142" s="65"/>
      <c r="C142" s="65" t="s">
        <v>1275</v>
      </c>
      <c r="D142" s="62" t="s">
        <v>1298</v>
      </c>
      <c r="E142" s="487">
        <f>'Bending Stiffness'!A28</f>
        <v>0.20200000000000001</v>
      </c>
      <c r="F142" s="60"/>
      <c r="H142" s="61"/>
      <c r="I142" s="61"/>
      <c r="J142" s="61"/>
      <c r="K142" s="61"/>
      <c r="L142" s="61"/>
    </row>
    <row r="143" spans="1:12" ht="15" customHeight="1">
      <c r="A143" s="64"/>
      <c r="B143" s="65"/>
      <c r="C143" s="65" t="s">
        <v>1275</v>
      </c>
      <c r="D143" s="62" t="s">
        <v>1299</v>
      </c>
      <c r="E143" s="487">
        <f>'Bending Stiffness'!A29</f>
        <v>0.217</v>
      </c>
      <c r="F143" s="60"/>
      <c r="H143" s="61"/>
      <c r="I143" s="61"/>
      <c r="J143" s="61"/>
      <c r="K143" s="61"/>
      <c r="L143" s="61"/>
    </row>
    <row r="144" spans="1:12" ht="15" customHeight="1">
      <c r="A144" s="64"/>
      <c r="B144" s="65"/>
      <c r="C144" s="65" t="s">
        <v>1275</v>
      </c>
      <c r="D144" s="62" t="s">
        <v>1300</v>
      </c>
      <c r="E144" s="487">
        <f>'Bending Stiffness'!C6</f>
        <v>1.3220000000000001</v>
      </c>
      <c r="F144" s="60"/>
      <c r="H144" s="61"/>
      <c r="I144" s="61"/>
      <c r="J144" s="61"/>
      <c r="K144" s="61"/>
      <c r="L144" s="61"/>
    </row>
    <row r="145" spans="1:12" ht="15" customHeight="1">
      <c r="A145" s="64"/>
      <c r="B145" s="65"/>
      <c r="C145" s="65" t="s">
        <v>1275</v>
      </c>
      <c r="D145" s="62" t="s">
        <v>1301</v>
      </c>
      <c r="E145" s="487">
        <f>'Bending Stiffness'!C7</f>
        <v>1.5309999999999999</v>
      </c>
      <c r="F145" s="60"/>
      <c r="H145" s="61"/>
      <c r="I145" s="61"/>
      <c r="J145" s="61"/>
      <c r="K145" s="61"/>
      <c r="L145" s="61"/>
    </row>
    <row r="146" spans="1:12" ht="15" customHeight="1">
      <c r="A146" s="64"/>
      <c r="B146" s="65"/>
      <c r="C146" s="65" t="s">
        <v>1275</v>
      </c>
      <c r="D146" s="62" t="s">
        <v>1302</v>
      </c>
      <c r="E146" s="487">
        <f>'Bending Stiffness'!C8</f>
        <v>1.7749999999999999</v>
      </c>
      <c r="F146" s="60"/>
      <c r="H146" s="61"/>
      <c r="I146" s="61"/>
      <c r="J146" s="61"/>
      <c r="K146" s="61"/>
      <c r="L146" s="61"/>
    </row>
    <row r="147" spans="1:12" ht="15" customHeight="1">
      <c r="A147" s="64"/>
      <c r="B147" s="65"/>
      <c r="C147" s="65" t="s">
        <v>1275</v>
      </c>
      <c r="D147" s="62" t="s">
        <v>1303</v>
      </c>
      <c r="E147" s="487">
        <f>'Bending Stiffness'!C9</f>
        <v>2.0550000000000002</v>
      </c>
      <c r="F147" s="60"/>
      <c r="H147" s="61"/>
      <c r="I147" s="61"/>
      <c r="J147" s="61"/>
      <c r="K147" s="61"/>
      <c r="L147" s="61"/>
    </row>
    <row r="148" spans="1:12" ht="15" customHeight="1">
      <c r="A148" s="64"/>
      <c r="B148" s="65"/>
      <c r="C148" s="65" t="s">
        <v>1275</v>
      </c>
      <c r="D148" s="62" t="s">
        <v>1304</v>
      </c>
      <c r="E148" s="487">
        <f>'Bending Stiffness'!C10</f>
        <v>2.3820000000000001</v>
      </c>
      <c r="F148" s="60"/>
      <c r="H148" s="61"/>
      <c r="I148" s="61"/>
      <c r="J148" s="61"/>
      <c r="K148" s="61"/>
      <c r="L148" s="61"/>
    </row>
    <row r="149" spans="1:12" ht="15" customHeight="1">
      <c r="A149" s="64"/>
      <c r="B149" s="65"/>
      <c r="C149" s="65" t="s">
        <v>1275</v>
      </c>
      <c r="D149" s="62" t="s">
        <v>1305</v>
      </c>
      <c r="E149" s="487">
        <f>'Bending Stiffness'!C11</f>
        <v>2.726</v>
      </c>
      <c r="F149" s="60"/>
      <c r="H149" s="61"/>
      <c r="I149" s="61"/>
      <c r="J149" s="61"/>
      <c r="K149" s="61"/>
      <c r="L149" s="61"/>
    </row>
    <row r="150" spans="1:12" ht="15" customHeight="1">
      <c r="A150" s="64"/>
      <c r="B150" s="65"/>
      <c r="C150" s="65" t="s">
        <v>1275</v>
      </c>
      <c r="D150" s="62" t="s">
        <v>1306</v>
      </c>
      <c r="E150" s="487">
        <f>'Bending Stiffness'!C12</f>
        <v>3.1160000000000001</v>
      </c>
      <c r="F150" s="60"/>
      <c r="H150" s="61"/>
      <c r="I150" s="61"/>
      <c r="J150" s="61"/>
      <c r="K150" s="61"/>
      <c r="L150" s="61"/>
    </row>
    <row r="151" spans="1:12" ht="15" customHeight="1">
      <c r="A151" s="64"/>
      <c r="B151" s="65"/>
      <c r="C151" s="65" t="s">
        <v>1275</v>
      </c>
      <c r="D151" s="62" t="s">
        <v>1307</v>
      </c>
      <c r="E151" s="487">
        <f>'Bending Stiffness'!C13</f>
        <v>3.5430000000000001</v>
      </c>
      <c r="F151" s="60"/>
      <c r="H151" s="61"/>
      <c r="I151" s="61"/>
      <c r="J151" s="61"/>
      <c r="K151" s="61"/>
      <c r="L151" s="61"/>
    </row>
    <row r="152" spans="1:12" ht="15" customHeight="1">
      <c r="A152" s="64"/>
      <c r="B152" s="65"/>
      <c r="C152" s="65" t="s">
        <v>1275</v>
      </c>
      <c r="D152" s="62" t="s">
        <v>1308</v>
      </c>
      <c r="E152" s="487">
        <f>'Bending Stiffness'!C14</f>
        <v>4.0069999999999997</v>
      </c>
      <c r="F152" s="60"/>
      <c r="H152" s="61"/>
      <c r="I152" s="61"/>
      <c r="J152" s="61"/>
      <c r="K152" s="61"/>
      <c r="L152" s="61"/>
    </row>
    <row r="153" spans="1:12" ht="15" customHeight="1">
      <c r="A153" s="64"/>
      <c r="B153" s="65"/>
      <c r="C153" s="65" t="s">
        <v>1275</v>
      </c>
      <c r="D153" s="62" t="s">
        <v>1309</v>
      </c>
      <c r="E153" s="487">
        <f>'Bending Stiffness'!C15</f>
        <v>4.508</v>
      </c>
      <c r="F153" s="60"/>
      <c r="H153" s="61"/>
      <c r="I153" s="61"/>
      <c r="J153" s="61"/>
      <c r="K153" s="61"/>
      <c r="L153" s="61"/>
    </row>
    <row r="154" spans="1:12" ht="15" customHeight="1">
      <c r="A154" s="64"/>
      <c r="B154" s="65"/>
      <c r="C154" s="65" t="s">
        <v>1275</v>
      </c>
      <c r="D154" s="62" t="s">
        <v>1310</v>
      </c>
      <c r="E154" s="487">
        <f>'Bending Stiffness'!C16</f>
        <v>5.0460000000000003</v>
      </c>
      <c r="F154" s="60"/>
      <c r="H154" s="61"/>
      <c r="I154" s="61"/>
      <c r="J154" s="61"/>
      <c r="K154" s="61"/>
      <c r="L154" s="61"/>
    </row>
    <row r="155" spans="1:12" ht="15" customHeight="1">
      <c r="A155" s="64"/>
      <c r="B155" s="65"/>
      <c r="C155" s="65" t="s">
        <v>1275</v>
      </c>
      <c r="D155" s="62" t="s">
        <v>1311</v>
      </c>
      <c r="E155" s="487">
        <f>'Bending Stiffness'!C17</f>
        <v>5.6210000000000004</v>
      </c>
      <c r="F155" s="60"/>
      <c r="H155" s="61"/>
      <c r="I155" s="61"/>
      <c r="J155" s="61"/>
      <c r="K155" s="61"/>
      <c r="L155" s="61"/>
    </row>
    <row r="156" spans="1:12" ht="15" customHeight="1">
      <c r="A156" s="64"/>
      <c r="B156" s="65"/>
      <c r="C156" s="65" t="s">
        <v>1275</v>
      </c>
      <c r="D156" s="62" t="s">
        <v>1312</v>
      </c>
      <c r="E156" s="487">
        <f>'Bending Stiffness'!C18</f>
        <v>6.2320000000000002</v>
      </c>
      <c r="F156" s="60"/>
      <c r="H156" s="61"/>
      <c r="I156" s="61"/>
      <c r="J156" s="61"/>
      <c r="K156" s="61"/>
      <c r="L156" s="61"/>
    </row>
    <row r="157" spans="1:12" ht="15" customHeight="1">
      <c r="A157" s="64"/>
      <c r="B157" s="65"/>
      <c r="C157" s="65" t="s">
        <v>1275</v>
      </c>
      <c r="D157" s="62" t="s">
        <v>1313</v>
      </c>
      <c r="E157" s="487">
        <f>'Bending Stiffness'!C19</f>
        <v>6.88</v>
      </c>
      <c r="F157" s="60"/>
      <c r="H157" s="61"/>
      <c r="I157" s="61"/>
      <c r="J157" s="61"/>
      <c r="K157" s="61"/>
      <c r="L157" s="61"/>
    </row>
    <row r="158" spans="1:12" ht="15" customHeight="1">
      <c r="A158" s="64"/>
      <c r="B158" s="65"/>
      <c r="C158" s="65" t="s">
        <v>1275</v>
      </c>
      <c r="D158" s="62" t="s">
        <v>1314</v>
      </c>
      <c r="E158" s="487">
        <f>'Bending Stiffness'!C20</f>
        <v>7.5650000000000004</v>
      </c>
      <c r="F158" s="60"/>
      <c r="H158" s="61"/>
      <c r="I158" s="61"/>
      <c r="J158" s="61"/>
      <c r="K158" s="61"/>
      <c r="L158" s="61"/>
    </row>
    <row r="159" spans="1:12" ht="15" customHeight="1">
      <c r="A159" s="64"/>
      <c r="B159" s="65"/>
      <c r="C159" s="65" t="s">
        <v>1275</v>
      </c>
      <c r="D159" s="62" t="s">
        <v>1315</v>
      </c>
      <c r="E159" s="487">
        <f>'Bending Stiffness'!C21</f>
        <v>8.2870000000000008</v>
      </c>
      <c r="F159" s="60"/>
      <c r="H159" s="61"/>
      <c r="I159" s="61"/>
      <c r="J159" s="61"/>
      <c r="K159" s="61"/>
      <c r="L159" s="61"/>
    </row>
    <row r="160" spans="1:12" ht="15" customHeight="1">
      <c r="A160" s="64"/>
      <c r="B160" s="65"/>
      <c r="C160" s="65" t="s">
        <v>1275</v>
      </c>
      <c r="D160" s="62" t="s">
        <v>1316</v>
      </c>
      <c r="E160" s="487">
        <f>'Bending Stiffness'!C22</f>
        <v>9.0459999999999994</v>
      </c>
      <c r="F160" s="60"/>
      <c r="H160" s="61"/>
      <c r="I160" s="61"/>
      <c r="J160" s="61"/>
      <c r="K160" s="61"/>
      <c r="L160" s="61"/>
    </row>
    <row r="161" spans="1:12" ht="15" customHeight="1">
      <c r="A161" s="64"/>
      <c r="B161" s="65"/>
      <c r="C161" s="65" t="s">
        <v>1275</v>
      </c>
      <c r="D161" s="62" t="s">
        <v>1317</v>
      </c>
      <c r="E161" s="487">
        <f>'Bending Stiffness'!C23</f>
        <v>9.8409999999999993</v>
      </c>
      <c r="F161" s="60"/>
      <c r="H161" s="61"/>
      <c r="I161" s="61"/>
      <c r="J161" s="61"/>
      <c r="K161" s="61"/>
      <c r="L161" s="61"/>
    </row>
    <row r="162" spans="1:12" ht="15" customHeight="1">
      <c r="A162" s="64"/>
      <c r="B162" s="65"/>
      <c r="C162" s="65" t="s">
        <v>1275</v>
      </c>
      <c r="D162" s="62" t="s">
        <v>1318</v>
      </c>
      <c r="E162" s="487">
        <f>'Bending Stiffness'!C24</f>
        <v>10.673999999999999</v>
      </c>
      <c r="F162" s="60"/>
      <c r="H162" s="61"/>
      <c r="I162" s="61"/>
      <c r="J162" s="61"/>
      <c r="K162" s="61"/>
      <c r="L162" s="61"/>
    </row>
    <row r="163" spans="1:12" ht="15" customHeight="1">
      <c r="A163" s="64"/>
      <c r="B163" s="65"/>
      <c r="C163" s="65" t="s">
        <v>1275</v>
      </c>
      <c r="D163" s="62" t="s">
        <v>1319</v>
      </c>
      <c r="E163" s="487">
        <f>'Bending Stiffness'!C25</f>
        <v>11.542999999999999</v>
      </c>
      <c r="F163" s="60"/>
      <c r="H163" s="61"/>
      <c r="I163" s="61"/>
      <c r="J163" s="61"/>
      <c r="K163" s="61"/>
      <c r="L163" s="61"/>
    </row>
    <row r="164" spans="1:12" ht="15" customHeight="1">
      <c r="A164" s="64"/>
      <c r="B164" s="65"/>
      <c r="C164" s="65" t="s">
        <v>1275</v>
      </c>
      <c r="D164" s="62" t="s">
        <v>1320</v>
      </c>
      <c r="E164" s="487">
        <f>'Bending Stiffness'!C26</f>
        <v>12.449</v>
      </c>
      <c r="F164" s="60"/>
      <c r="H164" s="61"/>
      <c r="I164" s="61"/>
      <c r="J164" s="61"/>
      <c r="K164" s="61"/>
      <c r="L164" s="61"/>
    </row>
    <row r="165" spans="1:12" ht="15" customHeight="1">
      <c r="A165" s="64"/>
      <c r="B165" s="65"/>
      <c r="C165" s="65" t="s">
        <v>1275</v>
      </c>
      <c r="D165" s="62" t="s">
        <v>1321</v>
      </c>
      <c r="E165" s="487">
        <f>'Bending Stiffness'!C27</f>
        <v>13.391</v>
      </c>
      <c r="F165" s="60"/>
      <c r="H165" s="61"/>
      <c r="I165" s="61"/>
      <c r="J165" s="61"/>
      <c r="K165" s="61"/>
      <c r="L165" s="61"/>
    </row>
    <row r="166" spans="1:12" ht="15" customHeight="1">
      <c r="A166" s="64"/>
      <c r="B166" s="65"/>
      <c r="C166" s="65" t="s">
        <v>1275</v>
      </c>
      <c r="D166" s="62" t="s">
        <v>1322</v>
      </c>
      <c r="E166" s="487">
        <f>'Bending Stiffness'!C28</f>
        <v>14.371</v>
      </c>
      <c r="F166" s="60"/>
      <c r="H166" s="61"/>
      <c r="I166" s="61"/>
      <c r="J166" s="61"/>
      <c r="K166" s="61"/>
      <c r="L166" s="61"/>
    </row>
    <row r="167" spans="1:12" ht="15" customHeight="1">
      <c r="A167" s="64"/>
      <c r="B167" s="65"/>
      <c r="C167" s="65" t="s">
        <v>1275</v>
      </c>
      <c r="D167" s="62" t="s">
        <v>1323</v>
      </c>
      <c r="E167" s="487">
        <f>'Bending Stiffness'!C29</f>
        <v>15.388</v>
      </c>
      <c r="F167" s="60"/>
      <c r="H167" s="61"/>
      <c r="I167" s="61"/>
      <c r="J167" s="61"/>
      <c r="K167" s="61"/>
      <c r="L167" s="61"/>
    </row>
    <row r="168" spans="1:12" ht="15" customHeight="1">
      <c r="A168" s="64"/>
      <c r="B168" s="65"/>
      <c r="C168" s="65" t="s">
        <v>1272</v>
      </c>
      <c r="D168" s="62" t="s">
        <v>1324</v>
      </c>
      <c r="E168" s="78">
        <f>'MCV e Guindaste'!O17</f>
        <v>2240</v>
      </c>
      <c r="F168" s="60"/>
      <c r="H168" s="61"/>
      <c r="I168" s="61"/>
      <c r="J168" s="61"/>
      <c r="K168" s="61"/>
      <c r="L168" s="61"/>
    </row>
    <row r="169" spans="1:12" ht="15" customHeight="1">
      <c r="A169" s="64"/>
      <c r="B169" s="65"/>
      <c r="C169" s="65" t="s">
        <v>1272</v>
      </c>
      <c r="D169" s="62" t="s">
        <v>1325</v>
      </c>
      <c r="E169" s="103">
        <v>4</v>
      </c>
      <c r="F169" s="60"/>
      <c r="H169" s="61"/>
      <c r="I169" s="61"/>
      <c r="J169" s="61"/>
      <c r="K169" s="61"/>
      <c r="L169" s="61"/>
    </row>
    <row r="170" spans="1:12" ht="15" customHeight="1">
      <c r="A170" s="64"/>
      <c r="B170" s="65"/>
      <c r="C170" s="65" t="s">
        <v>1272</v>
      </c>
      <c r="D170" s="62" t="s">
        <v>1326</v>
      </c>
      <c r="E170" s="63">
        <f>IF('MCV e Guindaste'!N22="",E168,'MCV e Guindaste'!N22)</f>
        <v>5</v>
      </c>
      <c r="F170" s="60"/>
      <c r="H170" s="61"/>
      <c r="I170" s="61"/>
      <c r="J170" s="61"/>
      <c r="K170" s="61"/>
      <c r="L170" s="61"/>
    </row>
    <row r="171" spans="1:12" ht="15" customHeight="1">
      <c r="A171" s="64"/>
      <c r="B171" s="65"/>
      <c r="C171" s="65" t="s">
        <v>1272</v>
      </c>
      <c r="D171" s="62" t="s">
        <v>1327</v>
      </c>
      <c r="E171" s="63">
        <f>'MCV e Guindaste'!P22</f>
        <v>2240</v>
      </c>
      <c r="F171" s="60"/>
      <c r="H171" s="61"/>
      <c r="I171" s="61"/>
      <c r="J171" s="61"/>
      <c r="K171" s="61"/>
      <c r="L171" s="61"/>
    </row>
    <row r="172" spans="1:12" ht="15" customHeight="1">
      <c r="A172" s="64"/>
      <c r="B172" s="65"/>
      <c r="C172" s="65" t="s">
        <v>1272</v>
      </c>
      <c r="D172" s="62" t="s">
        <v>1328</v>
      </c>
      <c r="E172" s="63">
        <f>IF('MCV e Guindaste'!N23="",E170,'MCV e Guindaste'!N23)</f>
        <v>10</v>
      </c>
      <c r="F172" s="60"/>
      <c r="H172" s="61"/>
      <c r="I172" s="61"/>
      <c r="J172" s="61"/>
      <c r="K172" s="61"/>
      <c r="L172" s="61"/>
    </row>
    <row r="173" spans="1:12" ht="15" customHeight="1">
      <c r="A173" s="64"/>
      <c r="B173" s="65"/>
      <c r="C173" s="65" t="s">
        <v>1272</v>
      </c>
      <c r="D173" s="62" t="s">
        <v>1329</v>
      </c>
      <c r="E173" s="63">
        <f>'MCV e Guindaste'!P23</f>
        <v>2240</v>
      </c>
      <c r="F173" s="60"/>
      <c r="H173" s="61"/>
      <c r="I173" s="61"/>
      <c r="J173" s="61"/>
      <c r="K173" s="61"/>
      <c r="L173" s="61"/>
    </row>
    <row r="174" spans="1:12" ht="15" customHeight="1">
      <c r="A174" s="64"/>
      <c r="B174" s="65"/>
      <c r="C174" s="65" t="s">
        <v>1272</v>
      </c>
      <c r="D174" s="62" t="s">
        <v>1330</v>
      </c>
      <c r="E174" s="63">
        <f>IF('MCV e Guindaste'!N24="",E172,'MCV e Guindaste'!N24)</f>
        <v>15</v>
      </c>
      <c r="F174" s="60"/>
      <c r="H174" s="61"/>
      <c r="I174" s="61"/>
      <c r="J174" s="61"/>
      <c r="K174" s="61"/>
      <c r="L174" s="61"/>
    </row>
    <row r="175" spans="1:12" ht="15" customHeight="1">
      <c r="A175" s="64"/>
      <c r="B175" s="65"/>
      <c r="C175" s="65" t="s">
        <v>1272</v>
      </c>
      <c r="D175" s="62" t="s">
        <v>1331</v>
      </c>
      <c r="E175" s="63">
        <f>'MCV e Guindaste'!P24</f>
        <v>2240</v>
      </c>
      <c r="F175" s="60"/>
      <c r="H175" s="61"/>
      <c r="I175" s="61"/>
      <c r="J175" s="61"/>
      <c r="K175" s="61"/>
      <c r="L175" s="61"/>
    </row>
    <row r="176" spans="1:12" ht="15" customHeight="1">
      <c r="A176" s="64"/>
      <c r="B176" s="65"/>
      <c r="C176" s="65" t="s">
        <v>1332</v>
      </c>
      <c r="D176" s="62" t="s">
        <v>1276</v>
      </c>
      <c r="E176" s="339">
        <f>'Bending Stiffness'!F6</f>
        <v>0.24154589371980678</v>
      </c>
      <c r="F176" s="60"/>
      <c r="H176" s="61"/>
      <c r="I176" s="61"/>
      <c r="J176" s="61"/>
      <c r="K176" s="61"/>
      <c r="L176" s="61"/>
    </row>
    <row r="177" spans="1:12" ht="15" customHeight="1">
      <c r="A177" s="64"/>
      <c r="B177" s="65"/>
      <c r="C177" s="65" t="s">
        <v>1332</v>
      </c>
      <c r="D177" s="62" t="s">
        <v>1277</v>
      </c>
      <c r="E177" s="257">
        <f>'Bending Stiffness'!F7</f>
        <v>1.2415458937198067</v>
      </c>
      <c r="F177" s="60"/>
      <c r="H177" s="61"/>
      <c r="I177" s="61"/>
      <c r="J177" s="61"/>
      <c r="K177" s="61"/>
      <c r="L177" s="61"/>
    </row>
    <row r="178" spans="1:12" ht="15" customHeight="1">
      <c r="A178" s="64"/>
      <c r="B178" s="65"/>
      <c r="C178" s="65" t="s">
        <v>1332</v>
      </c>
      <c r="D178" s="62" t="s">
        <v>1300</v>
      </c>
      <c r="E178" s="76">
        <f>'Bending Stiffness'!G6</f>
        <v>0.01</v>
      </c>
      <c r="F178" s="60"/>
      <c r="H178" s="61"/>
      <c r="I178" s="61"/>
      <c r="J178" s="61"/>
      <c r="K178" s="61"/>
      <c r="L178" s="61"/>
    </row>
    <row r="179" spans="1:12" ht="15" customHeight="1">
      <c r="A179" s="64"/>
      <c r="B179" s="65"/>
      <c r="C179" s="65" t="s">
        <v>1332</v>
      </c>
      <c r="D179" s="62" t="s">
        <v>1301</v>
      </c>
      <c r="E179" s="78">
        <f>'Bending Stiffness'!G7</f>
        <v>406797.02009192057</v>
      </c>
      <c r="F179" s="60"/>
      <c r="H179" s="61"/>
      <c r="I179" s="61"/>
      <c r="J179" s="61"/>
      <c r="K179" s="61"/>
      <c r="L179" s="61"/>
    </row>
    <row r="180" spans="1:12" ht="15" customHeight="1" thickBot="1">
      <c r="A180" s="69"/>
      <c r="B180" s="70"/>
      <c r="C180" s="71"/>
      <c r="D180" s="72" t="s">
        <v>1333</v>
      </c>
      <c r="E180" s="73" t="str">
        <f>"Estatico.dat"</f>
        <v>Estatico.dat</v>
      </c>
      <c r="F180" s="38"/>
      <c r="H180" s="27"/>
      <c r="I180" s="27"/>
      <c r="J180" s="27"/>
      <c r="K180" s="27"/>
      <c r="L180" s="27"/>
    </row>
  </sheetData>
  <dataConsolidate link="1"/>
  <dataValidations count="3">
    <dataValidation type="list" allowBlank="1" showInputMessage="1" showErrorMessage="1" sqref="B4" xr:uid="{00000000-0002-0000-0D00-000000000000}">
      <formula1>Linhas</formula1>
    </dataValidation>
    <dataValidation allowBlank="1" showErrorMessage="1" prompt="O conteúdo desta célula não deve ser alterado." sqref="A168:B175 A70:E70 C168:E168" xr:uid="{00000000-0002-0000-0D00-000001000000}"/>
    <dataValidation allowBlank="1" showErrorMessage="1" prompt="O conteúdo desta célula pode estar oculto, porém não deve ser alterado." sqref="C169:E175" xr:uid="{00000000-0002-0000-0D00-000002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criptSheet.uso_for">
                <anchor moveWithCells="1" sizeWithCells="1">
                  <from>
                    <xdr:col>4</xdr:col>
                    <xdr:colOff>381000</xdr:colOff>
                    <xdr:row>2</xdr:row>
                    <xdr:rowOff>19050</xdr:rowOff>
                  </from>
                  <to>
                    <xdr:col>4</xdr:col>
                    <xdr:colOff>2222500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"/>
  <dimension ref="A1:AN118"/>
  <sheetViews>
    <sheetView tabSelected="1" topLeftCell="F13" zoomScale="85" zoomScaleNormal="85" workbookViewId="0">
      <selection activeCell="H19" sqref="H19"/>
    </sheetView>
  </sheetViews>
  <sheetFormatPr defaultColWidth="9.140625" defaultRowHeight="15" customHeight="1"/>
  <cols>
    <col min="1" max="1" width="38.140625" style="23" hidden="1" customWidth="1"/>
    <col min="2" max="2" width="33.140625" style="25" hidden="1" customWidth="1"/>
    <col min="3" max="3" width="21.7109375" style="25" hidden="1" customWidth="1"/>
    <col min="4" max="4" width="28" style="25" hidden="1" customWidth="1"/>
    <col min="5" max="5" width="11" style="25" hidden="1" customWidth="1"/>
    <col min="6" max="6" width="5.7109375" style="23" customWidth="1"/>
    <col min="7" max="7" width="30.7109375" style="314" customWidth="1"/>
    <col min="8" max="8" width="60.7109375" style="314" customWidth="1"/>
    <col min="9" max="9" width="5.7109375" style="23" customWidth="1"/>
    <col min="10" max="10" width="20.7109375" style="23" customWidth="1"/>
    <col min="11" max="11" width="5.7109375" style="23" customWidth="1"/>
    <col min="12" max="12" width="10.7109375" style="23" hidden="1" customWidth="1"/>
    <col min="13" max="13" width="15.7109375" style="23" hidden="1" customWidth="1"/>
    <col min="14" max="14" width="5.7109375" style="23" hidden="1" customWidth="1"/>
    <col min="15" max="15" width="14.140625" style="23" hidden="1" customWidth="1"/>
    <col min="16" max="16" width="10.42578125" style="23" hidden="1" customWidth="1"/>
    <col min="17" max="19" width="9.140625" style="23" hidden="1" customWidth="1"/>
    <col min="20" max="20" width="9" style="23" hidden="1" customWidth="1"/>
    <col min="21" max="22" width="10.140625" style="23" hidden="1" customWidth="1"/>
    <col min="23" max="26" width="9.140625" style="23" hidden="1" customWidth="1"/>
    <col min="27" max="27" width="7.85546875" style="23" customWidth="1"/>
    <col min="28" max="28" width="8.28515625" style="23" customWidth="1"/>
    <col min="29" max="29" width="7.5703125" style="23" customWidth="1"/>
    <col min="30" max="30" width="6.140625" style="23" customWidth="1"/>
    <col min="31" max="31" width="13.140625" style="23" customWidth="1"/>
    <col min="32" max="32" width="9.85546875" style="23" bestFit="1" customWidth="1"/>
    <col min="33" max="33" width="6.7109375" style="23" bestFit="1" customWidth="1"/>
    <col min="34" max="34" width="8.7109375" style="23" bestFit="1" customWidth="1"/>
    <col min="35" max="35" width="9.85546875" style="23" bestFit="1" customWidth="1"/>
    <col min="36" max="36" width="6.7109375" style="23" bestFit="1" customWidth="1"/>
    <col min="37" max="37" width="8.7109375" style="23" bestFit="1" customWidth="1"/>
    <col min="38" max="38" width="9.85546875" style="23" bestFit="1" customWidth="1"/>
    <col min="39" max="39" width="6.7109375" style="23" bestFit="1" customWidth="1"/>
    <col min="40" max="40" width="8.7109375" style="23" bestFit="1" customWidth="1"/>
    <col min="41" max="16384" width="9.140625" style="23"/>
  </cols>
  <sheetData>
    <row r="1" spans="1:40" thickBot="1">
      <c r="A1" s="343" t="s">
        <v>1334</v>
      </c>
      <c r="C1" s="343" t="s">
        <v>1335</v>
      </c>
      <c r="E1" s="343" t="s">
        <v>1336</v>
      </c>
      <c r="F1"/>
      <c r="I1" s="118"/>
      <c r="J1" s="118"/>
      <c r="AA1" s="585" t="str">
        <f>_xlfn.CONCAT("RT-",Results!H22," - CVD de 1ª - ",Results!H19," - ",Results!H17)</f>
        <v>RT-2691 - CVD de 1ª - 8-LL-44-RJS - IG</v>
      </c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</row>
    <row r="2" spans="1:40" thickBot="1">
      <c r="A2" s="131" t="s">
        <v>102</v>
      </c>
      <c r="B2" t="str">
        <f>IF(Values!A7="",Values!A5,_xlfn.CONCAT(Values!A5," Rev. ",Values!A7))</f>
        <v>WSI 152.2553-RD-4042-6 Rev. 1</v>
      </c>
      <c r="C2" s="131" t="s">
        <v>1337</v>
      </c>
      <c r="D2" t="str">
        <f>'Py1'!A5</f>
        <v>estatico.png</v>
      </c>
      <c r="E2" s="25">
        <v>24</v>
      </c>
      <c r="F2"/>
      <c r="G2" s="580" t="s">
        <v>1338</v>
      </c>
      <c r="H2" s="581"/>
      <c r="I2" s="118"/>
      <c r="J2" s="118"/>
      <c r="K2" s="118"/>
      <c r="L2" s="578" t="s">
        <v>1339</v>
      </c>
      <c r="M2" s="579"/>
      <c r="N2" s="120"/>
      <c r="AA2" s="585" t="s">
        <v>1340</v>
      </c>
      <c r="AB2" s="585" t="s">
        <v>1341</v>
      </c>
      <c r="AC2" s="585" t="s">
        <v>1342</v>
      </c>
      <c r="AD2" s="585" t="s">
        <v>1343</v>
      </c>
      <c r="AE2" s="585" t="s">
        <v>1344</v>
      </c>
      <c r="AF2" s="584" t="s">
        <v>1345</v>
      </c>
      <c r="AG2" s="584"/>
      <c r="AH2" s="584"/>
      <c r="AI2" s="584" t="s">
        <v>1346</v>
      </c>
      <c r="AJ2" s="584"/>
      <c r="AK2" s="584"/>
      <c r="AL2" s="584" t="s">
        <v>1347</v>
      </c>
      <c r="AM2" s="584"/>
      <c r="AN2" s="584"/>
    </row>
    <row r="3" spans="1:40" ht="14.45">
      <c r="A3" s="131" t="s">
        <v>253</v>
      </c>
      <c r="B3" t="str">
        <f>IF(Values!A22="",Values!A20,_xlfn.CONCAT(Values!A20," Rev. ",Values!A22))</f>
        <v>CB-BR1522553-00-01 Rev. 1</v>
      </c>
      <c r="C3" s="411" t="s">
        <v>1348</v>
      </c>
      <c r="D3" s="25" t="str">
        <f>'Py2'!A5</f>
        <v>cont1.png</v>
      </c>
      <c r="E3" s="25">
        <v>28</v>
      </c>
      <c r="F3"/>
      <c r="G3" s="582" t="s">
        <v>1349</v>
      </c>
      <c r="H3" s="583"/>
      <c r="I3" s="118"/>
      <c r="J3" s="118"/>
      <c r="K3" s="118"/>
      <c r="L3" s="128" t="s">
        <v>68</v>
      </c>
      <c r="M3" s="324">
        <f>ROUND(Auxiliar2!Q24,2)</f>
        <v>3.81</v>
      </c>
      <c r="N3" s="120"/>
      <c r="AA3" s="586"/>
      <c r="AB3" s="586"/>
      <c r="AC3" s="586"/>
      <c r="AD3" s="586"/>
      <c r="AE3" s="586"/>
      <c r="AF3" s="377" t="s">
        <v>478</v>
      </c>
      <c r="AG3" s="377" t="s">
        <v>477</v>
      </c>
      <c r="AH3" s="377" t="s">
        <v>476</v>
      </c>
      <c r="AI3" s="377" t="s">
        <v>478</v>
      </c>
      <c r="AJ3" s="377" t="s">
        <v>477</v>
      </c>
      <c r="AK3" s="377" t="s">
        <v>476</v>
      </c>
      <c r="AL3" s="377" t="s">
        <v>478</v>
      </c>
      <c r="AM3" s="377" t="s">
        <v>477</v>
      </c>
      <c r="AN3" s="377" t="s">
        <v>476</v>
      </c>
    </row>
    <row r="4" spans="1:40" ht="14.45">
      <c r="A4" s="131" t="s">
        <v>242</v>
      </c>
      <c r="B4" t="str">
        <f>IF(Values!A41="",Values!A39,_xlfn.CONCAT(Values!A39," Rev. ",Values!A41))</f>
        <v>CB-EF1522540-00-05 Rev. 4</v>
      </c>
      <c r="C4" s="411" t="s">
        <v>1350</v>
      </c>
      <c r="D4" s="25" t="str">
        <f>'Py3'!A5</f>
        <v>cont2.png</v>
      </c>
      <c r="E4" s="25">
        <v>28</v>
      </c>
      <c r="F4"/>
      <c r="G4" s="576" t="s">
        <v>1351</v>
      </c>
      <c r="H4" s="577"/>
      <c r="I4" s="118"/>
      <c r="J4" s="118"/>
      <c r="K4" s="121"/>
      <c r="L4" s="128" t="s">
        <v>70</v>
      </c>
      <c r="M4" s="324">
        <f ca="1">ROUND(Auxiliar2!Q25,2)</f>
        <v>2.97</v>
      </c>
      <c r="N4" s="118"/>
      <c r="AA4" s="378" t="s">
        <v>1352</v>
      </c>
      <c r="AB4" s="378" t="s">
        <v>1353</v>
      </c>
      <c r="AC4" s="378" t="s">
        <v>1352</v>
      </c>
      <c r="AD4" s="378" t="s">
        <v>1354</v>
      </c>
      <c r="AE4" s="378" t="s">
        <v>1355</v>
      </c>
      <c r="AF4" s="378" t="s">
        <v>1355</v>
      </c>
      <c r="AG4" s="378" t="s">
        <v>1356</v>
      </c>
      <c r="AH4" s="378" t="s">
        <v>1356</v>
      </c>
      <c r="AI4" s="378" t="s">
        <v>1355</v>
      </c>
      <c r="AJ4" s="378" t="s">
        <v>1356</v>
      </c>
      <c r="AK4" s="378" t="s">
        <v>1356</v>
      </c>
      <c r="AL4" s="378" t="s">
        <v>1355</v>
      </c>
      <c r="AM4" s="378" t="s">
        <v>1356</v>
      </c>
      <c r="AN4" s="378" t="s">
        <v>1356</v>
      </c>
    </row>
    <row r="5" spans="1:40" ht="14.1">
      <c r="A5" s="131" t="s">
        <v>1357</v>
      </c>
      <c r="B5" t="str">
        <f>IF(Values!A51="","xinputx",IF(Values!A53="",Values!A51,_xlfn.CONCAT(Values!A51," Rev. ",Values!A53)))</f>
        <v>xinputx</v>
      </c>
      <c r="F5"/>
      <c r="G5" s="576" t="s">
        <v>1358</v>
      </c>
      <c r="H5" s="577"/>
      <c r="I5" s="118"/>
      <c r="J5" s="118"/>
      <c r="K5" s="118"/>
      <c r="L5" s="128" t="s">
        <v>72</v>
      </c>
      <c r="M5" s="324">
        <f>ROUND(Auxiliar2!Q26,2)</f>
        <v>8.6</v>
      </c>
      <c r="N5" s="118"/>
      <c r="AA5" s="246">
        <f>Results!E90</f>
        <v>3462</v>
      </c>
      <c r="AB5" s="246">
        <f>Results!E91</f>
        <v>2</v>
      </c>
      <c r="AC5" s="246">
        <f>Results!E92</f>
        <v>3</v>
      </c>
      <c r="AD5" s="376">
        <f>Results!E89</f>
        <v>2</v>
      </c>
      <c r="AE5" s="376">
        <f>Results!C37</f>
        <v>13.06</v>
      </c>
      <c r="AF5" s="376">
        <f>Results!C33</f>
        <v>43.29</v>
      </c>
      <c r="AG5" s="376">
        <f>Results!C32</f>
        <v>4.8</v>
      </c>
      <c r="AH5" s="376">
        <f>Results!C31</f>
        <v>-3.6999999999999997</v>
      </c>
      <c r="AI5" s="376">
        <f>Results!C36</f>
        <v>1.4</v>
      </c>
      <c r="AJ5" s="376">
        <f>Results!C35</f>
        <v>6.3599999999999994</v>
      </c>
      <c r="AK5" s="376">
        <f>Results!C34</f>
        <v>-11.57</v>
      </c>
      <c r="AL5" s="376">
        <f>Results!C42</f>
        <v>0.75</v>
      </c>
      <c r="AM5" s="376">
        <f>Results!C41</f>
        <v>6</v>
      </c>
      <c r="AN5" s="376">
        <f>Results!C40</f>
        <v>-10.94</v>
      </c>
    </row>
    <row r="6" spans="1:40" ht="14.45" thickBot="1">
      <c r="A6" s="131" t="s">
        <v>1359</v>
      </c>
      <c r="B6" t="str">
        <f>IF(AND('MCV e Guindaste'!B5=0,'MCV e Guindaste'!B6=0),"xinputx",IF('MCV e Guindaste'!B5="",'MCV e Guindaste'!B6,IF('MCV e Guindaste'!B6="",'MCV e Guindaste'!B5,_xlfn.CONCAT('MCV e Guindaste'!B6," / ",'MCV e Guindaste'!B5))))</f>
        <v>P7000048060 / TechnipFMC</v>
      </c>
      <c r="F6"/>
      <c r="G6" s="574" t="s">
        <v>1360</v>
      </c>
      <c r="H6" s="575"/>
      <c r="I6" s="118"/>
      <c r="J6" s="118"/>
      <c r="K6" s="118"/>
      <c r="L6" s="128" t="s">
        <v>74</v>
      </c>
      <c r="M6" s="324">
        <f ca="1">ROUND(Auxiliar2!Q27,2)</f>
        <v>5.82</v>
      </c>
      <c r="N6" s="118"/>
    </row>
    <row r="7" spans="1:40" ht="15" customHeight="1" thickBot="1">
      <c r="A7" s="194" t="s">
        <v>1361</v>
      </c>
      <c r="B7" s="24"/>
      <c r="C7" s="213" t="s">
        <v>1362</v>
      </c>
      <c r="D7"/>
      <c r="E7" s="213" t="s">
        <v>1363</v>
      </c>
      <c r="F7"/>
      <c r="I7" s="118"/>
      <c r="J7" s="118"/>
      <c r="K7" s="118"/>
      <c r="L7" s="128" t="s">
        <v>76</v>
      </c>
      <c r="M7" s="324">
        <f ca="1">ROUND(Auxiliar2!Q28,2)</f>
        <v>3.1</v>
      </c>
      <c r="N7" s="118"/>
    </row>
    <row r="8" spans="1:40" ht="15" customHeight="1" thickBot="1">
      <c r="A8" s="82" t="s">
        <v>1364</v>
      </c>
      <c r="B8" s="210">
        <f>'MCV e Guindaste'!B8/1000</f>
        <v>3.81</v>
      </c>
      <c r="C8" s="215">
        <f>ROUND(B8,2)</f>
        <v>3.81</v>
      </c>
      <c r="D8"/>
      <c r="E8" s="2" t="s">
        <v>1365</v>
      </c>
      <c r="F8"/>
      <c r="G8" s="580" t="s">
        <v>1366</v>
      </c>
      <c r="H8" s="581"/>
      <c r="I8" s="118"/>
      <c r="J8" s="118"/>
      <c r="K8" s="118"/>
      <c r="L8" s="128" t="s">
        <v>78</v>
      </c>
      <c r="M8" s="324">
        <f ca="1">ROUND(Auxiliar2!Q29,2)</f>
        <v>13.19</v>
      </c>
      <c r="N8" s="118"/>
    </row>
    <row r="9" spans="1:40" ht="15" customHeight="1">
      <c r="A9" s="82" t="s">
        <v>1367</v>
      </c>
      <c r="B9" s="210">
        <f>Values!C27</f>
        <v>4.1399999999999997</v>
      </c>
      <c r="C9" s="215">
        <f>ROUNDUP(B9,2)</f>
        <v>4.1399999999999997</v>
      </c>
      <c r="D9"/>
      <c r="E9" s="2" t="s">
        <v>1365</v>
      </c>
      <c r="F9"/>
      <c r="G9" s="315" t="s">
        <v>1368</v>
      </c>
      <c r="H9" s="316" t="s">
        <v>1369</v>
      </c>
      <c r="I9" s="118"/>
      <c r="J9" s="119"/>
      <c r="K9" s="118"/>
      <c r="L9" s="128" t="s">
        <v>80</v>
      </c>
      <c r="M9" s="324">
        <f ca="1">ROUND(Auxiliar2!Q30,2)</f>
        <v>12.32</v>
      </c>
      <c r="N9" s="118"/>
    </row>
    <row r="10" spans="1:40" ht="15" customHeight="1">
      <c r="A10" s="82" t="s">
        <v>1370</v>
      </c>
      <c r="B10" s="210">
        <f>Values!C13</f>
        <v>2.4</v>
      </c>
      <c r="C10" s="215">
        <f>ROUNDUP(B10,2)</f>
        <v>2.4</v>
      </c>
      <c r="D10"/>
      <c r="E10" s="2" t="s">
        <v>1365</v>
      </c>
      <c r="F10"/>
      <c r="G10" s="315" t="s">
        <v>1371</v>
      </c>
      <c r="H10" s="317" t="s">
        <v>1372</v>
      </c>
      <c r="I10" s="118"/>
      <c r="J10" s="119"/>
      <c r="K10" s="118"/>
      <c r="L10" s="128" t="s">
        <v>82</v>
      </c>
      <c r="M10" s="324">
        <f>ROUND(Auxiliar2!Q31,2)</f>
        <v>0.55000000000000004</v>
      </c>
      <c r="N10" s="118"/>
    </row>
    <row r="11" spans="1:40" ht="15" customHeight="1">
      <c r="A11" s="82" t="s">
        <v>1373</v>
      </c>
      <c r="B11" s="25">
        <f>Values!C28</f>
        <v>70</v>
      </c>
      <c r="C11" s="215">
        <f>ROUNDDOWN(B11,2)</f>
        <v>70</v>
      </c>
      <c r="D11"/>
      <c r="E11" s="2" t="s">
        <v>1374</v>
      </c>
      <c r="F11"/>
      <c r="G11" s="315" t="s">
        <v>1375</v>
      </c>
      <c r="H11" s="342" t="str">
        <f>'Script Table'!E69</f>
        <v>P7000048060</v>
      </c>
      <c r="I11" s="118"/>
      <c r="J11" s="118"/>
      <c r="K11" s="118"/>
      <c r="L11" s="128" t="s">
        <v>1376</v>
      </c>
      <c r="M11" s="324">
        <f ca="1">ROUND(Auxiliar3!W9,2)</f>
        <v>23.79</v>
      </c>
      <c r="N11" s="118"/>
    </row>
    <row r="12" spans="1:40" ht="15" customHeight="1">
      <c r="A12" s="82" t="s">
        <v>1377</v>
      </c>
      <c r="B12" s="25">
        <f>Values!C29</f>
        <v>34</v>
      </c>
      <c r="C12" s="215">
        <f>ROUNDDOWN(B12,2)</f>
        <v>34</v>
      </c>
      <c r="D12"/>
      <c r="E12" s="2" t="s">
        <v>1378</v>
      </c>
      <c r="F12"/>
      <c r="G12" s="315" t="s">
        <v>1379</v>
      </c>
      <c r="H12" s="317" t="s">
        <v>1380</v>
      </c>
      <c r="I12" s="118"/>
      <c r="J12" s="118"/>
      <c r="K12" s="118"/>
      <c r="L12" s="128" t="s">
        <v>1381</v>
      </c>
      <c r="M12" s="324">
        <f ca="1">ROUND(Auxiliar3!W10,2)</f>
        <v>4.1900000000000004</v>
      </c>
      <c r="N12" s="118"/>
    </row>
    <row r="13" spans="1:40" ht="15" customHeight="1">
      <c r="A13" s="194" t="s">
        <v>1382</v>
      </c>
      <c r="C13" s="216"/>
      <c r="D13"/>
      <c r="E13"/>
      <c r="F13"/>
      <c r="G13" s="315" t="s">
        <v>1383</v>
      </c>
      <c r="H13" s="317" t="s">
        <v>1384</v>
      </c>
      <c r="I13" s="118"/>
      <c r="J13" s="118"/>
      <c r="K13" s="118"/>
      <c r="L13" s="128" t="s">
        <v>1385</v>
      </c>
      <c r="M13" s="324">
        <f ca="1">ROUND(Auxiliar4!W9,2)</f>
        <v>23.37</v>
      </c>
      <c r="N13" s="118"/>
    </row>
    <row r="14" spans="1:40" ht="15" customHeight="1" thickBot="1">
      <c r="A14" s="82" t="s">
        <v>1386</v>
      </c>
      <c r="B14" s="25">
        <v>5.6225134786776874</v>
      </c>
      <c r="C14" s="215">
        <f>ROUNDDOWN(B14,2)</f>
        <v>5.62</v>
      </c>
      <c r="D14" s="335">
        <f>MIN(C14:C15)</f>
        <v>4.5599999999999996</v>
      </c>
      <c r="E14" s="344" t="s">
        <v>1365</v>
      </c>
      <c r="F14"/>
      <c r="G14" s="315" t="s">
        <v>1387</v>
      </c>
      <c r="H14" s="317" t="s">
        <v>1388</v>
      </c>
      <c r="I14" s="118"/>
      <c r="J14" s="118"/>
      <c r="K14" s="118"/>
      <c r="L14" s="129" t="s">
        <v>1389</v>
      </c>
      <c r="M14" s="325">
        <f ca="1">ROUND(Auxiliar4!W10,2)</f>
        <v>2.59</v>
      </c>
      <c r="N14" s="118"/>
    </row>
    <row r="15" spans="1:40" ht="15" customHeight="1">
      <c r="A15" s="131" t="s">
        <v>1390</v>
      </c>
      <c r="B15" s="2">
        <v>4.5645305948413766</v>
      </c>
      <c r="C15" s="215">
        <f>ROUNDDOWN(B15,2)</f>
        <v>4.5599999999999996</v>
      </c>
      <c r="D15" s="335"/>
      <c r="E15" s="344"/>
      <c r="F15"/>
      <c r="G15" s="315" t="s">
        <v>1391</v>
      </c>
      <c r="H15" s="317" t="s">
        <v>1348</v>
      </c>
      <c r="I15" s="118"/>
      <c r="J15" s="118"/>
      <c r="K15" s="118"/>
      <c r="L15" s="118"/>
      <c r="M15" s="118"/>
      <c r="N15" s="118"/>
      <c r="O15" s="118"/>
    </row>
    <row r="16" spans="1:40" ht="15" customHeight="1">
      <c r="A16" s="131" t="s">
        <v>489</v>
      </c>
      <c r="B16" s="2">
        <v>0.54939488039008211</v>
      </c>
      <c r="C16" s="215">
        <f>ROUND(B16,2)</f>
        <v>0.55000000000000004</v>
      </c>
      <c r="D16" s="335">
        <f>MIN(C16:C17)</f>
        <v>0.55000000000000004</v>
      </c>
      <c r="E16" s="344" t="s">
        <v>1365</v>
      </c>
      <c r="F16"/>
      <c r="G16" s="315" t="s">
        <v>1392</v>
      </c>
      <c r="H16" s="317" t="s">
        <v>1350</v>
      </c>
      <c r="I16" s="118"/>
      <c r="J16" s="118"/>
      <c r="K16" s="118"/>
      <c r="L16" s="118"/>
      <c r="M16" s="118"/>
      <c r="N16" s="118"/>
      <c r="O16" s="118"/>
    </row>
    <row r="17" spans="1:15" ht="15" customHeight="1">
      <c r="A17" s="131" t="s">
        <v>490</v>
      </c>
      <c r="B17" s="2">
        <v>0.55921169677003491</v>
      </c>
      <c r="C17" s="215">
        <f>ROUND(B17,2)</f>
        <v>0.56000000000000005</v>
      </c>
      <c r="D17" s="335"/>
      <c r="E17" s="337"/>
      <c r="F17"/>
      <c r="G17" s="315" t="s">
        <v>1393</v>
      </c>
      <c r="H17" s="318" t="s">
        <v>1394</v>
      </c>
      <c r="I17" s="118"/>
      <c r="J17" s="118"/>
      <c r="K17" s="118"/>
      <c r="L17" s="118"/>
      <c r="M17" s="118"/>
      <c r="N17" s="118"/>
      <c r="O17" s="118"/>
    </row>
    <row r="18" spans="1:15" ht="15" customHeight="1">
      <c r="A18" s="131" t="s">
        <v>1395</v>
      </c>
      <c r="B18" s="2">
        <v>2240</v>
      </c>
      <c r="C18" s="215"/>
      <c r="D18" s="132"/>
      <c r="E18" s="2" t="s">
        <v>1365</v>
      </c>
      <c r="F18"/>
      <c r="G18" s="315" t="s">
        <v>1396</v>
      </c>
      <c r="H18" s="318" t="s">
        <v>1397</v>
      </c>
      <c r="I18" s="118"/>
      <c r="J18" s="118"/>
      <c r="K18" s="118"/>
      <c r="L18" s="118"/>
      <c r="M18" s="118"/>
      <c r="N18" s="118"/>
      <c r="O18" s="118"/>
    </row>
    <row r="19" spans="1:15" ht="15" customHeight="1">
      <c r="A19" s="131" t="s">
        <v>1398</v>
      </c>
      <c r="B19" s="211">
        <v>-2236.1900683441818</v>
      </c>
      <c r="C19" s="217">
        <f>B18+B19</f>
        <v>3.8099316558182181</v>
      </c>
      <c r="D19" s="243">
        <f>ROUND(C19,2)</f>
        <v>3.81</v>
      </c>
      <c r="E19" s="2" t="s">
        <v>1365</v>
      </c>
      <c r="F19"/>
      <c r="G19" s="315" t="str">
        <f>H18</f>
        <v>Poço</v>
      </c>
      <c r="H19" s="346" t="s">
        <v>1399</v>
      </c>
      <c r="I19" s="118"/>
      <c r="K19"/>
      <c r="L19"/>
      <c r="M19" s="118"/>
      <c r="N19" s="118"/>
      <c r="O19" s="118"/>
    </row>
    <row r="20" spans="1:15" ht="15" customHeight="1">
      <c r="A20" s="131" t="s">
        <v>1400</v>
      </c>
      <c r="B20" s="2">
        <v>-0.22974152835621353</v>
      </c>
      <c r="C20" s="215">
        <f>ROUND(B20,2)</f>
        <v>-0.23</v>
      </c>
      <c r="D20" s="132"/>
      <c r="E20" s="2" t="s">
        <v>1401</v>
      </c>
      <c r="F20"/>
      <c r="G20" s="315" t="s">
        <v>1402</v>
      </c>
      <c r="H20" s="318" t="s">
        <v>1403</v>
      </c>
      <c r="I20" s="118"/>
      <c r="K20"/>
      <c r="L20"/>
      <c r="M20" s="118"/>
      <c r="N20" s="118"/>
      <c r="O20" s="118"/>
    </row>
    <row r="21" spans="1:15" ht="15" customHeight="1">
      <c r="A21" s="131" t="s">
        <v>1404</v>
      </c>
      <c r="B21" s="2">
        <v>-9.1827867745788119</v>
      </c>
      <c r="C21" s="215">
        <f>ROUNDUP(B21,2)</f>
        <v>-9.19</v>
      </c>
      <c r="D21" s="132"/>
      <c r="E21" s="2" t="s">
        <v>1378</v>
      </c>
      <c r="F21"/>
      <c r="G21" s="315" t="s">
        <v>150</v>
      </c>
      <c r="H21" s="319" t="s">
        <v>1405</v>
      </c>
      <c r="I21" s="118"/>
      <c r="K21"/>
      <c r="L21"/>
      <c r="M21" s="118"/>
      <c r="N21" s="118"/>
      <c r="O21" s="118"/>
    </row>
    <row r="22" spans="1:15" ht="15" customHeight="1">
      <c r="A22" s="131" t="s">
        <v>1406</v>
      </c>
      <c r="B22" s="2">
        <v>5.5331683663376845</v>
      </c>
      <c r="C22" s="215">
        <f>ROUNDUP(B22,2)</f>
        <v>5.54</v>
      </c>
      <c r="D22" s="132"/>
      <c r="E22" s="2" t="s">
        <v>1378</v>
      </c>
      <c r="F22"/>
      <c r="G22" s="315" t="s">
        <v>107</v>
      </c>
      <c r="H22" s="319">
        <v>2691</v>
      </c>
      <c r="I22" s="118"/>
      <c r="K22"/>
      <c r="L22"/>
    </row>
    <row r="23" spans="1:15" ht="15" customHeight="1">
      <c r="A23" s="131" t="s">
        <v>1407</v>
      </c>
      <c r="B23" s="2">
        <v>-11.982738784650797</v>
      </c>
      <c r="C23" s="215">
        <f>ROUNDUP(B23,2)*-1</f>
        <v>11.99</v>
      </c>
      <c r="D23" s="132"/>
      <c r="E23" s="2" t="s">
        <v>1374</v>
      </c>
      <c r="F23"/>
      <c r="G23" s="315" t="s">
        <v>1408</v>
      </c>
      <c r="H23" s="319">
        <v>0</v>
      </c>
      <c r="I23" s="118"/>
      <c r="J23" s="118"/>
      <c r="K23"/>
      <c r="L23"/>
    </row>
    <row r="24" spans="1:15" ht="15" customHeight="1">
      <c r="A24" s="131" t="s">
        <v>1409</v>
      </c>
      <c r="B24" s="2">
        <v>7.3632550272332174E-3</v>
      </c>
      <c r="C24" s="215">
        <f>ROUNDUP(B24,2)</f>
        <v>0.01</v>
      </c>
      <c r="D24" s="132"/>
      <c r="E24" s="2" t="s">
        <v>1374</v>
      </c>
      <c r="F24"/>
      <c r="G24" s="315" t="s">
        <v>1410</v>
      </c>
      <c r="H24" s="320" t="s">
        <v>1411</v>
      </c>
      <c r="I24"/>
      <c r="K24"/>
      <c r="L24"/>
    </row>
    <row r="25" spans="1:15" ht="15" customHeight="1">
      <c r="A25" s="82" t="s">
        <v>1412</v>
      </c>
      <c r="B25" s="25">
        <v>0.22515385476420133</v>
      </c>
      <c r="C25" s="215">
        <f>ROUNDUP(B25,2)</f>
        <v>0.23</v>
      </c>
      <c r="D25"/>
      <c r="E25" s="2" t="s">
        <v>1378</v>
      </c>
      <c r="F25"/>
      <c r="G25" s="321" t="s">
        <v>1413</v>
      </c>
      <c r="H25" s="322" t="s">
        <v>1414</v>
      </c>
      <c r="I25"/>
      <c r="K25"/>
      <c r="L25"/>
    </row>
    <row r="26" spans="1:15" ht="15" customHeight="1">
      <c r="A26" s="194" t="s">
        <v>1415</v>
      </c>
      <c r="B26"/>
      <c r="C26" s="216"/>
      <c r="D26" s="132"/>
      <c r="E26"/>
      <c r="F26"/>
      <c r="G26" s="315" t="s">
        <v>1416</v>
      </c>
      <c r="H26" s="319" t="s">
        <v>1417</v>
      </c>
      <c r="I26"/>
      <c r="J26"/>
      <c r="K26"/>
      <c r="L26"/>
    </row>
    <row r="27" spans="1:15" ht="15" customHeight="1">
      <c r="A27" s="131" t="s">
        <v>1418</v>
      </c>
      <c r="B27" s="2">
        <v>-2</v>
      </c>
      <c r="C27" s="242">
        <f>-B27</f>
        <v>2</v>
      </c>
      <c r="D27" s="132"/>
      <c r="E27" s="2" t="s">
        <v>1365</v>
      </c>
      <c r="F27"/>
      <c r="G27" s="315" t="s">
        <v>1419</v>
      </c>
      <c r="H27" s="319" t="s">
        <v>1420</v>
      </c>
      <c r="I27"/>
      <c r="J27"/>
      <c r="K27"/>
      <c r="L27"/>
    </row>
    <row r="28" spans="1:15" ht="15" customHeight="1">
      <c r="A28" s="131" t="s">
        <v>1386</v>
      </c>
      <c r="B28" s="2">
        <v>4.1394432965462347</v>
      </c>
      <c r="C28" s="215">
        <f>ROUNDDOWN(B28,2)</f>
        <v>4.13</v>
      </c>
      <c r="D28" s="335">
        <f>MIN(C28:C29)</f>
        <v>4.13</v>
      </c>
      <c r="E28" s="344" t="s">
        <v>1365</v>
      </c>
      <c r="F28"/>
      <c r="G28" s="315" t="s">
        <v>1421</v>
      </c>
      <c r="H28" s="319" t="s">
        <v>1422</v>
      </c>
      <c r="I28"/>
      <c r="J28"/>
      <c r="K28"/>
      <c r="L28"/>
    </row>
    <row r="29" spans="1:15" ht="15" customHeight="1">
      <c r="A29" s="131" t="s">
        <v>1390</v>
      </c>
      <c r="B29" s="2">
        <v>4.1395104437943564</v>
      </c>
      <c r="C29" s="215">
        <f>ROUNDDOWN(B29,2)</f>
        <v>4.13</v>
      </c>
      <c r="D29" s="335"/>
      <c r="E29" s="336"/>
      <c r="F29"/>
      <c r="G29" s="315" t="s">
        <v>1423</v>
      </c>
      <c r="H29" s="319" t="s">
        <v>1424</v>
      </c>
      <c r="I29"/>
      <c r="J29"/>
      <c r="K29"/>
      <c r="L29"/>
    </row>
    <row r="30" spans="1:15" ht="15" customHeight="1">
      <c r="A30" s="131" t="s">
        <v>524</v>
      </c>
      <c r="B30" s="2">
        <v>5</v>
      </c>
      <c r="C30" s="216"/>
      <c r="D30"/>
      <c r="E30"/>
      <c r="F30"/>
      <c r="G30" s="315" t="str">
        <f>IF($H$17="UEH","MD / Documento","RL de esforços / Documento")</f>
        <v>RL de esforços / Documento</v>
      </c>
      <c r="H30" s="319"/>
      <c r="I30"/>
      <c r="J30"/>
      <c r="K30"/>
      <c r="L30"/>
    </row>
    <row r="31" spans="1:15" ht="15" customHeight="1">
      <c r="A31" s="131" t="s">
        <v>1425</v>
      </c>
      <c r="B31">
        <f>Auxiliar1!H7</f>
        <v>-3.6969170570373535</v>
      </c>
      <c r="C31" s="215">
        <f>ROUNDUP(B31,2)</f>
        <v>-3.6999999999999997</v>
      </c>
      <c r="D31"/>
      <c r="E31" s="2" t="s">
        <v>1378</v>
      </c>
      <c r="F31"/>
      <c r="G31" s="315" t="str">
        <f>IF($H$17="UEH","MD / Revisão","RL de esforços / Revisão")</f>
        <v>RL de esforços / Revisão</v>
      </c>
      <c r="H31" s="319"/>
      <c r="I31"/>
      <c r="J31"/>
      <c r="K31"/>
      <c r="L31"/>
    </row>
    <row r="32" spans="1:15" ht="15" customHeight="1">
      <c r="A32" s="131" t="s">
        <v>1426</v>
      </c>
      <c r="B32">
        <f>Auxiliar1!I7</f>
        <v>4.7921180725097656</v>
      </c>
      <c r="C32" s="215">
        <f>ROUNDUP(B32,2)</f>
        <v>4.8</v>
      </c>
      <c r="D32"/>
      <c r="E32" s="2" t="s">
        <v>1378</v>
      </c>
      <c r="F32" s="222"/>
      <c r="G32" s="315" t="str">
        <f>IF($H$17="UEH","MD / Título","RL de esforços / Título")</f>
        <v>RL de esforços / Título</v>
      </c>
      <c r="H32" s="319"/>
      <c r="I32"/>
      <c r="J32"/>
      <c r="K32"/>
      <c r="L32"/>
    </row>
    <row r="33" spans="1:12" ht="15" customHeight="1">
      <c r="A33" s="131" t="s">
        <v>1427</v>
      </c>
      <c r="B33">
        <f>Auxiliar1!J7</f>
        <v>-43.280658721923828</v>
      </c>
      <c r="C33" s="215">
        <f>ROUNDUP(B33,2)*(-1)</f>
        <v>43.29</v>
      </c>
      <c r="D33"/>
      <c r="E33" s="2" t="s">
        <v>1374</v>
      </c>
      <c r="F33" s="222"/>
      <c r="G33" s="315" t="s">
        <v>1428</v>
      </c>
      <c r="H33" s="319" t="s">
        <v>1429</v>
      </c>
      <c r="I33"/>
      <c r="J33"/>
      <c r="K33"/>
      <c r="L33"/>
    </row>
    <row r="34" spans="1:12" ht="15" customHeight="1">
      <c r="A34" s="131" t="s">
        <v>1430</v>
      </c>
      <c r="B34">
        <f>Auxiliar1!H6</f>
        <v>-11.567791938781738</v>
      </c>
      <c r="C34" s="215">
        <f>ROUNDUP(B34,2)</f>
        <v>-11.57</v>
      </c>
      <c r="D34"/>
      <c r="E34" s="2" t="s">
        <v>1378</v>
      </c>
      <c r="F34"/>
      <c r="G34" s="315" t="s">
        <v>1431</v>
      </c>
      <c r="H34" s="319">
        <v>0</v>
      </c>
      <c r="I34"/>
      <c r="J34"/>
      <c r="K34"/>
      <c r="L34"/>
    </row>
    <row r="35" spans="1:12" ht="15" customHeight="1" thickBot="1">
      <c r="A35" s="131" t="s">
        <v>1432</v>
      </c>
      <c r="B35">
        <f>Auxiliar1!I6</f>
        <v>6.3507270812988281</v>
      </c>
      <c r="C35" s="215">
        <f>ROUNDUP(B35,2)</f>
        <v>6.3599999999999994</v>
      </c>
      <c r="D35"/>
      <c r="E35" s="2" t="s">
        <v>1378</v>
      </c>
      <c r="F35"/>
      <c r="G35" s="340" t="s">
        <v>1433</v>
      </c>
      <c r="H35" s="341" t="s">
        <v>1434</v>
      </c>
      <c r="I35"/>
      <c r="J35"/>
    </row>
    <row r="36" spans="1:12" ht="15" customHeight="1" thickBot="1">
      <c r="A36" s="131" t="s">
        <v>1435</v>
      </c>
      <c r="B36">
        <f>Auxiliar1!J6</f>
        <v>-1.3993309736251831</v>
      </c>
      <c r="C36" s="215">
        <f>ROUNDUP(B36,2)*(-1)</f>
        <v>1.4</v>
      </c>
      <c r="D36"/>
      <c r="E36" s="2" t="s">
        <v>1374</v>
      </c>
      <c r="F36"/>
      <c r="G36" s="23"/>
      <c r="H36" s="23"/>
      <c r="J36"/>
    </row>
    <row r="37" spans="1:12" ht="15" customHeight="1" thickBot="1">
      <c r="A37" s="131" t="s">
        <v>1409</v>
      </c>
      <c r="B37" s="2">
        <v>13.051610946655236</v>
      </c>
      <c r="C37" s="215">
        <f>ROUNDUP(B37,2)</f>
        <v>13.06</v>
      </c>
      <c r="D37"/>
      <c r="E37" s="2" t="s">
        <v>1374</v>
      </c>
      <c r="F37"/>
      <c r="G37" s="580" t="s">
        <v>1436</v>
      </c>
      <c r="H37" s="581"/>
    </row>
    <row r="38" spans="1:12" ht="15" customHeight="1">
      <c r="A38" s="82" t="s">
        <v>1412</v>
      </c>
      <c r="B38" s="23">
        <v>19.022103506274689</v>
      </c>
      <c r="C38" s="215">
        <f>ROUNDUP(B38,2)</f>
        <v>19.03</v>
      </c>
      <c r="D38"/>
      <c r="E38" s="2" t="s">
        <v>1378</v>
      </c>
      <c r="F38"/>
      <c r="G38" s="315" t="s">
        <v>1437</v>
      </c>
      <c r="H38" s="405"/>
    </row>
    <row r="39" spans="1:12" ht="15" customHeight="1">
      <c r="A39" s="194" t="s">
        <v>1438</v>
      </c>
      <c r="B39"/>
      <c r="C39" s="216"/>
      <c r="D39"/>
      <c r="E39"/>
      <c r="F39"/>
      <c r="G39" s="315" t="s">
        <v>304</v>
      </c>
      <c r="H39" s="405"/>
    </row>
    <row r="40" spans="1:12" ht="15" customHeight="1" thickBot="1">
      <c r="A40" s="131" t="s">
        <v>1425</v>
      </c>
      <c r="B40">
        <f>Auxiliar!I16</f>
        <v>-10.934001922607422</v>
      </c>
      <c r="C40" s="215">
        <f>ROUNDUP(B40,2)</f>
        <v>-10.94</v>
      </c>
      <c r="D40"/>
      <c r="E40" s="2" t="s">
        <v>1378</v>
      </c>
      <c r="F40"/>
      <c r="G40" s="340" t="s">
        <v>1439</v>
      </c>
      <c r="H40" s="406"/>
    </row>
    <row r="41" spans="1:12" ht="15" customHeight="1">
      <c r="A41" s="131" t="s">
        <v>1409</v>
      </c>
      <c r="B41">
        <f>Auxiliar!J16</f>
        <v>5.9937615394592285</v>
      </c>
      <c r="C41" s="215">
        <f>ROUNDUP(B41,2)</f>
        <v>6</v>
      </c>
      <c r="D41"/>
      <c r="E41" s="2" t="s">
        <v>1378</v>
      </c>
      <c r="F41"/>
    </row>
    <row r="42" spans="1:12" ht="15" customHeight="1">
      <c r="A42" s="131" t="s">
        <v>1427</v>
      </c>
      <c r="B42" s="23">
        <f>Auxiliar!K16</f>
        <v>-0.74248111248016357</v>
      </c>
      <c r="C42" s="215">
        <f>ROUNDUP(B42,2)*(-1)</f>
        <v>0.75</v>
      </c>
      <c r="D42"/>
      <c r="E42" s="2" t="s">
        <v>1374</v>
      </c>
      <c r="F42"/>
      <c r="G42" s="23"/>
      <c r="H42" s="23"/>
    </row>
    <row r="43" spans="1:12" ht="15" customHeight="1">
      <c r="A43" s="131" t="s">
        <v>1430</v>
      </c>
      <c r="B43">
        <f>Auxiliar!I15</f>
        <v>-10.934001922607422</v>
      </c>
      <c r="C43" s="215">
        <f>ROUNDUP(B43,2)</f>
        <v>-10.94</v>
      </c>
      <c r="D43"/>
      <c r="E43" s="2" t="s">
        <v>1378</v>
      </c>
      <c r="F43"/>
      <c r="G43" s="23"/>
      <c r="H43" s="23"/>
    </row>
    <row r="44" spans="1:12" ht="15" customHeight="1">
      <c r="A44" s="131" t="s">
        <v>1432</v>
      </c>
      <c r="B44">
        <f>Auxiliar!J15</f>
        <v>5.9937615394592285</v>
      </c>
      <c r="C44" s="215">
        <f>ROUNDUP(B44,2)</f>
        <v>6</v>
      </c>
      <c r="D44"/>
      <c r="E44" s="2" t="s">
        <v>1378</v>
      </c>
      <c r="F44"/>
    </row>
    <row r="45" spans="1:12" ht="15" customHeight="1">
      <c r="A45" s="131" t="s">
        <v>1435</v>
      </c>
      <c r="B45">
        <f>Auxiliar!K15</f>
        <v>-0.74248111248016357</v>
      </c>
      <c r="C45" s="215">
        <f>ROUNDUP(B45,2)*(-1)</f>
        <v>0.75</v>
      </c>
      <c r="D45"/>
      <c r="E45" s="2" t="s">
        <v>1374</v>
      </c>
      <c r="F45"/>
      <c r="G45" s="23"/>
      <c r="H45" s="23"/>
    </row>
    <row r="46" spans="1:12" ht="15" customHeight="1">
      <c r="B46" s="23"/>
      <c r="C46" s="216"/>
      <c r="D46"/>
      <c r="E46"/>
      <c r="F46"/>
    </row>
    <row r="47" spans="1:12" ht="15" customHeight="1">
      <c r="A47" s="194" t="s">
        <v>1440</v>
      </c>
      <c r="B47" s="2"/>
      <c r="C47" s="216"/>
      <c r="D47"/>
      <c r="E47"/>
      <c r="F47"/>
    </row>
    <row r="48" spans="1:12" ht="15" customHeight="1">
      <c r="A48" s="131" t="s">
        <v>1386</v>
      </c>
      <c r="B48" s="2">
        <v>4.1392205366516626</v>
      </c>
      <c r="C48" s="215">
        <f>ROUNDDOWN(B48,2)</f>
        <v>4.13</v>
      </c>
      <c r="D48"/>
      <c r="E48" s="239" t="s">
        <v>1365</v>
      </c>
      <c r="F48"/>
      <c r="G48" s="23"/>
      <c r="H48" s="23"/>
    </row>
    <row r="49" spans="1:21" ht="15" customHeight="1">
      <c r="A49" s="131" t="s">
        <v>1390</v>
      </c>
      <c r="B49" s="2">
        <v>4.139291540552601</v>
      </c>
      <c r="C49" s="215">
        <f>ROUNDDOWN(B49,2)</f>
        <v>4.13</v>
      </c>
      <c r="D49" s="238"/>
      <c r="E49" s="239" t="s">
        <v>1365</v>
      </c>
      <c r="F49"/>
      <c r="G49" s="23"/>
      <c r="H49" s="23"/>
    </row>
    <row r="50" spans="1:21" ht="15" customHeight="1">
      <c r="A50" s="131" t="s">
        <v>1441</v>
      </c>
      <c r="B50" s="2">
        <f>Auxiliar3!P29</f>
        <v>9</v>
      </c>
      <c r="C50" s="216"/>
      <c r="D50" s="335"/>
      <c r="E50" s="2" t="s">
        <v>1365</v>
      </c>
      <c r="F50"/>
    </row>
    <row r="51" spans="1:21" ht="15" customHeight="1">
      <c r="A51" s="131" t="s">
        <v>1442</v>
      </c>
      <c r="B51" s="2">
        <f>Auxiliar3!P31</f>
        <v>0</v>
      </c>
      <c r="C51" s="216"/>
      <c r="D51" s="335"/>
      <c r="E51" s="2" t="s">
        <v>1443</v>
      </c>
      <c r="F51"/>
      <c r="U51" s="175"/>
    </row>
    <row r="52" spans="1:21" ht="15" customHeight="1">
      <c r="A52" s="131" t="s">
        <v>1444</v>
      </c>
      <c r="B52" s="23">
        <v>-50.460329449441581</v>
      </c>
      <c r="C52" s="215">
        <f>(-1)*ROUNDUP(B52,2)</f>
        <v>50.47</v>
      </c>
      <c r="D52"/>
      <c r="E52" s="2" t="s">
        <v>1374</v>
      </c>
      <c r="F52"/>
      <c r="U52" s="175"/>
    </row>
    <row r="53" spans="1:21" ht="15" customHeight="1">
      <c r="A53" s="131" t="s">
        <v>1409</v>
      </c>
      <c r="B53" s="23">
        <v>18.515041296814132</v>
      </c>
      <c r="C53" s="215">
        <f>ROUNDUP(B53,2)</f>
        <v>18.520000000000003</v>
      </c>
      <c r="D53"/>
      <c r="E53" s="2" t="s">
        <v>1374</v>
      </c>
      <c r="F53"/>
      <c r="U53" s="175"/>
    </row>
    <row r="54" spans="1:21" ht="15" customHeight="1">
      <c r="A54" s="82" t="s">
        <v>1412</v>
      </c>
      <c r="B54" s="23">
        <v>20.266480688313962</v>
      </c>
      <c r="C54" s="215">
        <f>ROUNDUP(B54,2)</f>
        <v>20.270000000000003</v>
      </c>
      <c r="D54"/>
      <c r="E54" s="2" t="s">
        <v>1378</v>
      </c>
      <c r="F54"/>
      <c r="U54" s="175"/>
    </row>
    <row r="55" spans="1:21" ht="15" customHeight="1">
      <c r="A55" s="194" t="s">
        <v>1445</v>
      </c>
      <c r="B55"/>
      <c r="C55" s="216"/>
      <c r="D55"/>
      <c r="E55"/>
      <c r="U55" s="175"/>
    </row>
    <row r="56" spans="1:21" ht="15" customHeight="1">
      <c r="A56" s="131" t="s">
        <v>1386</v>
      </c>
      <c r="B56" s="2">
        <v>4.1392578998530665</v>
      </c>
      <c r="C56" s="215">
        <f>ROUNDDOWN(B56,2)</f>
        <v>4.13</v>
      </c>
      <c r="D56"/>
      <c r="E56" s="239" t="s">
        <v>1365</v>
      </c>
    </row>
    <row r="57" spans="1:21" ht="15" customHeight="1">
      <c r="A57" s="131" t="s">
        <v>1390</v>
      </c>
      <c r="B57" s="2">
        <v>3.766349629898734</v>
      </c>
      <c r="C57" s="215">
        <f>ROUNDDOWN(B57,2)</f>
        <v>3.76</v>
      </c>
      <c r="D57"/>
      <c r="E57" s="239" t="s">
        <v>1365</v>
      </c>
    </row>
    <row r="58" spans="1:21" ht="15" customHeight="1">
      <c r="A58" s="131" t="s">
        <v>1441</v>
      </c>
      <c r="B58" s="2">
        <f>Auxiliar4!P29</f>
        <v>11</v>
      </c>
      <c r="C58" s="216"/>
      <c r="D58" s="335"/>
      <c r="E58" s="2" t="s">
        <v>1365</v>
      </c>
    </row>
    <row r="59" spans="1:21" ht="15" customHeight="1">
      <c r="A59" s="131" t="s">
        <v>1442</v>
      </c>
      <c r="B59" s="2">
        <f>Auxiliar4!P31</f>
        <v>0</v>
      </c>
      <c r="C59" s="216"/>
      <c r="D59" s="335"/>
      <c r="E59" s="2" t="s">
        <v>1443</v>
      </c>
    </row>
    <row r="60" spans="1:21" ht="15" customHeight="1">
      <c r="A60" s="131" t="s">
        <v>1444</v>
      </c>
      <c r="B60" s="2">
        <v>-46.648766965317265</v>
      </c>
      <c r="C60" s="215">
        <f>(-1)*ROUNDUP(B60,2)</f>
        <v>46.65</v>
      </c>
      <c r="D60"/>
      <c r="E60" s="2" t="s">
        <v>1374</v>
      </c>
    </row>
    <row r="61" spans="1:21" ht="15" customHeight="1">
      <c r="A61" s="131" t="s">
        <v>1409</v>
      </c>
      <c r="B61" s="2">
        <v>17.627924544050288</v>
      </c>
      <c r="C61" s="215">
        <f>ROUNDUP(B61,2)</f>
        <v>17.630000000000003</v>
      </c>
      <c r="D61"/>
      <c r="E61" s="2" t="s">
        <v>1374</v>
      </c>
    </row>
    <row r="62" spans="1:21" ht="15" customHeight="1">
      <c r="A62" s="82" t="s">
        <v>1412</v>
      </c>
      <c r="B62" s="25">
        <v>18.827394346610944</v>
      </c>
      <c r="C62" s="215">
        <f>ROUNDUP(B62,2)</f>
        <v>18.830000000000002</v>
      </c>
      <c r="D62"/>
      <c r="E62" s="2" t="s">
        <v>1378</v>
      </c>
    </row>
    <row r="63" spans="1:21" ht="15" customHeight="1">
      <c r="A63" s="194" t="s">
        <v>1446</v>
      </c>
      <c r="B63" s="2"/>
      <c r="C63"/>
      <c r="D63"/>
      <c r="E63"/>
    </row>
    <row r="64" spans="1:21" ht="15" customHeight="1">
      <c r="A64" s="131" t="s">
        <v>1370</v>
      </c>
      <c r="B64" s="2">
        <f>MIN(B29,B15)</f>
        <v>4.1395104437943564</v>
      </c>
      <c r="C64" s="241">
        <f>ROUNDDOWN(B64,2)</f>
        <v>4.13</v>
      </c>
      <c r="D64"/>
      <c r="E64" s="239" t="s">
        <v>1365</v>
      </c>
    </row>
    <row r="65" spans="1:5" ht="15" customHeight="1">
      <c r="A65" s="131" t="s">
        <v>1367</v>
      </c>
      <c r="B65" s="240">
        <f>MIN(B14,B28)</f>
        <v>4.1394432965462347</v>
      </c>
      <c r="C65" s="241">
        <f>ROUNDDOWN(B65,2)</f>
        <v>4.13</v>
      </c>
      <c r="D65"/>
      <c r="E65" s="239" t="s">
        <v>1365</v>
      </c>
    </row>
    <row r="66" spans="1:5" ht="15" customHeight="1" thickBot="1">
      <c r="C66" s="24"/>
      <c r="D66" s="24"/>
      <c r="E66" s="24"/>
    </row>
    <row r="67" spans="1:5" ht="15" customHeight="1" thickBot="1">
      <c r="A67" s="572" t="s">
        <v>1447</v>
      </c>
      <c r="B67" s="573"/>
      <c r="C67" s="24"/>
      <c r="D67" s="570" t="s">
        <v>1448</v>
      </c>
      <c r="E67" s="571"/>
    </row>
    <row r="68" spans="1:5" ht="15" customHeight="1">
      <c r="A68" s="229" t="s">
        <v>1449</v>
      </c>
      <c r="B68" s="229" t="s">
        <v>1450</v>
      </c>
      <c r="C68" s="24"/>
      <c r="D68" s="329" t="s">
        <v>1451</v>
      </c>
      <c r="E68" s="330" t="str">
        <f>H25</f>
        <v>S51956-RT-5801-IAS-661</v>
      </c>
    </row>
    <row r="69" spans="1:5" ht="15" customHeight="1">
      <c r="A69" s="230">
        <f>Auxiliar2!AK2</f>
        <v>1980</v>
      </c>
      <c r="B69" s="231">
        <f>Auxiliar2!AL2</f>
        <v>3</v>
      </c>
      <c r="C69"/>
      <c r="D69" s="177" t="s">
        <v>107</v>
      </c>
      <c r="E69" s="248" t="str">
        <f>IF(H22="","",_xlfn.CONCAT("RT-",H22))</f>
        <v>RT-2691</v>
      </c>
    </row>
    <row r="70" spans="1:5" ht="15" customHeight="1">
      <c r="A70" s="173">
        <f>Auxiliar2!AK3</f>
        <v>1482</v>
      </c>
      <c r="B70" s="232">
        <f>Auxiliar2!AL3</f>
        <v>6</v>
      </c>
      <c r="C70"/>
      <c r="D70" s="177" t="s">
        <v>1408</v>
      </c>
      <c r="E70" s="248" t="str">
        <f>IF(H23="","",_xlfn.CONCAT("V",H23))</f>
        <v>V0</v>
      </c>
    </row>
    <row r="71" spans="1:5" ht="15" customHeight="1">
      <c r="A71" s="173" t="str">
        <f>Auxiliar2!AK4</f>
        <v/>
      </c>
      <c r="B71" s="232" t="str">
        <f>Auxiliar2!AL4</f>
        <v/>
      </c>
      <c r="C71"/>
      <c r="D71" s="177" t="s">
        <v>66</v>
      </c>
      <c r="E71" s="248" t="str">
        <f>IF(H24="","",H24)</f>
        <v>DTW</v>
      </c>
    </row>
    <row r="72" spans="1:5" ht="15" customHeight="1">
      <c r="A72" s="173" t="str">
        <f>Auxiliar2!AK5</f>
        <v/>
      </c>
      <c r="B72" s="232" t="str">
        <f>Auxiliar2!AL5</f>
        <v/>
      </c>
      <c r="C72"/>
      <c r="D72" s="327" t="s">
        <v>1452</v>
      </c>
      <c r="E72" s="328" t="s">
        <v>1453</v>
      </c>
    </row>
    <row r="73" spans="1:5" ht="15" customHeight="1">
      <c r="A73" s="173" t="str">
        <f>Auxiliar2!AK6</f>
        <v/>
      </c>
      <c r="B73" s="232" t="str">
        <f>Auxiliar2!AL6</f>
        <v/>
      </c>
      <c r="C73"/>
      <c r="D73" s="327" t="s">
        <v>1454</v>
      </c>
      <c r="E73" s="328" t="str">
        <f>IF(H20="","",H20)</f>
        <v>Skandi Açu</v>
      </c>
    </row>
    <row r="74" spans="1:5" ht="15" customHeight="1">
      <c r="A74" s="173" t="str">
        <f>Auxiliar2!AK7</f>
        <v/>
      </c>
      <c r="B74" s="232" t="str">
        <f>Auxiliar2!AL7</f>
        <v/>
      </c>
      <c r="C74"/>
      <c r="D74" s="327" t="s">
        <v>1397</v>
      </c>
      <c r="E74" s="328" t="str">
        <f>IF(H19="","",H19)</f>
        <v>8-LL-44-RJS</v>
      </c>
    </row>
    <row r="75" spans="1:5" ht="15" customHeight="1">
      <c r="A75" s="173" t="str">
        <f>Auxiliar2!AK8</f>
        <v/>
      </c>
      <c r="B75" s="232" t="str">
        <f>Auxiliar2!AL8</f>
        <v/>
      </c>
      <c r="C75"/>
      <c r="D75" s="177" t="s">
        <v>1455</v>
      </c>
      <c r="E75" s="248" t="str">
        <f>H17</f>
        <v>IG</v>
      </c>
    </row>
    <row r="76" spans="1:5" ht="15" customHeight="1">
      <c r="A76" s="173" t="str">
        <f>Auxiliar2!AK9</f>
        <v/>
      </c>
      <c r="B76" s="232" t="str">
        <f>Auxiliar2!AL9</f>
        <v/>
      </c>
      <c r="C76"/>
      <c r="D76" s="177" t="s">
        <v>1456</v>
      </c>
      <c r="E76" s="248" t="str">
        <f>B2</f>
        <v>WSI 152.2553-RD-4042-6 Rev. 1</v>
      </c>
    </row>
    <row r="77" spans="1:5" ht="15" customHeight="1">
      <c r="A77" s="173" t="str">
        <f>Auxiliar2!AK10</f>
        <v/>
      </c>
      <c r="B77" s="232" t="str">
        <f>Auxiliar2!AL10</f>
        <v/>
      </c>
      <c r="C77"/>
      <c r="D77" s="177" t="s">
        <v>1457</v>
      </c>
      <c r="E77" s="248">
        <f>IF(Values!C11="","",Values!C11)</f>
        <v>6</v>
      </c>
    </row>
    <row r="78" spans="1:5" ht="15" customHeight="1">
      <c r="A78" s="173" t="str">
        <f>Auxiliar2!AK11</f>
        <v/>
      </c>
      <c r="B78" s="232" t="str">
        <f>Auxiliar2!AL11</f>
        <v/>
      </c>
      <c r="C78"/>
      <c r="D78" s="177" t="s">
        <v>1458</v>
      </c>
      <c r="E78" s="248">
        <f>IF(B10=0,"",B10)</f>
        <v>2.4</v>
      </c>
    </row>
    <row r="79" spans="1:5" ht="15" customHeight="1">
      <c r="A79" s="173" t="str">
        <f>Auxiliar2!AK12</f>
        <v/>
      </c>
      <c r="B79" s="232" t="str">
        <f>Auxiliar2!AL12</f>
        <v/>
      </c>
      <c r="C79"/>
      <c r="D79" s="177" t="s">
        <v>1459</v>
      </c>
      <c r="E79" s="248">
        <f>IF('Script Table'!E10=0,"",'Script Table'!E10)</f>
        <v>0.16619999999999999</v>
      </c>
    </row>
    <row r="80" spans="1:5" ht="15" customHeight="1">
      <c r="A80" s="173" t="str">
        <f>Auxiliar2!AK13</f>
        <v/>
      </c>
      <c r="B80" s="232" t="str">
        <f>Auxiliar2!AL13</f>
        <v/>
      </c>
      <c r="D80" s="177" t="s">
        <v>1460</v>
      </c>
      <c r="E80" s="248" t="str">
        <f>B3</f>
        <v>CB-BR1522553-00-01 Rev. 1</v>
      </c>
    </row>
    <row r="81" spans="1:5" ht="15" customHeight="1">
      <c r="A81" s="173" t="str">
        <f>Auxiliar2!AK14</f>
        <v/>
      </c>
      <c r="B81" s="232" t="str">
        <f>Auxiliar2!AL14</f>
        <v/>
      </c>
      <c r="D81" s="177" t="s">
        <v>1461</v>
      </c>
      <c r="E81" s="248">
        <f>IFERROR('Script Table'!E18*'Script Table'!E15,"")</f>
        <v>1.552</v>
      </c>
    </row>
    <row r="82" spans="1:5" ht="15" customHeight="1">
      <c r="A82" s="173" t="str">
        <f>Auxiliar2!AK15</f>
        <v/>
      </c>
      <c r="B82" s="232" t="str">
        <f>Auxiliar2!AL15</f>
        <v/>
      </c>
      <c r="D82" s="177" t="s">
        <v>1462</v>
      </c>
      <c r="E82" s="248">
        <f>IF(B9=0,"",B9)</f>
        <v>4.1399999999999997</v>
      </c>
    </row>
    <row r="83" spans="1:5" ht="15" customHeight="1">
      <c r="A83" s="173" t="str">
        <f>Auxiliar2!AK16</f>
        <v/>
      </c>
      <c r="B83" s="232" t="str">
        <f>Auxiliar2!AL16</f>
        <v/>
      </c>
      <c r="D83" s="177" t="s">
        <v>1463</v>
      </c>
      <c r="E83" s="248" t="str">
        <f>B4</f>
        <v>CB-EF1522540-00-05 Rev. 4</v>
      </c>
    </row>
    <row r="84" spans="1:5" ht="15" customHeight="1">
      <c r="A84" s="173" t="str">
        <f>Auxiliar2!AK17</f>
        <v/>
      </c>
      <c r="B84" s="232" t="str">
        <f>Auxiliar2!AL17</f>
        <v/>
      </c>
      <c r="D84" s="177" t="s">
        <v>1464</v>
      </c>
      <c r="E84" s="248">
        <f>IFERROR('Script Table'!E22*'Script Table'!E19,"")</f>
        <v>2.6</v>
      </c>
    </row>
    <row r="85" spans="1:5" ht="15" customHeight="1">
      <c r="A85" s="173" t="str">
        <f>Auxiliar2!AK18</f>
        <v/>
      </c>
      <c r="B85" s="232" t="str">
        <f>Auxiliar2!AL18</f>
        <v/>
      </c>
      <c r="D85" s="177" t="s">
        <v>1465</v>
      </c>
      <c r="E85" s="248" t="str">
        <f>IF(B5="xinputx","",B5)</f>
        <v/>
      </c>
    </row>
    <row r="86" spans="1:5" ht="15" customHeight="1">
      <c r="A86" s="173" t="str">
        <f>Auxiliar2!AK19</f>
        <v/>
      </c>
      <c r="B86" s="232" t="str">
        <f>Auxiliar2!AL19</f>
        <v/>
      </c>
      <c r="D86" s="177" t="s">
        <v>1466</v>
      </c>
      <c r="E86" s="248" t="str">
        <f>IF(B5="xinputx","",Values!C50)</f>
        <v/>
      </c>
    </row>
    <row r="87" spans="1:5" ht="15" customHeight="1">
      <c r="A87" s="173" t="str">
        <f>Auxiliar2!AK20</f>
        <v/>
      </c>
      <c r="B87" s="232" t="str">
        <f>Auxiliar2!AL20</f>
        <v/>
      </c>
      <c r="D87" s="177" t="s">
        <v>1467</v>
      </c>
      <c r="E87" s="248">
        <f>IF('MCV e Guindaste'!C19="xinputx","",'MCV e Guindaste'!C19)</f>
        <v>5043</v>
      </c>
    </row>
    <row r="88" spans="1:5" ht="15" customHeight="1">
      <c r="A88" s="173" t="str">
        <f>Auxiliar2!AK21</f>
        <v/>
      </c>
      <c r="B88" s="232" t="str">
        <f>Auxiliar2!AL21</f>
        <v/>
      </c>
      <c r="D88" s="177" t="s">
        <v>1468</v>
      </c>
      <c r="E88" s="248">
        <f>IF(B18="","",B18)</f>
        <v>2240</v>
      </c>
    </row>
    <row r="89" spans="1:5" ht="15" customHeight="1">
      <c r="A89" s="173" t="str">
        <f>Auxiliar2!AK22</f>
        <v/>
      </c>
      <c r="B89" s="232" t="str">
        <f>Auxiliar2!AL22</f>
        <v/>
      </c>
      <c r="D89" s="177" t="s">
        <v>1469</v>
      </c>
      <c r="E89" s="248">
        <f>IF(B27="","",ABS(B27))</f>
        <v>2</v>
      </c>
    </row>
    <row r="90" spans="1:5" ht="15" customHeight="1">
      <c r="A90" s="173" t="str">
        <f>Auxiliar2!AK23</f>
        <v/>
      </c>
      <c r="B90" s="232" t="str">
        <f>Auxiliar2!AL23</f>
        <v/>
      </c>
      <c r="D90" s="177" t="s">
        <v>1470</v>
      </c>
      <c r="E90" s="248">
        <f>SUM(A69:A118)</f>
        <v>3462</v>
      </c>
    </row>
    <row r="91" spans="1:5" ht="15" customHeight="1">
      <c r="A91" s="173" t="str">
        <f>Auxiliar2!AK24</f>
        <v/>
      </c>
      <c r="B91" s="232" t="str">
        <f>Auxiliar2!AL24</f>
        <v/>
      </c>
      <c r="D91" s="177" t="s">
        <v>1471</v>
      </c>
      <c r="E91" s="248">
        <f>COUNT(B69:B118)</f>
        <v>2</v>
      </c>
    </row>
    <row r="92" spans="1:5" ht="15" customHeight="1" thickBot="1">
      <c r="A92" s="173" t="str">
        <f>Auxiliar2!AK25</f>
        <v/>
      </c>
      <c r="B92" s="232" t="str">
        <f>Auxiliar2!AL25</f>
        <v/>
      </c>
      <c r="D92" s="331" t="s">
        <v>1472</v>
      </c>
      <c r="E92" s="332">
        <f>IF(B69="","",B69)</f>
        <v>3</v>
      </c>
    </row>
    <row r="93" spans="1:5" ht="15" customHeight="1">
      <c r="A93" s="173" t="str">
        <f>Auxiliar2!AK26</f>
        <v/>
      </c>
      <c r="B93" s="232" t="str">
        <f>Auxiliar2!AL26</f>
        <v/>
      </c>
    </row>
    <row r="94" spans="1:5" ht="15" customHeight="1">
      <c r="A94" s="173" t="str">
        <f>Auxiliar2!AK27</f>
        <v/>
      </c>
      <c r="B94" s="232" t="str">
        <f>Auxiliar2!AL27</f>
        <v/>
      </c>
      <c r="D94"/>
      <c r="E94"/>
    </row>
    <row r="95" spans="1:5" ht="15" customHeight="1">
      <c r="A95" s="173" t="str">
        <f>Auxiliar2!AK28</f>
        <v/>
      </c>
      <c r="B95" s="232" t="str">
        <f>Auxiliar2!AL28</f>
        <v/>
      </c>
      <c r="D95"/>
      <c r="E95"/>
    </row>
    <row r="96" spans="1:5" ht="15" customHeight="1">
      <c r="A96" s="173" t="str">
        <f>Auxiliar2!AK29</f>
        <v/>
      </c>
      <c r="B96" s="232" t="str">
        <f>Auxiliar2!AL29</f>
        <v/>
      </c>
      <c r="D96"/>
      <c r="E96"/>
    </row>
    <row r="97" spans="1:5" ht="15" customHeight="1">
      <c r="A97" s="173" t="str">
        <f>Auxiliar2!AK30</f>
        <v/>
      </c>
      <c r="B97" s="232" t="str">
        <f>Auxiliar2!AL30</f>
        <v/>
      </c>
      <c r="D97"/>
      <c r="E97"/>
    </row>
    <row r="98" spans="1:5" ht="15" customHeight="1">
      <c r="A98" s="173" t="str">
        <f>Auxiliar2!AK31</f>
        <v/>
      </c>
      <c r="B98" s="232" t="str">
        <f>Auxiliar2!AL31</f>
        <v/>
      </c>
    </row>
    <row r="99" spans="1:5" ht="15" customHeight="1">
      <c r="A99" s="173" t="str">
        <f>Auxiliar2!AK32</f>
        <v/>
      </c>
      <c r="B99" s="232" t="str">
        <f>Auxiliar2!AL32</f>
        <v/>
      </c>
    </row>
    <row r="100" spans="1:5" ht="15" customHeight="1" thickBot="1">
      <c r="A100" s="173" t="str">
        <f>Auxiliar2!AK33</f>
        <v/>
      </c>
      <c r="B100" s="232" t="str">
        <f>Auxiliar2!AL33</f>
        <v/>
      </c>
    </row>
    <row r="101" spans="1:5" ht="15" customHeight="1" thickBot="1">
      <c r="A101" s="173" t="str">
        <f>Auxiliar2!AK34</f>
        <v/>
      </c>
      <c r="B101" s="232" t="str">
        <f>Auxiliar2!AL34</f>
        <v/>
      </c>
      <c r="D101" s="351" t="s">
        <v>1473</v>
      </c>
    </row>
    <row r="102" spans="1:5" ht="15" customHeight="1">
      <c r="A102" s="173" t="str">
        <f>Auxiliar2!AK35</f>
        <v/>
      </c>
      <c r="B102" s="232" t="str">
        <f>Auxiliar2!AL35</f>
        <v/>
      </c>
      <c r="D102" s="195" t="s">
        <v>1474</v>
      </c>
    </row>
    <row r="103" spans="1:5" ht="15" customHeight="1">
      <c r="A103" s="173" t="str">
        <f>Auxiliar2!AK36</f>
        <v/>
      </c>
      <c r="B103" s="232" t="str">
        <f>Auxiliar2!AL36</f>
        <v/>
      </c>
      <c r="D103" s="196" t="s">
        <v>1475</v>
      </c>
    </row>
    <row r="104" spans="1:5" ht="15" customHeight="1">
      <c r="A104" s="173" t="str">
        <f>Auxiliar2!AK37</f>
        <v/>
      </c>
      <c r="B104" s="232" t="str">
        <f>Auxiliar2!AL37</f>
        <v/>
      </c>
      <c r="D104" s="196" t="s">
        <v>1476</v>
      </c>
    </row>
    <row r="105" spans="1:5" ht="15" customHeight="1">
      <c r="A105" s="173" t="str">
        <f>Auxiliar2!AK38</f>
        <v/>
      </c>
      <c r="B105" s="232" t="str">
        <f>Auxiliar2!AL38</f>
        <v/>
      </c>
      <c r="D105" s="196" t="s">
        <v>1394</v>
      </c>
    </row>
    <row r="106" spans="1:5" ht="15" customHeight="1">
      <c r="A106" s="173" t="str">
        <f>Auxiliar2!AK39</f>
        <v/>
      </c>
      <c r="B106" s="232" t="str">
        <f>Auxiliar2!AL39</f>
        <v/>
      </c>
      <c r="D106" s="196" t="s">
        <v>1477</v>
      </c>
    </row>
    <row r="107" spans="1:5" ht="15" customHeight="1">
      <c r="A107" s="173" t="str">
        <f>Auxiliar2!AK40</f>
        <v/>
      </c>
      <c r="B107" s="232" t="str">
        <f>Auxiliar2!AL40</f>
        <v/>
      </c>
      <c r="D107" s="196" t="s">
        <v>1478</v>
      </c>
    </row>
    <row r="108" spans="1:5" ht="15" customHeight="1" thickBot="1">
      <c r="A108" s="173" t="str">
        <f>Auxiliar2!AK41</f>
        <v/>
      </c>
      <c r="B108" s="232" t="str">
        <f>Auxiliar2!AL41</f>
        <v/>
      </c>
      <c r="D108" s="197" t="s">
        <v>1479</v>
      </c>
    </row>
    <row r="109" spans="1:5" ht="15" customHeight="1">
      <c r="A109" s="173" t="str">
        <f>Auxiliar2!AK42</f>
        <v/>
      </c>
      <c r="B109" s="232" t="str">
        <f>Auxiliar2!AL42</f>
        <v/>
      </c>
    </row>
    <row r="110" spans="1:5" ht="15" customHeight="1">
      <c r="A110" s="173" t="str">
        <f>Auxiliar2!AK43</f>
        <v/>
      </c>
      <c r="B110" s="232" t="str">
        <f>Auxiliar2!AL43</f>
        <v/>
      </c>
    </row>
    <row r="111" spans="1:5" ht="15" customHeight="1">
      <c r="A111" s="173" t="str">
        <f>Auxiliar2!AK44</f>
        <v/>
      </c>
      <c r="B111" s="232" t="str">
        <f>Auxiliar2!AL44</f>
        <v/>
      </c>
    </row>
    <row r="112" spans="1:5" ht="15" customHeight="1">
      <c r="A112" s="173" t="str">
        <f>Auxiliar2!AK45</f>
        <v/>
      </c>
      <c r="B112" s="232" t="str">
        <f>Auxiliar2!AL45</f>
        <v/>
      </c>
    </row>
    <row r="113" spans="1:2" ht="15" customHeight="1">
      <c r="A113" s="173" t="str">
        <f>Auxiliar2!AK46</f>
        <v/>
      </c>
      <c r="B113" s="232" t="str">
        <f>Auxiliar2!AL46</f>
        <v/>
      </c>
    </row>
    <row r="114" spans="1:2" ht="15" customHeight="1">
      <c r="A114" s="173" t="str">
        <f>Auxiliar2!AK47</f>
        <v/>
      </c>
      <c r="B114" s="232" t="str">
        <f>Auxiliar2!AL47</f>
        <v/>
      </c>
    </row>
    <row r="115" spans="1:2" ht="15" customHeight="1">
      <c r="A115" s="173" t="str">
        <f>Auxiliar2!AK48</f>
        <v/>
      </c>
      <c r="B115" s="232" t="str">
        <f>Auxiliar2!AL48</f>
        <v/>
      </c>
    </row>
    <row r="116" spans="1:2" ht="15" customHeight="1">
      <c r="A116" s="173" t="str">
        <f>Auxiliar2!AK49</f>
        <v/>
      </c>
      <c r="B116" s="232" t="str">
        <f>Auxiliar2!AL49</f>
        <v/>
      </c>
    </row>
    <row r="117" spans="1:2" ht="15" customHeight="1">
      <c r="A117" s="173" t="str">
        <f>Auxiliar2!AK50</f>
        <v/>
      </c>
      <c r="B117" s="232" t="str">
        <f>Auxiliar2!AL50</f>
        <v/>
      </c>
    </row>
    <row r="118" spans="1:2" ht="15" customHeight="1" thickBot="1">
      <c r="A118" s="174" t="str">
        <f>Auxiliar2!AK51</f>
        <v/>
      </c>
      <c r="B118" s="233" t="str">
        <f>Auxiliar2!AL51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M5:M10">
    <sortCondition ref="M5"/>
  </sortState>
  <mergeCells count="19">
    <mergeCell ref="AL2:AN2"/>
    <mergeCell ref="AA1:AN1"/>
    <mergeCell ref="AA2:AA3"/>
    <mergeCell ref="AB2:AB3"/>
    <mergeCell ref="AC2:AC3"/>
    <mergeCell ref="AD2:AD3"/>
    <mergeCell ref="AE2:AE3"/>
    <mergeCell ref="AF2:AH2"/>
    <mergeCell ref="AI2:AK2"/>
    <mergeCell ref="D67:E67"/>
    <mergeCell ref="A67:B67"/>
    <mergeCell ref="G6:H6"/>
    <mergeCell ref="G5:H5"/>
    <mergeCell ref="L2:M2"/>
    <mergeCell ref="G8:H8"/>
    <mergeCell ref="G2:H2"/>
    <mergeCell ref="G4:H4"/>
    <mergeCell ref="G3:H3"/>
    <mergeCell ref="G37:H37"/>
  </mergeCells>
  <dataValidations xWindow="358" yWindow="301" count="7">
    <dataValidation allowBlank="1" showInputMessage="1" showErrorMessage="1" prompt="O conteúdo desta célula não deve ser alterado." sqref="S5:S11" xr:uid="{00000000-0002-0000-0E00-000000000000}"/>
    <dataValidation type="list" allowBlank="1" showInputMessage="1" showErrorMessage="1" sqref="H17" xr:uid="{00000000-0002-0000-0E00-000001000000}">
      <formula1>Tipo</formula1>
    </dataValidation>
    <dataValidation allowBlank="1" showErrorMessage="1" prompt="O conteúdo desta célula não deve ser alterado." sqref="A47:B51 F1:F122 D16:E16 D68:E71 E25 C2:D2 D18:E24 D30 D26:E28 D45:D47 A39:B45 D73:E92 A52:A53 D52:D53 E56 E50:E54 C55:E55 B68:B123 D101:E123 A63:A123 C56:C123 B63:B66 A55:B61 D63:D67 D60:D61 E58:E66 E30:E48 A26:B37 C25:C54 A7:E12 D13:E14 A13:C24" xr:uid="{00000000-0002-0000-0E00-000002000000}"/>
    <dataValidation type="whole" operator="greaterThanOrEqual" allowBlank="1" showInputMessage="1" showErrorMessage="1" errorTitle="Erro de Input" error="Inserir apenas números inteiros." sqref="H22:H23" xr:uid="{00000000-0002-0000-0E00-000003000000}">
      <formula1>0</formula1>
    </dataValidation>
    <dataValidation type="list" allowBlank="1" showInputMessage="1" showErrorMessage="1" sqref="H18" xr:uid="{00000000-0002-0000-0E00-000004000000}">
      <formula1>"Poço,Manifold,PLET"</formula1>
    </dataValidation>
    <dataValidation type="list" allowBlank="1" showInputMessage="1" sqref="H20" xr:uid="{00000000-0002-0000-0E00-000005000000}">
      <formula1>"Skandi Niterói,Skandi Vitória,Skandi Búzios, Skandi Açu,Skandi Recife,Skandi Olinda,Top Coral do Atlântico, Top Estrela do Mar"</formula1>
    </dataValidation>
    <dataValidation type="decimal" allowBlank="1" showInputMessage="1" showErrorMessage="1" sqref="H38:H40" xr:uid="{00000000-0002-0000-0E00-000006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Plan1.pos">
                <anchor moveWithCells="1" sizeWithCells="1">
                  <from>
                    <xdr:col>9</xdr:col>
                    <xdr:colOff>12700</xdr:colOff>
                    <xdr:row>1</xdr:row>
                    <xdr:rowOff>31750</xdr:rowOff>
                  </from>
                  <to>
                    <xdr:col>9</xdr:col>
                    <xdr:colOff>1270000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lan1.Botão1_Clique">
                <anchor moveWithCells="1" sizeWithCells="1">
                  <from>
                    <xdr:col>9</xdr:col>
                    <xdr:colOff>19050</xdr:colOff>
                    <xdr:row>7</xdr:row>
                    <xdr:rowOff>165100</xdr:rowOff>
                  </from>
                  <to>
                    <xdr:col>9</xdr:col>
                    <xdr:colOff>1276350</xdr:colOff>
                    <xdr:row>11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1:K57"/>
  <sheetViews>
    <sheetView workbookViewId="0">
      <selection activeCell="B4" sqref="B4"/>
    </sheetView>
  </sheetViews>
  <sheetFormatPr defaultRowHeight="12.6"/>
  <cols>
    <col min="1" max="1" width="2.85546875" customWidth="1"/>
    <col min="2" max="2" width="26.28515625" customWidth="1"/>
    <col min="3" max="3" width="11.42578125" customWidth="1"/>
    <col min="4" max="5" width="24.140625" customWidth="1"/>
    <col min="6" max="6" width="29.28515625" customWidth="1"/>
    <col min="7" max="10" width="8.5703125" customWidth="1"/>
    <col min="11" max="11" width="13" customWidth="1"/>
    <col min="13" max="13" width="21.7109375" customWidth="1"/>
  </cols>
  <sheetData>
    <row r="1" spans="2:11" ht="12.95" thickBot="1"/>
    <row r="2" spans="2:11" ht="12.95">
      <c r="B2" s="543" t="s">
        <v>1480</v>
      </c>
      <c r="C2" s="352" t="s">
        <v>476</v>
      </c>
      <c r="D2" s="352" t="s">
        <v>477</v>
      </c>
      <c r="E2" s="353" t="s">
        <v>1481</v>
      </c>
    </row>
    <row r="3" spans="2:11" ht="13.5" thickBot="1">
      <c r="B3" s="593"/>
      <c r="C3" s="354" t="s">
        <v>1356</v>
      </c>
      <c r="D3" s="354" t="s">
        <v>1356</v>
      </c>
      <c r="E3" s="355" t="s">
        <v>1355</v>
      </c>
    </row>
    <row r="4" spans="2:11" ht="12.95" thickBot="1">
      <c r="B4" s="221" t="s">
        <v>1482</v>
      </c>
      <c r="C4" s="356">
        <f>IF(B4="Puxada Max (Caso 3i)",Results!C31,IF(B4="Puxada Min (Caso 3i)",Results!C34,Results!C40))</f>
        <v>-10.94</v>
      </c>
      <c r="D4" s="356">
        <f>IF(B4="Puxada Max (Caso 3i)",Results!C32,IF(B4="Puxada Min (Caso 3i)",Results!C35,Results!C41))</f>
        <v>6</v>
      </c>
      <c r="E4" s="357">
        <f>IF(B4="Puxada Max (Caso 3i)",Results!C33,IF(B4="Puxada Min (Caso 3i)",Results!C36,Results!C42))</f>
        <v>0.75</v>
      </c>
    </row>
    <row r="6" spans="2:11" ht="12.95" thickBot="1"/>
    <row r="7" spans="2:11" ht="12.95" thickBot="1">
      <c r="G7" s="371" t="s">
        <v>170</v>
      </c>
      <c r="H7" s="594" t="s">
        <v>1483</v>
      </c>
      <c r="I7" s="595"/>
      <c r="J7" s="595"/>
      <c r="K7" s="596"/>
    </row>
    <row r="8" spans="2:11">
      <c r="B8" s="597" t="s">
        <v>1484</v>
      </c>
      <c r="C8" s="598"/>
      <c r="D8" s="599" t="s">
        <v>1485</v>
      </c>
      <c r="E8" s="599"/>
      <c r="F8" s="359" t="s">
        <v>1486</v>
      </c>
      <c r="G8" s="372" t="s">
        <v>1487</v>
      </c>
      <c r="H8" s="245" t="s">
        <v>476</v>
      </c>
      <c r="I8" s="245" t="s">
        <v>477</v>
      </c>
      <c r="J8" s="245" t="s">
        <v>1488</v>
      </c>
      <c r="K8" s="373" t="s">
        <v>1489</v>
      </c>
    </row>
    <row r="9" spans="2:11" ht="15" thickBot="1">
      <c r="B9" s="587" t="s">
        <v>1490</v>
      </c>
      <c r="C9" s="591"/>
      <c r="D9" s="589" t="s">
        <v>1491</v>
      </c>
      <c r="E9" s="589"/>
      <c r="F9" s="361" t="s">
        <v>1492</v>
      </c>
      <c r="G9" s="367">
        <f>VALUE(LEFT(F9,SEARCH(" ",F9)-1))</f>
        <v>1368.48</v>
      </c>
      <c r="H9" s="368"/>
      <c r="I9" s="368"/>
      <c r="J9" s="368"/>
      <c r="K9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0" spans="2:11" ht="14.45">
      <c r="B10" s="587" t="s">
        <v>1493</v>
      </c>
      <c r="C10" s="591"/>
      <c r="D10" s="589" t="s">
        <v>1491</v>
      </c>
      <c r="E10" s="589"/>
      <c r="F10" s="361" t="s">
        <v>1494</v>
      </c>
      <c r="G10" s="363">
        <f t="shared" ref="G10:G52" si="0">VALUE(LEFT(F10,SEARCH(" ",F10)-1))</f>
        <v>-15</v>
      </c>
      <c r="H10" s="364"/>
      <c r="I10" s="364">
        <f>$D$4</f>
        <v>6</v>
      </c>
      <c r="J10" s="364"/>
      <c r="K10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1" spans="2:11" ht="14.45">
      <c r="B11" s="587"/>
      <c r="C11" s="591"/>
      <c r="D11" s="589" t="s">
        <v>1495</v>
      </c>
      <c r="E11" s="589"/>
      <c r="F11" s="361" t="s">
        <v>1496</v>
      </c>
      <c r="G11" s="365">
        <f t="shared" si="0"/>
        <v>15</v>
      </c>
      <c r="H11" s="366">
        <f>$C$4</f>
        <v>-10.94</v>
      </c>
      <c r="I11" s="366"/>
      <c r="J11" s="366"/>
      <c r="K11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2" spans="2:11" ht="14.45">
      <c r="B12" s="587"/>
      <c r="C12" s="591"/>
      <c r="D12" s="589" t="s">
        <v>1497</v>
      </c>
      <c r="E12" s="589"/>
      <c r="F12" s="361" t="s">
        <v>1498</v>
      </c>
      <c r="G12" s="365">
        <f t="shared" si="0"/>
        <v>50</v>
      </c>
      <c r="H12" s="366"/>
      <c r="I12" s="366"/>
      <c r="J12" s="366">
        <f>$E$4</f>
        <v>0.75</v>
      </c>
      <c r="K12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3" spans="2:11" ht="14.45">
      <c r="B13" s="587"/>
      <c r="C13" s="591"/>
      <c r="D13" s="589" t="s">
        <v>1499</v>
      </c>
      <c r="E13" s="589"/>
      <c r="F13" s="361" t="s">
        <v>1500</v>
      </c>
      <c r="G13" s="365">
        <f t="shared" si="0"/>
        <v>6.83</v>
      </c>
      <c r="H13" s="366"/>
      <c r="I13" s="366"/>
      <c r="J13" s="366"/>
      <c r="K13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4" spans="2:11" ht="15" thickBot="1">
      <c r="B14" s="587"/>
      <c r="C14" s="591"/>
      <c r="D14" s="589" t="s">
        <v>1501</v>
      </c>
      <c r="E14" s="589"/>
      <c r="F14" s="361" t="s">
        <v>1502</v>
      </c>
      <c r="G14" s="367">
        <f t="shared" si="0"/>
        <v>5.99</v>
      </c>
      <c r="H14" s="368"/>
      <c r="I14" s="368"/>
      <c r="J14" s="368"/>
      <c r="K14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5" spans="2:11" ht="14.45">
      <c r="B15" s="587" t="s">
        <v>1503</v>
      </c>
      <c r="C15" s="591"/>
      <c r="D15" s="592" t="s">
        <v>1504</v>
      </c>
      <c r="E15" s="369" t="s">
        <v>1491</v>
      </c>
      <c r="F15" s="361" t="s">
        <v>1494</v>
      </c>
      <c r="G15" s="363">
        <f t="shared" si="0"/>
        <v>-15</v>
      </c>
      <c r="H15" s="364"/>
      <c r="I15" s="364">
        <f>$D$4</f>
        <v>6</v>
      </c>
      <c r="J15" s="364"/>
      <c r="K15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6" spans="2:11" ht="14.45">
      <c r="B16" s="587"/>
      <c r="C16" s="591"/>
      <c r="D16" s="592"/>
      <c r="E16" s="369" t="s">
        <v>1495</v>
      </c>
      <c r="F16" s="361" t="s">
        <v>1496</v>
      </c>
      <c r="G16" s="365">
        <f t="shared" si="0"/>
        <v>15</v>
      </c>
      <c r="H16" s="366">
        <f>$C$4</f>
        <v>-10.94</v>
      </c>
      <c r="I16" s="366"/>
      <c r="J16" s="366"/>
      <c r="K16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7" spans="2:11" ht="15" thickBot="1">
      <c r="B17" s="587"/>
      <c r="C17" s="591"/>
      <c r="D17" s="592"/>
      <c r="E17" s="369" t="s">
        <v>1497</v>
      </c>
      <c r="F17" s="361" t="s">
        <v>1498</v>
      </c>
      <c r="G17" s="367">
        <f t="shared" si="0"/>
        <v>50</v>
      </c>
      <c r="H17" s="368"/>
      <c r="I17" s="368"/>
      <c r="J17" s="368">
        <f>$E$4</f>
        <v>0.75</v>
      </c>
      <c r="K17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8" spans="2:11" ht="14.45">
      <c r="B18" s="587"/>
      <c r="C18" s="591"/>
      <c r="D18" s="592" t="s">
        <v>1505</v>
      </c>
      <c r="E18" s="369" t="s">
        <v>1491</v>
      </c>
      <c r="F18" s="361" t="s">
        <v>1506</v>
      </c>
      <c r="G18" s="363">
        <f t="shared" si="0"/>
        <v>18.420000000000002</v>
      </c>
      <c r="H18" s="364"/>
      <c r="I18" s="364">
        <f>$D$4</f>
        <v>6</v>
      </c>
      <c r="J18" s="364"/>
      <c r="K18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9" spans="2:11" ht="14.45">
      <c r="B19" s="587"/>
      <c r="C19" s="591"/>
      <c r="D19" s="592"/>
      <c r="E19" s="369" t="s">
        <v>1495</v>
      </c>
      <c r="F19" s="361" t="s">
        <v>1507</v>
      </c>
      <c r="G19" s="365">
        <f t="shared" si="0"/>
        <v>-18.38</v>
      </c>
      <c r="H19" s="366">
        <f>$C$4</f>
        <v>-10.94</v>
      </c>
      <c r="I19" s="366"/>
      <c r="J19" s="366"/>
      <c r="K19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0" spans="2:11" ht="15" thickBot="1">
      <c r="B20" s="587"/>
      <c r="C20" s="591"/>
      <c r="D20" s="592"/>
      <c r="E20" s="369" t="s">
        <v>1497</v>
      </c>
      <c r="F20" s="361" t="s">
        <v>1508</v>
      </c>
      <c r="G20" s="367">
        <f t="shared" si="0"/>
        <v>-61.01</v>
      </c>
      <c r="H20" s="368"/>
      <c r="I20" s="368"/>
      <c r="J20" s="368">
        <f>$E$4</f>
        <v>0.75</v>
      </c>
      <c r="K20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1" spans="2:11" ht="14.45">
      <c r="B21" s="587"/>
      <c r="C21" s="591"/>
      <c r="D21" s="589" t="s">
        <v>1499</v>
      </c>
      <c r="E21" s="589"/>
      <c r="F21" s="361" t="s">
        <v>1509</v>
      </c>
      <c r="G21" s="363">
        <f t="shared" si="0"/>
        <v>6.19</v>
      </c>
      <c r="H21" s="364"/>
      <c r="I21" s="364"/>
      <c r="J21" s="364"/>
      <c r="K21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2" spans="2:11" ht="15" thickBot="1">
      <c r="B22" s="587"/>
      <c r="C22" s="591"/>
      <c r="D22" s="589" t="s">
        <v>1501</v>
      </c>
      <c r="E22" s="589"/>
      <c r="F22" s="361" t="s">
        <v>1502</v>
      </c>
      <c r="G22" s="367">
        <f t="shared" si="0"/>
        <v>5.99</v>
      </c>
      <c r="H22" s="368"/>
      <c r="I22" s="368"/>
      <c r="J22" s="368"/>
      <c r="K22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3" spans="2:11" ht="14.45">
      <c r="B23" s="587" t="s">
        <v>1510</v>
      </c>
      <c r="C23" s="589" t="s">
        <v>1511</v>
      </c>
      <c r="D23" s="589" t="s">
        <v>1491</v>
      </c>
      <c r="E23" s="589"/>
      <c r="F23" s="361" t="s">
        <v>1496</v>
      </c>
      <c r="G23" s="363">
        <f t="shared" si="0"/>
        <v>15</v>
      </c>
      <c r="H23" s="364"/>
      <c r="I23" s="364">
        <f>$D$4</f>
        <v>6</v>
      </c>
      <c r="J23" s="364"/>
      <c r="K23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4" spans="2:11" ht="14.45">
      <c r="B24" s="587"/>
      <c r="C24" s="589"/>
      <c r="D24" s="589" t="s">
        <v>1495</v>
      </c>
      <c r="E24" s="589"/>
      <c r="F24" s="361" t="s">
        <v>1494</v>
      </c>
      <c r="G24" s="365">
        <f t="shared" si="0"/>
        <v>-15</v>
      </c>
      <c r="H24" s="366">
        <f>$C$4</f>
        <v>-10.94</v>
      </c>
      <c r="I24" s="366"/>
      <c r="J24" s="366"/>
      <c r="K24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5" spans="2:11" ht="15" thickBot="1">
      <c r="B25" s="587"/>
      <c r="C25" s="589"/>
      <c r="D25" s="589" t="s">
        <v>1497</v>
      </c>
      <c r="E25" s="589"/>
      <c r="F25" s="361" t="s">
        <v>1512</v>
      </c>
      <c r="G25" s="367">
        <f t="shared" si="0"/>
        <v>-56.93</v>
      </c>
      <c r="H25" s="368"/>
      <c r="I25" s="368"/>
      <c r="J25" s="368">
        <f>$E$4</f>
        <v>0.75</v>
      </c>
      <c r="K25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6" spans="2:11" ht="14.45">
      <c r="B26" s="587"/>
      <c r="C26" s="589" t="s">
        <v>1513</v>
      </c>
      <c r="D26" s="589" t="s">
        <v>1491</v>
      </c>
      <c r="E26" s="589"/>
      <c r="F26" s="361" t="s">
        <v>1496</v>
      </c>
      <c r="G26" s="363">
        <f t="shared" si="0"/>
        <v>15</v>
      </c>
      <c r="H26" s="364"/>
      <c r="I26" s="364">
        <f>$D$4</f>
        <v>6</v>
      </c>
      <c r="J26" s="364"/>
      <c r="K26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7" spans="2:11" ht="14.45">
      <c r="B27" s="587"/>
      <c r="C27" s="589"/>
      <c r="D27" s="589" t="s">
        <v>1495</v>
      </c>
      <c r="E27" s="589"/>
      <c r="F27" s="361" t="s">
        <v>1494</v>
      </c>
      <c r="G27" s="365">
        <f t="shared" si="0"/>
        <v>-15</v>
      </c>
      <c r="H27" s="366">
        <f>$C$4</f>
        <v>-10.94</v>
      </c>
      <c r="I27" s="366"/>
      <c r="J27" s="366"/>
      <c r="K27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8" spans="2:11" ht="15" thickBot="1">
      <c r="B28" s="587"/>
      <c r="C28" s="589"/>
      <c r="D28" s="589" t="s">
        <v>1497</v>
      </c>
      <c r="E28" s="589"/>
      <c r="F28" s="361" t="s">
        <v>1514</v>
      </c>
      <c r="G28" s="367">
        <f t="shared" si="0"/>
        <v>-53.19</v>
      </c>
      <c r="H28" s="368"/>
      <c r="I28" s="368"/>
      <c r="J28" s="368">
        <f>$E$4</f>
        <v>0.75</v>
      </c>
      <c r="K28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9" spans="2:11" ht="14.45">
      <c r="B29" s="587" t="s">
        <v>1515</v>
      </c>
      <c r="C29" s="589" t="s">
        <v>1511</v>
      </c>
      <c r="D29" s="589" t="s">
        <v>1491</v>
      </c>
      <c r="E29" s="589"/>
      <c r="F29" s="361" t="s">
        <v>1516</v>
      </c>
      <c r="G29" s="363">
        <f t="shared" si="0"/>
        <v>23.69</v>
      </c>
      <c r="H29" s="364"/>
      <c r="I29" s="364">
        <f>$D$4</f>
        <v>6</v>
      </c>
      <c r="J29" s="364"/>
      <c r="K29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0" spans="2:11" ht="14.45">
      <c r="B30" s="587"/>
      <c r="C30" s="589"/>
      <c r="D30" s="589" t="s">
        <v>1495</v>
      </c>
      <c r="E30" s="589"/>
      <c r="F30" s="361" t="s">
        <v>1517</v>
      </c>
      <c r="G30" s="365">
        <f t="shared" si="0"/>
        <v>-28.46</v>
      </c>
      <c r="H30" s="366">
        <f>$C$4</f>
        <v>-10.94</v>
      </c>
      <c r="I30" s="366"/>
      <c r="J30" s="366"/>
      <c r="K30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1" spans="2:11" ht="15" thickBot="1">
      <c r="B31" s="587"/>
      <c r="C31" s="589"/>
      <c r="D31" s="589" t="s">
        <v>1497</v>
      </c>
      <c r="E31" s="589"/>
      <c r="F31" s="361" t="s">
        <v>1518</v>
      </c>
      <c r="G31" s="367">
        <f t="shared" si="0"/>
        <v>-85.87</v>
      </c>
      <c r="H31" s="368"/>
      <c r="I31" s="368"/>
      <c r="J31" s="368">
        <f>$E$4</f>
        <v>0.75</v>
      </c>
      <c r="K31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2" spans="2:11" ht="14.45">
      <c r="B32" s="587"/>
      <c r="C32" s="589" t="s">
        <v>1513</v>
      </c>
      <c r="D32" s="589" t="s">
        <v>1491</v>
      </c>
      <c r="E32" s="589"/>
      <c r="F32" s="361" t="s">
        <v>1519</v>
      </c>
      <c r="G32" s="363">
        <f t="shared" si="0"/>
        <v>20.38</v>
      </c>
      <c r="H32" s="364"/>
      <c r="I32" s="364">
        <f>$D$4</f>
        <v>6</v>
      </c>
      <c r="J32" s="364"/>
      <c r="K32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3" spans="2:11" ht="14.45">
      <c r="B33" s="587"/>
      <c r="C33" s="589"/>
      <c r="D33" s="589" t="s">
        <v>1495</v>
      </c>
      <c r="E33" s="589"/>
      <c r="F33" s="361" t="s">
        <v>1520</v>
      </c>
      <c r="G33" s="365">
        <f t="shared" si="0"/>
        <v>-26.08</v>
      </c>
      <c r="H33" s="366">
        <f>$C$4</f>
        <v>-10.94</v>
      </c>
      <c r="I33" s="366"/>
      <c r="J33" s="366"/>
      <c r="K33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4" spans="2:11" ht="15" thickBot="1">
      <c r="B34" s="587"/>
      <c r="C34" s="589"/>
      <c r="D34" s="589" t="s">
        <v>1497</v>
      </c>
      <c r="E34" s="589"/>
      <c r="F34" s="361" t="s">
        <v>1521</v>
      </c>
      <c r="G34" s="367">
        <f t="shared" si="0"/>
        <v>-75</v>
      </c>
      <c r="H34" s="368"/>
      <c r="I34" s="368"/>
      <c r="J34" s="368">
        <f>$E$4</f>
        <v>0.75</v>
      </c>
      <c r="K34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5" spans="2:11" ht="14.45">
      <c r="B35" s="587" t="s">
        <v>1522</v>
      </c>
      <c r="C35" s="589" t="s">
        <v>1511</v>
      </c>
      <c r="D35" s="589" t="s">
        <v>1491</v>
      </c>
      <c r="E35" s="589"/>
      <c r="F35" s="361" t="s">
        <v>1494</v>
      </c>
      <c r="G35" s="363">
        <f t="shared" si="0"/>
        <v>-15</v>
      </c>
      <c r="H35" s="364"/>
      <c r="I35" s="364">
        <f>$D$4</f>
        <v>6</v>
      </c>
      <c r="J35" s="364"/>
      <c r="K35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6" spans="2:11" ht="14.45">
      <c r="B36" s="587"/>
      <c r="C36" s="589"/>
      <c r="D36" s="589" t="s">
        <v>1495</v>
      </c>
      <c r="E36" s="589"/>
      <c r="F36" s="361" t="s">
        <v>1496</v>
      </c>
      <c r="G36" s="365">
        <f t="shared" si="0"/>
        <v>15</v>
      </c>
      <c r="H36" s="366">
        <f>$C$4</f>
        <v>-10.94</v>
      </c>
      <c r="I36" s="366"/>
      <c r="J36" s="366"/>
      <c r="K36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7" spans="2:11" ht="15" thickBot="1">
      <c r="B37" s="587"/>
      <c r="C37" s="589"/>
      <c r="D37" s="589" t="s">
        <v>1497</v>
      </c>
      <c r="E37" s="589"/>
      <c r="F37" s="361" t="s">
        <v>1523</v>
      </c>
      <c r="G37" s="367">
        <f t="shared" si="0"/>
        <v>60.95</v>
      </c>
      <c r="H37" s="368"/>
      <c r="I37" s="368"/>
      <c r="J37" s="368">
        <f>$E$4</f>
        <v>0.75</v>
      </c>
      <c r="K37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8" spans="2:11" ht="14.45">
      <c r="B38" s="587"/>
      <c r="C38" s="589" t="s">
        <v>1513</v>
      </c>
      <c r="D38" s="589" t="s">
        <v>1491</v>
      </c>
      <c r="E38" s="589"/>
      <c r="F38" s="361" t="s">
        <v>1494</v>
      </c>
      <c r="G38" s="363">
        <f t="shared" si="0"/>
        <v>-15</v>
      </c>
      <c r="H38" s="364"/>
      <c r="I38" s="364">
        <f>$D$4</f>
        <v>6</v>
      </c>
      <c r="J38" s="364"/>
      <c r="K38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9" spans="2:11" ht="14.45">
      <c r="B39" s="587"/>
      <c r="C39" s="589"/>
      <c r="D39" s="589" t="s">
        <v>1495</v>
      </c>
      <c r="E39" s="589"/>
      <c r="F39" s="361" t="s">
        <v>1496</v>
      </c>
      <c r="G39" s="365">
        <f t="shared" si="0"/>
        <v>15</v>
      </c>
      <c r="H39" s="366">
        <f>$C$4</f>
        <v>-10.94</v>
      </c>
      <c r="I39" s="366"/>
      <c r="J39" s="366"/>
      <c r="K39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0" spans="2:11" ht="15" thickBot="1">
      <c r="B40" s="587"/>
      <c r="C40" s="589"/>
      <c r="D40" s="589" t="s">
        <v>1497</v>
      </c>
      <c r="E40" s="589"/>
      <c r="F40" s="361" t="s">
        <v>1524</v>
      </c>
      <c r="G40" s="367">
        <f t="shared" si="0"/>
        <v>56.27</v>
      </c>
      <c r="H40" s="368"/>
      <c r="I40" s="368"/>
      <c r="J40" s="368">
        <f>$E$4</f>
        <v>0.75</v>
      </c>
      <c r="K40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1" spans="2:11" ht="14.45">
      <c r="B41" s="587" t="s">
        <v>1525</v>
      </c>
      <c r="C41" s="589" t="s">
        <v>1511</v>
      </c>
      <c r="D41" s="589" t="s">
        <v>1491</v>
      </c>
      <c r="E41" s="589"/>
      <c r="F41" s="361" t="s">
        <v>1496</v>
      </c>
      <c r="G41" s="363">
        <f t="shared" si="0"/>
        <v>15</v>
      </c>
      <c r="H41" s="364"/>
      <c r="I41" s="364">
        <f>$D$4</f>
        <v>6</v>
      </c>
      <c r="J41" s="364"/>
      <c r="K41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2" spans="2:11" ht="14.45">
      <c r="B42" s="587"/>
      <c r="C42" s="589"/>
      <c r="D42" s="589" t="s">
        <v>1495</v>
      </c>
      <c r="E42" s="589"/>
      <c r="F42" s="361" t="s">
        <v>1526</v>
      </c>
      <c r="G42" s="365">
        <f t="shared" si="0"/>
        <v>-38.36</v>
      </c>
      <c r="H42" s="366">
        <f>$C$4</f>
        <v>-10.94</v>
      </c>
      <c r="I42" s="366"/>
      <c r="J42" s="366"/>
      <c r="K42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3" spans="2:11" ht="15" thickBot="1">
      <c r="B43" s="587"/>
      <c r="C43" s="589"/>
      <c r="D43" s="589" t="s">
        <v>1497</v>
      </c>
      <c r="E43" s="589"/>
      <c r="F43" s="361" t="s">
        <v>1527</v>
      </c>
      <c r="G43" s="367">
        <f t="shared" si="0"/>
        <v>-98.61</v>
      </c>
      <c r="H43" s="368"/>
      <c r="I43" s="368"/>
      <c r="J43" s="368">
        <f>$E$4</f>
        <v>0.75</v>
      </c>
      <c r="K43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4" spans="2:11" ht="14.45">
      <c r="B44" s="587"/>
      <c r="C44" s="589" t="s">
        <v>1513</v>
      </c>
      <c r="D44" s="589" t="s">
        <v>1491</v>
      </c>
      <c r="E44" s="589"/>
      <c r="F44" s="361" t="s">
        <v>1528</v>
      </c>
      <c r="G44" s="363">
        <f t="shared" si="0"/>
        <v>-33.15</v>
      </c>
      <c r="H44" s="364"/>
      <c r="I44" s="364">
        <f>$D$4</f>
        <v>6</v>
      </c>
      <c r="J44" s="364"/>
      <c r="K44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5" spans="2:11" ht="14.45">
      <c r="B45" s="587"/>
      <c r="C45" s="589"/>
      <c r="D45" s="589" t="s">
        <v>1495</v>
      </c>
      <c r="E45" s="589"/>
      <c r="F45" s="361" t="s">
        <v>1529</v>
      </c>
      <c r="G45" s="365">
        <f t="shared" si="0"/>
        <v>-39.909999999999997</v>
      </c>
      <c r="H45" s="366">
        <f>$C$4</f>
        <v>-10.94</v>
      </c>
      <c r="I45" s="366"/>
      <c r="J45" s="366"/>
      <c r="K45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6" spans="2:11" ht="15" thickBot="1">
      <c r="B46" s="587"/>
      <c r="C46" s="589"/>
      <c r="D46" s="589" t="s">
        <v>1497</v>
      </c>
      <c r="E46" s="589"/>
      <c r="F46" s="361" t="s">
        <v>1530</v>
      </c>
      <c r="G46" s="367">
        <f t="shared" si="0"/>
        <v>-82.24</v>
      </c>
      <c r="H46" s="368"/>
      <c r="I46" s="368"/>
      <c r="J46" s="368">
        <f>$E$4</f>
        <v>0.75</v>
      </c>
      <c r="K46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7" spans="2:11" ht="14.45">
      <c r="B47" s="587" t="s">
        <v>1531</v>
      </c>
      <c r="C47" s="589" t="s">
        <v>1511</v>
      </c>
      <c r="D47" s="589" t="s">
        <v>1491</v>
      </c>
      <c r="E47" s="589"/>
      <c r="F47" s="361" t="s">
        <v>1496</v>
      </c>
      <c r="G47" s="363">
        <f t="shared" si="0"/>
        <v>15</v>
      </c>
      <c r="H47" s="364"/>
      <c r="I47" s="364">
        <f>$D$4</f>
        <v>6</v>
      </c>
      <c r="J47" s="364"/>
      <c r="K47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8" spans="2:11" ht="14.45">
      <c r="B48" s="587"/>
      <c r="C48" s="589"/>
      <c r="D48" s="589" t="s">
        <v>1495</v>
      </c>
      <c r="E48" s="589"/>
      <c r="F48" s="361" t="s">
        <v>1532</v>
      </c>
      <c r="G48" s="365">
        <f t="shared" si="0"/>
        <v>-38.4</v>
      </c>
      <c r="H48" s="366">
        <f>$C$4</f>
        <v>-10.94</v>
      </c>
      <c r="I48" s="366"/>
      <c r="J48" s="366"/>
      <c r="K48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9" spans="2:11" ht="15" thickBot="1">
      <c r="B49" s="587"/>
      <c r="C49" s="589"/>
      <c r="D49" s="589" t="s">
        <v>1497</v>
      </c>
      <c r="E49" s="589"/>
      <c r="F49" s="361" t="s">
        <v>1533</v>
      </c>
      <c r="G49" s="367">
        <f t="shared" si="0"/>
        <v>-99.31</v>
      </c>
      <c r="H49" s="368"/>
      <c r="I49" s="368"/>
      <c r="J49" s="368">
        <f>$E$4</f>
        <v>0.75</v>
      </c>
      <c r="K49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0" spans="2:11" ht="14.45">
      <c r="B50" s="587"/>
      <c r="C50" s="589" t="s">
        <v>1513</v>
      </c>
      <c r="D50" s="589" t="s">
        <v>1491</v>
      </c>
      <c r="E50" s="589"/>
      <c r="F50" s="361" t="s">
        <v>1534</v>
      </c>
      <c r="G50" s="363">
        <f t="shared" si="0"/>
        <v>-33.130000000000003</v>
      </c>
      <c r="H50" s="364"/>
      <c r="I50" s="364">
        <f>$D$4</f>
        <v>6</v>
      </c>
      <c r="J50" s="364"/>
      <c r="K50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1" spans="2:11" ht="14.45">
      <c r="B51" s="587"/>
      <c r="C51" s="589"/>
      <c r="D51" s="589" t="s">
        <v>1495</v>
      </c>
      <c r="E51" s="589"/>
      <c r="F51" s="361" t="s">
        <v>1529</v>
      </c>
      <c r="G51" s="365">
        <f t="shared" si="0"/>
        <v>-39.909999999999997</v>
      </c>
      <c r="H51" s="366">
        <f>$C$4</f>
        <v>-10.94</v>
      </c>
      <c r="I51" s="366"/>
      <c r="J51" s="366"/>
      <c r="K51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2" spans="2:11" ht="15" thickBot="1">
      <c r="B52" s="588"/>
      <c r="C52" s="590"/>
      <c r="D52" s="590" t="s">
        <v>1497</v>
      </c>
      <c r="E52" s="590"/>
      <c r="F52" s="370" t="s">
        <v>1535</v>
      </c>
      <c r="G52" s="367">
        <f t="shared" si="0"/>
        <v>-82.77</v>
      </c>
      <c r="H52" s="368"/>
      <c r="I52" s="368"/>
      <c r="J52" s="368">
        <f>$E$4</f>
        <v>0.75</v>
      </c>
      <c r="K52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4" spans="2:11" ht="13.5" hidden="1" thickBot="1">
      <c r="B54" s="358" t="s">
        <v>1536</v>
      </c>
    </row>
    <row r="55" spans="2:11" hidden="1">
      <c r="B55" s="360" t="s">
        <v>1537</v>
      </c>
    </row>
    <row r="56" spans="2:11" hidden="1">
      <c r="B56" s="362" t="s">
        <v>1538</v>
      </c>
    </row>
    <row r="57" spans="2:11" ht="12.95" hidden="1" thickBot="1">
      <c r="B57" s="163" t="s">
        <v>1482</v>
      </c>
    </row>
  </sheetData>
  <mergeCells count="62">
    <mergeCell ref="B2:B3"/>
    <mergeCell ref="H7:K7"/>
    <mergeCell ref="B8:C8"/>
    <mergeCell ref="D8:E8"/>
    <mergeCell ref="B9:C9"/>
    <mergeCell ref="D9:E9"/>
    <mergeCell ref="B10:C14"/>
    <mergeCell ref="D10:E10"/>
    <mergeCell ref="D11:E11"/>
    <mergeCell ref="D12:E12"/>
    <mergeCell ref="D13:E13"/>
    <mergeCell ref="D14:E14"/>
    <mergeCell ref="B15:C22"/>
    <mergeCell ref="D15:D17"/>
    <mergeCell ref="D18:D20"/>
    <mergeCell ref="D21:E21"/>
    <mergeCell ref="D22:E22"/>
    <mergeCell ref="C26:C28"/>
    <mergeCell ref="D26:E26"/>
    <mergeCell ref="D27:E27"/>
    <mergeCell ref="D28:E28"/>
    <mergeCell ref="B29:B34"/>
    <mergeCell ref="C29:C31"/>
    <mergeCell ref="D29:E29"/>
    <mergeCell ref="D30:E30"/>
    <mergeCell ref="D31:E31"/>
    <mergeCell ref="C32:C34"/>
    <mergeCell ref="B23:B28"/>
    <mergeCell ref="C23:C25"/>
    <mergeCell ref="D23:E23"/>
    <mergeCell ref="D24:E24"/>
    <mergeCell ref="D25:E25"/>
    <mergeCell ref="D32:E32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B41:B46"/>
    <mergeCell ref="C41:C43"/>
    <mergeCell ref="D41:E41"/>
    <mergeCell ref="D42:E42"/>
    <mergeCell ref="D43:E43"/>
    <mergeCell ref="C44:C46"/>
    <mergeCell ref="D44:E44"/>
    <mergeCell ref="D45:E45"/>
    <mergeCell ref="D46:E46"/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</mergeCells>
  <conditionalFormatting sqref="H9:J52">
    <cfRule type="expression" dxfId="21" priority="1">
      <formula>AND(H9&lt;&gt;"",$K9="SINAL")</formula>
    </cfRule>
    <cfRule type="expression" dxfId="20" priority="2">
      <formula>AND(H9&lt;&gt;"",$K9="VALOR")</formula>
    </cfRule>
    <cfRule type="expression" dxfId="19" priority="3">
      <formula>AND(H9&lt;&gt;"",$K9="OK")</formula>
    </cfRule>
    <cfRule type="notContainsBlanks" dxfId="18" priority="7">
      <formula>LEN(TRIM(H9))&gt;0</formula>
    </cfRule>
  </conditionalFormatting>
  <conditionalFormatting sqref="K9:K52">
    <cfRule type="cellIs" dxfId="17" priority="4" operator="equal">
      <formula>"SINAL"</formula>
    </cfRule>
    <cfRule type="cellIs" dxfId="16" priority="5" operator="equal">
      <formula>"VALOR"</formula>
    </cfRule>
    <cfRule type="cellIs" dxfId="15" priority="6" operator="equal">
      <formula>"OK"</formula>
    </cfRule>
  </conditionalFormatting>
  <dataValidations count="1">
    <dataValidation type="list" allowBlank="1" showInputMessage="1" showErrorMessage="1" sqref="B4" xr:uid="{00000000-0002-0000-0F00-000000000000}">
      <formula1>Caso</formula1>
    </dataValidation>
  </dataValidations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B1:T21"/>
  <sheetViews>
    <sheetView zoomScale="85" zoomScaleNormal="85" workbookViewId="0"/>
  </sheetViews>
  <sheetFormatPr defaultRowHeight="12.6"/>
  <cols>
    <col min="2" max="14" width="9.7109375" customWidth="1"/>
  </cols>
  <sheetData>
    <row r="1" spans="2:15" ht="12.95" thickBot="1"/>
    <row r="2" spans="2:15" ht="14.1" thickTop="1" thickBot="1">
      <c r="B2" s="426"/>
      <c r="C2" s="609" t="s">
        <v>1539</v>
      </c>
      <c r="D2" s="609"/>
      <c r="E2" s="609"/>
      <c r="F2" s="609"/>
      <c r="G2" s="609"/>
      <c r="H2" s="609"/>
      <c r="I2" s="609"/>
      <c r="J2" s="609"/>
      <c r="K2" s="609"/>
      <c r="L2" s="603" t="s">
        <v>1540</v>
      </c>
      <c r="M2" s="603"/>
      <c r="N2" s="603"/>
    </row>
    <row r="3" spans="2:15" ht="14.1" thickTop="1" thickBot="1">
      <c r="B3" s="427"/>
      <c r="C3" s="609" t="s">
        <v>1541</v>
      </c>
      <c r="D3" s="609"/>
      <c r="E3" s="609"/>
      <c r="F3" s="609"/>
      <c r="G3" s="609"/>
      <c r="H3" s="609"/>
      <c r="I3" s="603" t="s">
        <v>1542</v>
      </c>
      <c r="J3" s="603"/>
      <c r="K3" s="603"/>
      <c r="L3" s="603"/>
      <c r="M3" s="603"/>
      <c r="N3" s="603"/>
    </row>
    <row r="4" spans="2:15" ht="14.1" thickTop="1" thickBot="1">
      <c r="B4" s="428"/>
      <c r="C4" s="603" t="s">
        <v>1543</v>
      </c>
      <c r="D4" s="603"/>
      <c r="E4" s="603"/>
      <c r="F4" s="603" t="s">
        <v>1544</v>
      </c>
      <c r="G4" s="603"/>
      <c r="H4" s="603"/>
      <c r="I4" s="603"/>
      <c r="J4" s="603"/>
      <c r="K4" s="603"/>
      <c r="L4" s="603"/>
      <c r="M4" s="603"/>
      <c r="N4" s="603"/>
    </row>
    <row r="5" spans="2:15" ht="39.75" customHeight="1" thickTop="1" thickBot="1">
      <c r="B5" s="607" t="s">
        <v>1545</v>
      </c>
      <c r="C5" s="429" t="s">
        <v>1546</v>
      </c>
      <c r="D5" s="600" t="s">
        <v>1547</v>
      </c>
      <c r="E5" s="603" t="s">
        <v>170</v>
      </c>
      <c r="F5" s="429" t="s">
        <v>1546</v>
      </c>
      <c r="G5" s="603" t="s">
        <v>1547</v>
      </c>
      <c r="H5" s="603" t="s">
        <v>170</v>
      </c>
      <c r="I5" s="429" t="s">
        <v>1548</v>
      </c>
      <c r="J5" s="603" t="s">
        <v>1547</v>
      </c>
      <c r="K5" s="603" t="s">
        <v>170</v>
      </c>
      <c r="L5" s="603" t="s">
        <v>1548</v>
      </c>
      <c r="M5" s="603" t="s">
        <v>1547</v>
      </c>
      <c r="N5" s="603" t="s">
        <v>170</v>
      </c>
    </row>
    <row r="6" spans="2:15" ht="14.1" thickTop="1" thickBot="1">
      <c r="B6" s="608"/>
      <c r="C6" s="432" t="s">
        <v>1483</v>
      </c>
      <c r="D6" s="601"/>
      <c r="E6" s="600"/>
      <c r="F6" s="432" t="s">
        <v>1483</v>
      </c>
      <c r="G6" s="600"/>
      <c r="H6" s="600"/>
      <c r="I6" s="432" t="s">
        <v>1483</v>
      </c>
      <c r="J6" s="600"/>
      <c r="K6" s="600"/>
      <c r="L6" s="603"/>
      <c r="M6" s="603"/>
      <c r="N6" s="603"/>
    </row>
    <row r="7" spans="2:15" ht="14.1" thickTop="1" thickBot="1">
      <c r="B7" s="431">
        <f>Results!C27</f>
        <v>2</v>
      </c>
      <c r="C7" s="430" t="s">
        <v>1549</v>
      </c>
      <c r="D7" s="430" t="s">
        <v>1549</v>
      </c>
      <c r="E7" s="430" t="s">
        <v>1549</v>
      </c>
      <c r="F7" s="430" t="s">
        <v>1549</v>
      </c>
      <c r="G7" s="430" t="s">
        <v>1549</v>
      </c>
      <c r="H7" s="430" t="s">
        <v>1549</v>
      </c>
      <c r="I7" s="430" t="s">
        <v>1550</v>
      </c>
      <c r="J7" s="430" t="s">
        <v>1550</v>
      </c>
      <c r="K7" s="430" t="s">
        <v>1551</v>
      </c>
      <c r="L7" s="603"/>
      <c r="M7" s="603"/>
      <c r="N7" s="603"/>
    </row>
    <row r="8" spans="2:15" ht="13.5" thickTop="1" thickBot="1">
      <c r="B8" s="603" t="s">
        <v>1552</v>
      </c>
      <c r="C8" s="604">
        <f>Results!C32</f>
        <v>4.8</v>
      </c>
      <c r="D8" s="604">
        <f>IF(AND(C8&gt;0,C8&lt;15),15,IF(AND(C8&lt;0,C8&gt;-15),-15,C8))</f>
        <v>15</v>
      </c>
      <c r="E8" s="606"/>
      <c r="F8" s="604">
        <f>Results!C35</f>
        <v>6.3599999999999994</v>
      </c>
      <c r="G8" s="604">
        <f>IF(AND(F8&gt;0,F8&lt;15),15,IF(AND(F8&lt;0,F8&gt;-15),-15,F8))</f>
        <v>15</v>
      </c>
      <c r="H8" s="606"/>
      <c r="I8" s="604">
        <f>Results!C44</f>
        <v>6</v>
      </c>
      <c r="J8" s="604">
        <f>IF(AND(I8&gt;0,I8&lt;15),15,IF(AND(I8&lt;0,I8&gt;-15),-15,I8))</f>
        <v>15</v>
      </c>
      <c r="K8" s="606"/>
      <c r="L8" s="604" t="s">
        <v>459</v>
      </c>
      <c r="M8" s="604" t="str">
        <f>L8</f>
        <v>N/A</v>
      </c>
      <c r="N8" s="606">
        <f>IF(Values!C29&gt;0,Values!C29,"N/A")</f>
        <v>34</v>
      </c>
    </row>
    <row r="9" spans="2:15" ht="13.5" thickTop="1" thickBot="1">
      <c r="B9" s="603"/>
      <c r="C9" s="605"/>
      <c r="D9" s="605"/>
      <c r="E9" s="606"/>
      <c r="F9" s="605"/>
      <c r="G9" s="605"/>
      <c r="H9" s="606"/>
      <c r="I9" s="605"/>
      <c r="J9" s="605"/>
      <c r="K9" s="606"/>
      <c r="L9" s="605"/>
      <c r="M9" s="605"/>
      <c r="N9" s="606"/>
    </row>
    <row r="10" spans="2:15" ht="13.5" thickTop="1" thickBot="1">
      <c r="B10" s="603"/>
      <c r="C10" s="605"/>
      <c r="D10" s="605"/>
      <c r="E10" s="606"/>
      <c r="F10" s="605"/>
      <c r="G10" s="605"/>
      <c r="H10" s="606"/>
      <c r="I10" s="605"/>
      <c r="J10" s="605"/>
      <c r="K10" s="606"/>
      <c r="L10" s="605"/>
      <c r="M10" s="605"/>
      <c r="N10" s="606"/>
    </row>
    <row r="11" spans="2:15" ht="13.5" customHeight="1" thickTop="1" thickBot="1">
      <c r="B11" s="603" t="s">
        <v>1553</v>
      </c>
      <c r="C11" s="604">
        <f>Results!C31</f>
        <v>-3.6999999999999997</v>
      </c>
      <c r="D11" s="604">
        <f>IF(AND(C11&gt;0,C11&lt;15),15,IF(AND(C11&lt;0,C11&gt;-15),-15,C11))</f>
        <v>-15</v>
      </c>
      <c r="E11" s="606"/>
      <c r="F11" s="604">
        <f>Results!C34</f>
        <v>-11.57</v>
      </c>
      <c r="G11" s="604">
        <f>IF(AND(F11&gt;0,F11&lt;15),15,IF(AND(F11&lt;0,F11&gt;-15),-15,F11))</f>
        <v>-15</v>
      </c>
      <c r="H11" s="606"/>
      <c r="I11" s="604">
        <f>Results!C43</f>
        <v>-10.94</v>
      </c>
      <c r="J11" s="604">
        <f>IF(AND(I11&gt;0,I11&lt;15),15,IF(AND(I11&lt;0,I11&gt;-15),-15,I11))</f>
        <v>-15</v>
      </c>
      <c r="K11" s="606"/>
      <c r="L11" s="604">
        <f>IF(Results!C12&gt;0,MAX(Results!C25,Results!C38,Results!C54,Results!C62),"N/A")</f>
        <v>20.270000000000003</v>
      </c>
      <c r="M11" s="604">
        <f>L11</f>
        <v>20.270000000000003</v>
      </c>
      <c r="N11" s="606" t="s">
        <v>459</v>
      </c>
    </row>
    <row r="12" spans="2:15" ht="12.75" customHeight="1" thickTop="1" thickBot="1">
      <c r="B12" s="603"/>
      <c r="C12" s="605"/>
      <c r="D12" s="605"/>
      <c r="E12" s="606"/>
      <c r="F12" s="605"/>
      <c r="G12" s="605"/>
      <c r="H12" s="606"/>
      <c r="I12" s="605"/>
      <c r="J12" s="605"/>
      <c r="K12" s="606"/>
      <c r="L12" s="605"/>
      <c r="M12" s="605"/>
      <c r="N12" s="606"/>
    </row>
    <row r="13" spans="2:15" ht="13.5" customHeight="1" thickTop="1" thickBot="1">
      <c r="B13" s="603"/>
      <c r="C13" s="605"/>
      <c r="D13" s="605"/>
      <c r="E13" s="606"/>
      <c r="F13" s="605"/>
      <c r="G13" s="605"/>
      <c r="H13" s="606"/>
      <c r="I13" s="605"/>
      <c r="J13" s="605"/>
      <c r="K13" s="606"/>
      <c r="L13" s="605"/>
      <c r="M13" s="605"/>
      <c r="N13" s="606"/>
    </row>
    <row r="14" spans="2:15" ht="13.5" thickTop="1" thickBot="1">
      <c r="B14" s="600" t="s">
        <v>1554</v>
      </c>
      <c r="C14" s="604">
        <f>Results!C33</f>
        <v>43.29</v>
      </c>
      <c r="D14" s="604">
        <f>IF(AND(C14&gt;0,C14&lt;50),50,IF(AND(C14&lt;0,C14&gt;-50),-50,C14))</f>
        <v>50</v>
      </c>
      <c r="E14" s="606"/>
      <c r="F14" s="604">
        <f>Results!C36</f>
        <v>1.4</v>
      </c>
      <c r="G14" s="604">
        <f>IF(AND(F14&gt;0,F14&lt;50),50,IF(AND(F14&lt;0,F14&gt;-50),-50,F14))</f>
        <v>50</v>
      </c>
      <c r="H14" s="606"/>
      <c r="I14" s="604">
        <f>Results!C45</f>
        <v>0.75</v>
      </c>
      <c r="J14" s="604">
        <f>IF(AND(I14&gt;0,I14&lt;50),50,IF(AND(I14&lt;0,I14&gt;-50),-50,I14))</f>
        <v>50</v>
      </c>
      <c r="K14" s="606"/>
      <c r="L14" s="604">
        <f>MAX(Results!C24,Results!C37,Results!C53,Results!C53,Results!C61)</f>
        <v>18.520000000000003</v>
      </c>
      <c r="M14" s="604">
        <f>L14</f>
        <v>18.520000000000003</v>
      </c>
      <c r="N14" s="606">
        <f>Values!C28</f>
        <v>70</v>
      </c>
    </row>
    <row r="15" spans="2:15" ht="13.5" thickTop="1" thickBot="1">
      <c r="B15" s="601"/>
      <c r="C15" s="605"/>
      <c r="D15" s="605"/>
      <c r="E15" s="606"/>
      <c r="F15" s="605"/>
      <c r="G15" s="605"/>
      <c r="H15" s="606"/>
      <c r="I15" s="605"/>
      <c r="J15" s="605"/>
      <c r="K15" s="606"/>
      <c r="L15" s="605"/>
      <c r="M15" s="605"/>
      <c r="N15" s="606"/>
    </row>
    <row r="16" spans="2:15" ht="13.5" thickTop="1" thickBot="1">
      <c r="B16" s="602"/>
      <c r="C16" s="605"/>
      <c r="D16" s="605"/>
      <c r="E16" s="606"/>
      <c r="F16" s="605"/>
      <c r="G16" s="605"/>
      <c r="H16" s="606"/>
      <c r="I16" s="605"/>
      <c r="J16" s="605"/>
      <c r="K16" s="606"/>
      <c r="L16" s="605"/>
      <c r="M16" s="605"/>
      <c r="N16" s="606"/>
      <c r="O16" s="438"/>
    </row>
    <row r="17" spans="2:20" ht="15.95" thickTop="1">
      <c r="B17" s="613" t="s">
        <v>1555</v>
      </c>
      <c r="C17" s="613"/>
      <c r="D17" s="613"/>
      <c r="E17" s="613"/>
      <c r="F17" s="613"/>
      <c r="G17" s="613"/>
      <c r="H17" s="613"/>
      <c r="I17" s="613"/>
      <c r="J17" s="613"/>
      <c r="K17" s="613"/>
      <c r="L17" s="613"/>
      <c r="M17" s="613"/>
      <c r="N17" s="613"/>
      <c r="O17" s="437"/>
      <c r="P17" s="437"/>
      <c r="Q17" s="437"/>
      <c r="R17" s="437"/>
      <c r="S17" s="437"/>
      <c r="T17" s="437"/>
    </row>
    <row r="18" spans="2:20" ht="15.6">
      <c r="B18" s="614" t="s">
        <v>1556</v>
      </c>
      <c r="C18" s="614"/>
      <c r="D18" s="614"/>
      <c r="E18" s="614"/>
      <c r="F18" s="614"/>
      <c r="G18" s="614"/>
      <c r="H18" s="614"/>
      <c r="I18" s="614"/>
      <c r="J18" s="614"/>
      <c r="K18" s="614"/>
      <c r="L18" s="614"/>
      <c r="M18" s="614"/>
      <c r="N18" s="614"/>
      <c r="O18" s="434"/>
      <c r="P18" s="434"/>
      <c r="Q18" s="434"/>
      <c r="R18" s="434"/>
      <c r="S18" s="434"/>
      <c r="T18" s="434"/>
    </row>
    <row r="19" spans="2:20" ht="15.6">
      <c r="B19" s="615" t="s">
        <v>1557</v>
      </c>
      <c r="C19" s="615"/>
      <c r="D19" s="615"/>
      <c r="E19" s="615"/>
      <c r="F19" s="615"/>
      <c r="G19" s="615"/>
      <c r="H19" s="615"/>
      <c r="I19" s="615"/>
      <c r="J19" s="615"/>
      <c r="K19" s="615"/>
      <c r="L19" s="615"/>
      <c r="M19" s="615"/>
      <c r="N19" s="615"/>
      <c r="O19" s="435"/>
      <c r="P19" s="435"/>
      <c r="Q19" s="435"/>
      <c r="R19" s="435"/>
      <c r="S19" s="435"/>
      <c r="T19" s="435"/>
    </row>
    <row r="20" spans="2:20" ht="15.6">
      <c r="B20" s="616" t="s">
        <v>1558</v>
      </c>
      <c r="C20" s="616"/>
      <c r="D20" s="616"/>
      <c r="E20" s="616"/>
      <c r="F20" s="616"/>
      <c r="G20" s="616"/>
      <c r="H20" s="616"/>
      <c r="I20" s="616"/>
      <c r="J20" s="616"/>
      <c r="K20" s="616"/>
      <c r="L20" s="616"/>
      <c r="M20" s="616"/>
      <c r="N20" s="616"/>
      <c r="O20" s="436"/>
      <c r="P20" s="436"/>
      <c r="Q20" s="436"/>
      <c r="R20" s="436"/>
      <c r="S20" s="436"/>
      <c r="T20" s="436"/>
    </row>
    <row r="21" spans="2:20" ht="15.6">
      <c r="B21" s="617" t="s">
        <v>1559</v>
      </c>
      <c r="C21" s="617"/>
      <c r="D21" s="617"/>
      <c r="E21" s="617"/>
      <c r="F21" s="617"/>
      <c r="G21" s="617"/>
      <c r="H21" s="617"/>
      <c r="I21" s="617"/>
      <c r="J21" s="617"/>
      <c r="K21" s="617"/>
      <c r="L21" s="617"/>
      <c r="M21" s="617"/>
      <c r="N21" s="617"/>
      <c r="O21" s="433"/>
      <c r="P21" s="433"/>
      <c r="Q21" s="433"/>
      <c r="R21" s="433"/>
      <c r="S21" s="433"/>
      <c r="T21" s="433"/>
    </row>
  </sheetData>
  <mergeCells count="60">
    <mergeCell ref="B21:N21"/>
    <mergeCell ref="B17:N17"/>
    <mergeCell ref="B18:N18"/>
    <mergeCell ref="B19:N19"/>
    <mergeCell ref="B20:N20"/>
    <mergeCell ref="C2:K2"/>
    <mergeCell ref="L2:N4"/>
    <mergeCell ref="L5:L7"/>
    <mergeCell ref="M5:M7"/>
    <mergeCell ref="N5:N7"/>
    <mergeCell ref="C3:H3"/>
    <mergeCell ref="I3:K4"/>
    <mergeCell ref="C4:E4"/>
    <mergeCell ref="F4:H4"/>
    <mergeCell ref="K5:K6"/>
    <mergeCell ref="H5:H6"/>
    <mergeCell ref="J5:J6"/>
    <mergeCell ref="L14:L16"/>
    <mergeCell ref="M14:M16"/>
    <mergeCell ref="N14:N16"/>
    <mergeCell ref="L8:L10"/>
    <mergeCell ref="M8:M10"/>
    <mergeCell ref="N8:N10"/>
    <mergeCell ref="L11:L13"/>
    <mergeCell ref="M11:M13"/>
    <mergeCell ref="N11:N13"/>
    <mergeCell ref="E8:E10"/>
    <mergeCell ref="F8:F10"/>
    <mergeCell ref="B5:B6"/>
    <mergeCell ref="E5:E6"/>
    <mergeCell ref="G5:G6"/>
    <mergeCell ref="J14:J16"/>
    <mergeCell ref="K14:K16"/>
    <mergeCell ref="G8:G10"/>
    <mergeCell ref="H8:H10"/>
    <mergeCell ref="H14:H16"/>
    <mergeCell ref="I11:I13"/>
    <mergeCell ref="J11:J13"/>
    <mergeCell ref="K11:K13"/>
    <mergeCell ref="I8:I10"/>
    <mergeCell ref="J8:J10"/>
    <mergeCell ref="K8:K10"/>
    <mergeCell ref="G14:G16"/>
    <mergeCell ref="E11:E13"/>
    <mergeCell ref="F11:F13"/>
    <mergeCell ref="G11:G13"/>
    <mergeCell ref="H11:H13"/>
    <mergeCell ref="I14:I16"/>
    <mergeCell ref="E14:E16"/>
    <mergeCell ref="F14:F16"/>
    <mergeCell ref="B14:B16"/>
    <mergeCell ref="D5:D6"/>
    <mergeCell ref="B11:B13"/>
    <mergeCell ref="C11:C13"/>
    <mergeCell ref="D11:D13"/>
    <mergeCell ref="B8:B10"/>
    <mergeCell ref="C8:C10"/>
    <mergeCell ref="D8:D10"/>
    <mergeCell ref="C14:C16"/>
    <mergeCell ref="D14:D16"/>
  </mergeCells>
  <conditionalFormatting sqref="B7">
    <cfRule type="cellIs" dxfId="5" priority="68" operator="lessThan">
      <formula>2.5</formula>
    </cfRule>
  </conditionalFormatting>
  <conditionalFormatting sqref="D8:D16 G8:G16 J8:J16 M8:M16">
    <cfRule type="expression" dxfId="4" priority="61">
      <formula>SIGN(D8)&lt;&gt;SIGN(E8)</formula>
    </cfRule>
  </conditionalFormatting>
  <conditionalFormatting sqref="C8:C16 F8:F16 I8:I16 L8:L16">
    <cfRule type="expression" dxfId="3" priority="63">
      <formula>SIGN(C8)&lt;&gt;SIGN(E8)</formula>
    </cfRule>
    <cfRule type="expression" dxfId="2" priority="64">
      <formula>ABS(C8)&gt;ABS(E8)</formula>
    </cfRule>
  </conditionalFormatting>
  <conditionalFormatting sqref="D8:D16 G8:G16 J8:J16 M8:M16">
    <cfRule type="expression" dxfId="1" priority="62">
      <formula>ABS(D8)&gt;ABS(E8)</formula>
    </cfRule>
  </conditionalFormatting>
  <conditionalFormatting sqref="C8:N16">
    <cfRule type="containsText" dxfId="0" priority="1" operator="containsText" text="N/A">
      <formula>NOT(ISERROR(SEARCH("N/A",C8)))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I53"/>
  <sheetViews>
    <sheetView workbookViewId="0"/>
  </sheetViews>
  <sheetFormatPr defaultRowHeight="12.6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>
      <c r="A1" t="s">
        <v>1560</v>
      </c>
      <c r="B1" s="3" t="s">
        <v>1226</v>
      </c>
      <c r="C1" t="s">
        <v>1561</v>
      </c>
      <c r="D1" s="3">
        <v>0</v>
      </c>
      <c r="E1" t="s">
        <v>1562</v>
      </c>
      <c r="F1" s="1" t="s">
        <v>1563</v>
      </c>
      <c r="H1" s="1"/>
      <c r="I1" s="2"/>
    </row>
    <row r="2" spans="1:9">
      <c r="A2" t="s">
        <v>1564</v>
      </c>
      <c r="B2" s="1" t="s">
        <v>109</v>
      </c>
      <c r="C2" t="s">
        <v>1565</v>
      </c>
      <c r="D2" s="3"/>
      <c r="E2" t="s">
        <v>1566</v>
      </c>
      <c r="F2" s="1" t="s">
        <v>1567</v>
      </c>
      <c r="H2" s="1" t="s">
        <v>1568</v>
      </c>
      <c r="I2" s="2" t="b">
        <v>0</v>
      </c>
    </row>
    <row r="3" spans="1:9">
      <c r="A3" t="s">
        <v>1569</v>
      </c>
      <c r="B3" s="1">
        <v>0</v>
      </c>
      <c r="C3" t="s">
        <v>1570</v>
      </c>
      <c r="D3" s="3" t="b">
        <v>1</v>
      </c>
      <c r="H3" t="s">
        <v>1571</v>
      </c>
      <c r="I3" s="2" t="b">
        <v>1</v>
      </c>
    </row>
    <row r="4" spans="1:9">
      <c r="A4" t="s">
        <v>1572</v>
      </c>
      <c r="B4" s="1">
        <v>0</v>
      </c>
      <c r="C4" t="s">
        <v>1573</v>
      </c>
      <c r="D4" s="3">
        <v>65500</v>
      </c>
      <c r="H4" t="s">
        <v>1574</v>
      </c>
      <c r="I4" s="2">
        <v>6</v>
      </c>
    </row>
    <row r="5" spans="1:9">
      <c r="A5" t="s">
        <v>1575</v>
      </c>
      <c r="B5" s="1">
        <v>0</v>
      </c>
      <c r="C5" t="s">
        <v>337</v>
      </c>
      <c r="D5" s="3">
        <v>29</v>
      </c>
    </row>
    <row r="6" spans="1:9">
      <c r="A6" t="s">
        <v>1576</v>
      </c>
      <c r="B6" s="1">
        <v>0</v>
      </c>
      <c r="C6" t="s">
        <v>1577</v>
      </c>
      <c r="D6" s="3">
        <v>0</v>
      </c>
    </row>
    <row r="7" spans="1:9">
      <c r="A7" t="s">
        <v>1578</v>
      </c>
      <c r="B7" s="1">
        <v>0</v>
      </c>
      <c r="C7" t="s">
        <v>1579</v>
      </c>
      <c r="D7" s="3">
        <v>0</v>
      </c>
    </row>
    <row r="8" spans="1:9">
      <c r="A8" t="s">
        <v>1580</v>
      </c>
      <c r="B8" s="1" t="b">
        <v>0</v>
      </c>
      <c r="C8" t="s">
        <v>1581</v>
      </c>
      <c r="D8" s="3">
        <v>0</v>
      </c>
    </row>
    <row r="9" spans="1:9">
      <c r="A9" t="s">
        <v>1582</v>
      </c>
      <c r="B9" s="1">
        <v>0</v>
      </c>
      <c r="C9" t="s">
        <v>1583</v>
      </c>
      <c r="D9" s="3" t="s">
        <v>1584</v>
      </c>
    </row>
    <row r="10" spans="1:9">
      <c r="C10" t="s">
        <v>1585</v>
      </c>
      <c r="D10" s="3">
        <v>0</v>
      </c>
    </row>
    <row r="11" spans="1:9">
      <c r="C11" t="s">
        <v>1586</v>
      </c>
      <c r="D11" s="3">
        <v>1</v>
      </c>
    </row>
    <row r="12" spans="1:9">
      <c r="C12" t="s">
        <v>1587</v>
      </c>
      <c r="D12" s="3">
        <v>0</v>
      </c>
    </row>
    <row r="13" spans="1:9">
      <c r="C13" t="s">
        <v>330</v>
      </c>
      <c r="D13" s="3"/>
    </row>
    <row r="14" spans="1:9">
      <c r="C14" t="s">
        <v>1588</v>
      </c>
      <c r="D14" s="3" t="s">
        <v>1589</v>
      </c>
    </row>
    <row r="15" spans="1:9">
      <c r="C15" t="s">
        <v>1590</v>
      </c>
      <c r="D15" s="3">
        <v>2</v>
      </c>
    </row>
    <row r="16" spans="1:9">
      <c r="C16" t="s">
        <v>1591</v>
      </c>
      <c r="D16" s="3">
        <v>1</v>
      </c>
    </row>
    <row r="17" spans="3:4">
      <c r="C17" t="s">
        <v>1592</v>
      </c>
      <c r="D17" s="3">
        <v>7</v>
      </c>
    </row>
    <row r="18" spans="3:4">
      <c r="C18" t="s">
        <v>1593</v>
      </c>
      <c r="D18" s="3" t="s">
        <v>1594</v>
      </c>
    </row>
    <row r="19" spans="3:4">
      <c r="C19" t="s">
        <v>1595</v>
      </c>
      <c r="D19" s="3">
        <v>0</v>
      </c>
    </row>
    <row r="20" spans="3:4">
      <c r="C20" t="s">
        <v>338</v>
      </c>
      <c r="D20" s="3">
        <v>0</v>
      </c>
    </row>
    <row r="21" spans="3:4">
      <c r="C21" t="s">
        <v>1596</v>
      </c>
      <c r="D21" s="3">
        <v>0</v>
      </c>
    </row>
    <row r="22" spans="3:4">
      <c r="C22" t="s">
        <v>1597</v>
      </c>
      <c r="D22" s="3">
        <v>0</v>
      </c>
    </row>
    <row r="23" spans="3:4">
      <c r="C23" t="s">
        <v>1598</v>
      </c>
      <c r="D23" s="3">
        <v>0</v>
      </c>
    </row>
    <row r="24" spans="3:4">
      <c r="C24" t="s">
        <v>1599</v>
      </c>
      <c r="D24" s="3" t="s">
        <v>409</v>
      </c>
    </row>
    <row r="25" spans="3:4">
      <c r="C25" t="s">
        <v>1600</v>
      </c>
      <c r="D25" s="3">
        <v>0</v>
      </c>
    </row>
    <row r="26" spans="3:4">
      <c r="C26" t="s">
        <v>1601</v>
      </c>
      <c r="D26" s="3">
        <v>0</v>
      </c>
    </row>
    <row r="27" spans="3:4">
      <c r="C27" t="s">
        <v>1602</v>
      </c>
      <c r="D27" s="3">
        <v>0</v>
      </c>
    </row>
    <row r="28" spans="3:4">
      <c r="C28" t="s">
        <v>1603</v>
      </c>
      <c r="D28" s="3">
        <v>0</v>
      </c>
    </row>
    <row r="29" spans="3:4">
      <c r="C29" t="s">
        <v>1604</v>
      </c>
      <c r="D29" s="3" t="b">
        <v>1</v>
      </c>
    </row>
    <row r="30" spans="3:4">
      <c r="C30" t="s">
        <v>1605</v>
      </c>
      <c r="D30" s="3" t="s">
        <v>1606</v>
      </c>
    </row>
    <row r="31" spans="3:4">
      <c r="C31" t="s">
        <v>1607</v>
      </c>
      <c r="D31" s="3">
        <v>1</v>
      </c>
    </row>
    <row r="32" spans="3:4">
      <c r="C32" t="s">
        <v>1608</v>
      </c>
      <c r="D32" s="3">
        <v>0</v>
      </c>
    </row>
    <row r="33" spans="3:4">
      <c r="C33" t="s">
        <v>1609</v>
      </c>
      <c r="D33" s="3">
        <v>1</v>
      </c>
    </row>
    <row r="34" spans="3:4">
      <c r="C34" t="s">
        <v>1610</v>
      </c>
      <c r="D34" s="3" t="s">
        <v>109</v>
      </c>
    </row>
    <row r="35" spans="3:4">
      <c r="C35" t="s">
        <v>1611</v>
      </c>
      <c r="D35" s="3" t="s">
        <v>1612</v>
      </c>
    </row>
    <row r="36" spans="3:4">
      <c r="C36" t="s">
        <v>1613</v>
      </c>
      <c r="D36" s="3" t="s">
        <v>1614</v>
      </c>
    </row>
    <row r="37" spans="3:4">
      <c r="C37" t="s">
        <v>1615</v>
      </c>
      <c r="D37" s="3" t="b">
        <v>1</v>
      </c>
    </row>
    <row r="38" spans="3:4">
      <c r="C38" t="s">
        <v>1616</v>
      </c>
      <c r="D38" s="3" t="b">
        <v>1</v>
      </c>
    </row>
    <row r="39" spans="3:4">
      <c r="C39" t="s">
        <v>1617</v>
      </c>
      <c r="D39" s="3" t="b">
        <v>1</v>
      </c>
    </row>
    <row r="40" spans="3:4">
      <c r="C40" t="s">
        <v>1618</v>
      </c>
      <c r="D40" s="3" t="b">
        <v>1</v>
      </c>
    </row>
    <row r="41" spans="3:4">
      <c r="C41" t="s">
        <v>1619</v>
      </c>
      <c r="D41" s="3" t="b">
        <v>1</v>
      </c>
    </row>
    <row r="42" spans="3:4">
      <c r="C42" t="s">
        <v>1620</v>
      </c>
      <c r="D42" s="3" t="b">
        <v>1</v>
      </c>
    </row>
    <row r="43" spans="3:4">
      <c r="C43" t="s">
        <v>1621</v>
      </c>
      <c r="D43" s="3" t="b">
        <v>1</v>
      </c>
    </row>
    <row r="44" spans="3:4">
      <c r="C44" t="s">
        <v>1622</v>
      </c>
      <c r="D44" s="3">
        <v>0</v>
      </c>
    </row>
    <row r="45" spans="3:4">
      <c r="C45" t="s">
        <v>1623</v>
      </c>
      <c r="D45" s="3" t="s">
        <v>1624</v>
      </c>
    </row>
    <row r="46" spans="3:4">
      <c r="C46" t="s">
        <v>1625</v>
      </c>
      <c r="D46" s="3">
        <v>0</v>
      </c>
    </row>
    <row r="47" spans="3:4">
      <c r="C47" t="s">
        <v>1626</v>
      </c>
      <c r="D47" s="3">
        <v>3</v>
      </c>
    </row>
    <row r="48" spans="3:4">
      <c r="C48" t="s">
        <v>1627</v>
      </c>
      <c r="D48" s="3" t="s">
        <v>1628</v>
      </c>
    </row>
    <row r="49" spans="1:4">
      <c r="C49" t="s">
        <v>1629</v>
      </c>
      <c r="D49" s="3" t="b">
        <v>0</v>
      </c>
    </row>
    <row r="50" spans="1:4">
      <c r="A50" t="s">
        <v>1630</v>
      </c>
      <c r="D50" s="3">
        <v>65500</v>
      </c>
    </row>
    <row r="51" spans="1:4">
      <c r="D51" s="3">
        <v>1</v>
      </c>
    </row>
    <row r="52" spans="1:4">
      <c r="D52" s="3">
        <v>-1</v>
      </c>
    </row>
    <row r="53" spans="1:4">
      <c r="D53" s="3"/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D607E7-FAF8-49B7-9AF0-B0059394E55E}"/>
</file>

<file path=customXml/itemProps2.xml><?xml version="1.0" encoding="utf-8"?>
<ds:datastoreItem xmlns:ds="http://schemas.openxmlformats.org/officeDocument/2006/customXml" ds:itemID="{0E5778C0-845A-40DB-A040-EAD8920C150B}"/>
</file>

<file path=customXml/itemProps3.xml><?xml version="1.0" encoding="utf-8"?>
<ds:datastoreItem xmlns:ds="http://schemas.openxmlformats.org/officeDocument/2006/customXml" ds:itemID="{B2D6C884-2FF0-4BCA-A40E-C621D5D9E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Nathalia Silva</cp:lastModifiedBy>
  <cp:revision/>
  <dcterms:created xsi:type="dcterms:W3CDTF">1998-07-24T09:46:18Z</dcterms:created>
  <dcterms:modified xsi:type="dcterms:W3CDTF">2024-03-21T14:00:54Z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2022-04-19T12:24:41Z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07e14366-3399-4001-a241-e199de6e01de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0x01010069E487C1B5A6A7469ECF295E300FC521</vt:lpwstr>
  </property>
  <property fmtid="{D5CDD505-2E9C-101B-9397-08002B2CF9AE}" pid="10" name="MediaServiceImageTags">
    <vt:lpwstr/>
  </property>
</Properties>
</file>