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jgoldenapty/Documents/LandNExpand/Methodology/"/>
    </mc:Choice>
  </mc:AlternateContent>
  <xr:revisionPtr revIDLastSave="0" documentId="8_{4F93F721-C7C1-F24B-B981-038C0B4BF1FA}" xr6:coauthVersionLast="47" xr6:coauthVersionMax="47" xr10:uidLastSave="{00000000-0000-0000-0000-000000000000}"/>
  <bookViews>
    <workbookView xWindow="35340" yWindow="-2320" windowWidth="28800" windowHeight="16440" xr2:uid="{00000000-000D-0000-FFFF-FFFF00000000}"/>
  </bookViews>
  <sheets>
    <sheet name="Input" sheetId="3" r:id="rId1"/>
    <sheet name="Summary 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" l="1"/>
  <c r="F25" i="3"/>
  <c r="H25" i="3" s="1"/>
  <c r="F24" i="3"/>
  <c r="H24" i="3" s="1"/>
  <c r="F23" i="3"/>
  <c r="H23" i="3" s="1"/>
  <c r="F22" i="3"/>
  <c r="H22" i="3" s="1"/>
  <c r="F5" i="3"/>
  <c r="H5" i="3" s="1"/>
  <c r="A13" i="2"/>
  <c r="A12" i="2"/>
  <c r="A11" i="2"/>
  <c r="A10" i="2"/>
  <c r="A9" i="2"/>
  <c r="A8" i="2"/>
  <c r="A7" i="2"/>
  <c r="A6" i="2"/>
  <c r="A5" i="2"/>
  <c r="I54" i="3"/>
  <c r="I53" i="3"/>
  <c r="I51" i="3"/>
  <c r="I50" i="3"/>
  <c r="I49" i="3"/>
  <c r="I46" i="3"/>
  <c r="I45" i="3"/>
  <c r="I44" i="3"/>
  <c r="I43" i="3"/>
  <c r="I42" i="3"/>
  <c r="I39" i="3"/>
  <c r="I38" i="3"/>
  <c r="I37" i="3"/>
  <c r="I34" i="3"/>
  <c r="I33" i="3"/>
  <c r="I32" i="3"/>
  <c r="I31" i="3"/>
  <c r="I30" i="3"/>
  <c r="I29" i="3"/>
  <c r="I26" i="3"/>
  <c r="I25" i="3"/>
  <c r="I24" i="3"/>
  <c r="I23" i="3"/>
  <c r="I22" i="3"/>
  <c r="I19" i="3"/>
  <c r="I18" i="3"/>
  <c r="I17" i="3"/>
  <c r="I16" i="3"/>
  <c r="I15" i="3"/>
  <c r="I12" i="3"/>
  <c r="I11" i="3"/>
  <c r="I10" i="3"/>
  <c r="I9" i="3"/>
  <c r="I7" i="3"/>
  <c r="I6" i="3"/>
  <c r="I5" i="3"/>
  <c r="H53" i="3"/>
  <c r="H34" i="3"/>
  <c r="H33" i="3"/>
  <c r="H26" i="3"/>
  <c r="H18" i="3"/>
  <c r="H17" i="3"/>
  <c r="H15" i="3"/>
  <c r="H6" i="3"/>
  <c r="G55" i="3"/>
  <c r="I55" i="3" s="1"/>
  <c r="F54" i="3"/>
  <c r="H54" i="3" s="1"/>
  <c r="J53" i="3" s="1"/>
  <c r="B13" i="2" s="1"/>
  <c r="F51" i="3"/>
  <c r="H51" i="3" s="1"/>
  <c r="F50" i="3"/>
  <c r="H50" i="3" s="1"/>
  <c r="F49" i="3"/>
  <c r="H49" i="3" s="1"/>
  <c r="F46" i="3"/>
  <c r="H46" i="3" s="1"/>
  <c r="F45" i="3"/>
  <c r="H45" i="3" s="1"/>
  <c r="F44" i="3"/>
  <c r="H44" i="3" s="1"/>
  <c r="F43" i="3"/>
  <c r="H43" i="3" s="1"/>
  <c r="F42" i="3"/>
  <c r="H42" i="3" s="1"/>
  <c r="F39" i="3"/>
  <c r="H39" i="3" s="1"/>
  <c r="F38" i="3"/>
  <c r="H38" i="3" s="1"/>
  <c r="F34" i="3"/>
  <c r="F37" i="3"/>
  <c r="H37" i="3" s="1"/>
  <c r="F7" i="3"/>
  <c r="H7" i="3" s="1"/>
  <c r="F29" i="3"/>
  <c r="H29" i="3" s="1"/>
  <c r="F30" i="3"/>
  <c r="H30" i="3" s="1"/>
  <c r="F31" i="3"/>
  <c r="H31" i="3" s="1"/>
  <c r="F33" i="3"/>
  <c r="F32" i="3"/>
  <c r="H32" i="3" s="1"/>
  <c r="F19" i="3"/>
  <c r="H19" i="3" s="1"/>
  <c r="F18" i="3"/>
  <c r="F17" i="3"/>
  <c r="F16" i="3"/>
  <c r="H16" i="3" s="1"/>
  <c r="F15" i="3"/>
  <c r="F11" i="3"/>
  <c r="H11" i="3" s="1"/>
  <c r="F10" i="3"/>
  <c r="H10" i="3" s="1"/>
  <c r="F9" i="3"/>
  <c r="H9" i="3" s="1"/>
  <c r="F6" i="3"/>
  <c r="F12" i="3"/>
  <c r="H12" i="3" s="1"/>
  <c r="J28" i="3" l="1"/>
  <c r="B9" i="2" s="1"/>
  <c r="J41" i="3"/>
  <c r="B11" i="2" s="1"/>
  <c r="J48" i="3"/>
  <c r="B12" i="2" s="1"/>
  <c r="J36" i="3"/>
  <c r="B10" i="2" s="1"/>
  <c r="J21" i="3"/>
  <c r="B8" i="2" s="1"/>
  <c r="J14" i="3"/>
  <c r="B7" i="2" s="1"/>
  <c r="J8" i="3"/>
  <c r="B6" i="2" s="1"/>
  <c r="F55" i="3"/>
  <c r="J4" i="3"/>
  <c r="B5" i="2" s="1"/>
  <c r="H55" i="3"/>
  <c r="J55" i="3" l="1"/>
  <c r="B4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<sst xmlns="http://schemas.openxmlformats.org/spreadsheetml/2006/main" count="166" uniqueCount="144">
  <si>
    <t>Pipeline Health</t>
  </si>
  <si>
    <t>Sales Velocity</t>
  </si>
  <si>
    <t>Lead to Opportunity Conversion</t>
  </si>
  <si>
    <t>Win Rate</t>
  </si>
  <si>
    <t>Deal Engagement</t>
  </si>
  <si>
    <t>Qualify to Discover</t>
  </si>
  <si>
    <t>Discover to Present Solution</t>
  </si>
  <si>
    <t>Contracts to Negotiate</t>
  </si>
  <si>
    <t>Negotiate to Close</t>
  </si>
  <si>
    <t>First Response Time</t>
  </si>
  <si>
    <t>Average Resolution Time</t>
  </si>
  <si>
    <t>Ticket Volume per Account</t>
  </si>
  <si>
    <t>Customer Satisfaction (CSAT)</t>
  </si>
  <si>
    <t>Company Perception</t>
  </si>
  <si>
    <t>Customer Value</t>
  </si>
  <si>
    <t>Time to Launch</t>
  </si>
  <si>
    <t>Time to First Value</t>
  </si>
  <si>
    <t>Time to ROI</t>
  </si>
  <si>
    <t>ROI %</t>
  </si>
  <si>
    <t>Land</t>
  </si>
  <si>
    <t>Expand Phase II</t>
  </si>
  <si>
    <t>Fully Operational</t>
  </si>
  <si>
    <t>Customer Expansion</t>
  </si>
  <si>
    <t>CUSTOMER LIFECYCLE MANAGEMENT PREDICTORS</t>
  </si>
  <si>
    <t>KPIs</t>
  </si>
  <si>
    <t>Low Risk</t>
  </si>
  <si>
    <t>Moderate Risk</t>
  </si>
  <si>
    <t>High Risk</t>
  </si>
  <si>
    <t>%Opps within ICP</t>
  </si>
  <si>
    <t>90-100%</t>
  </si>
  <si>
    <t>80-90%</t>
  </si>
  <si>
    <t>&lt;80%</t>
  </si>
  <si>
    <t>%Opps can close in Qtr</t>
  </si>
  <si>
    <t>%Opps can close in Qtr NOT assigned</t>
  </si>
  <si>
    <t>1-5%</t>
  </si>
  <si>
    <t>&gt;5%</t>
  </si>
  <si>
    <t>50-60%</t>
  </si>
  <si>
    <t>40-50%</t>
  </si>
  <si>
    <t>&lt;40%</t>
  </si>
  <si>
    <t>&lt;90 days</t>
  </si>
  <si>
    <t>&lt;90-120&gt;</t>
  </si>
  <si>
    <t>&gt;120 days</t>
  </si>
  <si>
    <t>%Pipeline can close in Qtr</t>
  </si>
  <si>
    <t>70-80%</t>
  </si>
  <si>
    <t>60-70%</t>
  </si>
  <si>
    <t>&lt;60%</t>
  </si>
  <si>
    <t>&gt;35%</t>
  </si>
  <si>
    <t>&lt;20-35%&gt;</t>
  </si>
  <si>
    <t>&lt;20%</t>
  </si>
  <si>
    <t>Pipeline Conversion Rates</t>
  </si>
  <si>
    <t>&lt;50%</t>
  </si>
  <si>
    <t>65-75%</t>
  </si>
  <si>
    <t>50-65%</t>
  </si>
  <si>
    <t>&gt;50%</t>
  </si>
  <si>
    <t>75-85%</t>
  </si>
  <si>
    <t>&gt;65%</t>
  </si>
  <si>
    <t>Product Usage &amp; Engagement KPIs</t>
  </si>
  <si>
    <t>4+ logins</t>
  </si>
  <si>
    <t>2–3 logins</t>
  </si>
  <si>
    <t>&lt;2 logins</t>
  </si>
  <si>
    <t>Feature Adoption (of key features)</t>
  </si>
  <si>
    <t>&gt;70%</t>
  </si>
  <si>
    <t>40–70%</t>
  </si>
  <si>
    <t>Time Spent in App / Session Duration</t>
  </si>
  <si>
    <t>&gt;20 min/session</t>
  </si>
  <si>
    <t>10–20 min</t>
  </si>
  <si>
    <t>&lt;10 min</t>
  </si>
  <si>
    <t>Daily Active Users (DAU)/Monthly Active Users (MAU) (Stickiness)</t>
  </si>
  <si>
    <t>&gt;0.5</t>
  </si>
  <si>
    <t>0.3–0.5</t>
  </si>
  <si>
    <t>&lt;0.3</t>
  </si>
  <si>
    <t>Usage Drop (vs. 30-day avg.)</t>
  </si>
  <si>
    <t>&lt;10%</t>
  </si>
  <si>
    <t>10–30%</t>
  </si>
  <si>
    <t>&gt;30% decline</t>
  </si>
  <si>
    <t>Support KPIs</t>
  </si>
  <si>
    <t>&lt;3 hrs</t>
  </si>
  <si>
    <t>&lt;6 hrs</t>
  </si>
  <si>
    <t>&gt;24 hrs</t>
  </si>
  <si>
    <t>&lt;1 day</t>
  </si>
  <si>
    <t>&gt;2 days</t>
  </si>
  <si>
    <t>&lt;3/month</t>
  </si>
  <si>
    <t>&gt;7/month</t>
  </si>
  <si>
    <t>&gt;10/month</t>
  </si>
  <si>
    <t>Repeated Issues / Reopened Tickets</t>
  </si>
  <si>
    <t>&gt;2/month</t>
  </si>
  <si>
    <t>&gt;3/month</t>
  </si>
  <si>
    <t>5 stars</t>
  </si>
  <si>
    <t>4 stars</t>
  </si>
  <si>
    <t>3 stars or under</t>
  </si>
  <si>
    <t>Escalation Rate (% Tickets Esc to Mgmt)</t>
  </si>
  <si>
    <t>Promoters</t>
  </si>
  <si>
    <t>Passives</t>
  </si>
  <si>
    <t>Detractors</t>
  </si>
  <si>
    <t>Net Promoter Score (NPS)</t>
  </si>
  <si>
    <t>Average 9-10</t>
  </si>
  <si>
    <t>Avg 7-8</t>
  </si>
  <si>
    <t>6 &amp; under</t>
  </si>
  <si>
    <t>CES Score (1-10)</t>
  </si>
  <si>
    <t>&lt;5</t>
  </si>
  <si>
    <t>&gt;8</t>
  </si>
  <si>
    <t>CSAT Score (Top 2 boxes - Implementation/Education value)</t>
  </si>
  <si>
    <t>&gt;98%</t>
  </si>
  <si>
    <t>&lt;90% - 98%&gt;</t>
  </si>
  <si>
    <t>&lt;90%</t>
  </si>
  <si>
    <t>&lt;30 days</t>
  </si>
  <si>
    <t>&lt;60-90&gt; days</t>
  </si>
  <si>
    <t>&gt;90 days</t>
  </si>
  <si>
    <t>&lt;120 days</t>
  </si>
  <si>
    <t>&gt;180 days</t>
  </si>
  <si>
    <t>&gt;20%</t>
  </si>
  <si>
    <t>&lt;15 - 20%&gt;</t>
  </si>
  <si>
    <t>&lt;15%</t>
  </si>
  <si>
    <t>Customer Implementation Year 1</t>
  </si>
  <si>
    <t>30-60 days</t>
  </si>
  <si>
    <t>60-90 days</t>
  </si>
  <si>
    <t>&lt;180 days</t>
  </si>
  <si>
    <t xml:space="preserve"> Year 1</t>
  </si>
  <si>
    <t>%Complete Customer Roadmap Plan</t>
  </si>
  <si>
    <t>&gt;90%</t>
  </si>
  <si>
    <t>&lt;60% - 90%&gt;</t>
  </si>
  <si>
    <t>Customer INPUT</t>
  </si>
  <si>
    <t>Sales Cycle Time (SCT) day</t>
  </si>
  <si>
    <t>&lt;90</t>
  </si>
  <si>
    <t>&gt;120</t>
  </si>
  <si>
    <t>Login Frequency (per week)/user</t>
  </si>
  <si>
    <t>% Customer References</t>
  </si>
  <si>
    <t>CLM Score</t>
  </si>
  <si>
    <t>Present to Contracts</t>
  </si>
  <si>
    <t>&lt;1-2&gt; days</t>
  </si>
  <si>
    <t>&lt;0-5&gt;%</t>
  </si>
  <si>
    <t>6-8</t>
  </si>
  <si>
    <t>&lt;50-70&gt;%</t>
  </si>
  <si>
    <t>90-120 days</t>
  </si>
  <si>
    <t>&gt;240 days</t>
  </si>
  <si>
    <t>&lt;180-240&gt; days</t>
  </si>
  <si>
    <t>Weight</t>
  </si>
  <si>
    <t>Total Customer CLM score</t>
  </si>
  <si>
    <t>Max CLM score</t>
  </si>
  <si>
    <t>Total CLM Health Score</t>
  </si>
  <si>
    <t>Customer Health Score Max 100%</t>
  </si>
  <si>
    <t>CLM % Score</t>
  </si>
  <si>
    <t>&gt;80%</t>
  </si>
  <si>
    <t>&lt;60% - 80%&gt;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</si>
</sst>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b/>
      <u/>
      <sz val="13.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9D8AC"/>
        <bgColor indexed="64"/>
      </patternFill>
    </fill>
    <fill>
      <patternFill patternType="solid">
        <fgColor rgb="FFD3B8B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2" borderId="1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left" wrapText="1" inden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 wrapText="1" indent="2"/>
    </xf>
    <xf numFmtId="0" fontId="1" fillId="0" borderId="4" xfId="0" applyFont="1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6" borderId="4" xfId="0" applyFont="1" applyFill="1" applyBorder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16" fontId="0" fillId="0" borderId="6" xfId="0" quotePrefix="1" applyNumberFormat="1" applyBorder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1" fillId="0" borderId="8" xfId="0" applyFont="1" applyBorder="1" applyAlignment="1">
      <alignment wrapText="1"/>
    </xf>
    <xf numFmtId="0" fontId="0" fillId="0" borderId="5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2" fontId="0" fillId="0" borderId="0" xfId="0" applyNumberFormat="1"/>
    <xf numFmtId="9" fontId="0" fillId="8" borderId="0" xfId="1" applyFont="1" applyFill="1"/>
    <xf numFmtId="0" fontId="0" fillId="8" borderId="0" xfId="0" applyFill="1"/>
    <xf numFmtId="1" fontId="0" fillId="8" borderId="0" xfId="1" applyNumberFormat="1" applyFont="1" applyFill="1"/>
    <xf numFmtId="0" fontId="6" fillId="9" borderId="3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/>
    <xf numFmtId="0" fontId="9" fillId="9" borderId="4" xfId="0" applyFont="1" applyFill="1" applyBorder="1" applyAlignment="1">
      <alignment wrapText="1"/>
    </xf>
    <xf numFmtId="0" fontId="6" fillId="9" borderId="5" xfId="0" applyFont="1" applyFill="1" applyBorder="1" applyAlignment="1">
      <alignment horizontal="center" vertical="center"/>
    </xf>
    <xf numFmtId="0" fontId="0" fillId="9" borderId="0" xfId="0" applyFill="1"/>
    <xf numFmtId="9" fontId="0" fillId="9" borderId="0" xfId="0" applyNumberFormat="1" applyFill="1"/>
    <xf numFmtId="0" fontId="6" fillId="9" borderId="4" xfId="0" applyFont="1" applyFill="1" applyBorder="1" applyAlignment="1">
      <alignment wrapText="1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5" fillId="9" borderId="4" xfId="0" applyFont="1" applyFill="1" applyBorder="1" applyAlignment="1">
      <alignment wrapText="1"/>
    </xf>
    <xf numFmtId="0" fontId="8" fillId="9" borderId="4" xfId="0" applyFont="1" applyFill="1" applyBorder="1" applyAlignment="1">
      <alignment horizontal="left" wrapText="1" indent="1"/>
    </xf>
    <xf numFmtId="0" fontId="0" fillId="9" borderId="5" xfId="0" applyFill="1" applyBorder="1"/>
    <xf numFmtId="9" fontId="0" fillId="0" borderId="16" xfId="1" applyFont="1" applyBorder="1"/>
    <xf numFmtId="0" fontId="0" fillId="9" borderId="16" xfId="0" applyFill="1" applyBorder="1"/>
    <xf numFmtId="9" fontId="0" fillId="9" borderId="16" xfId="1" applyFont="1" applyFill="1" applyBorder="1"/>
    <xf numFmtId="0" fontId="12" fillId="11" borderId="0" xfId="0" applyFont="1" applyFill="1" applyAlignment="1">
      <alignment horizontal="center" vertical="center"/>
    </xf>
    <xf numFmtId="0" fontId="12" fillId="10" borderId="15" xfId="0" applyFont="1" applyFill="1" applyBorder="1" applyAlignment="1">
      <alignment horizontal="center" vertical="center"/>
    </xf>
    <xf numFmtId="0" fontId="12" fillId="12" borderId="15" xfId="0" applyFont="1" applyFill="1" applyBorder="1" applyAlignment="1">
      <alignment horizontal="center" vertical="center"/>
    </xf>
    <xf numFmtId="9" fontId="10" fillId="0" borderId="17" xfId="1" applyFont="1" applyBorder="1"/>
    <xf numFmtId="0" fontId="10" fillId="0" borderId="17" xfId="0" applyFont="1" applyBorder="1"/>
    <xf numFmtId="0" fontId="3" fillId="0" borderId="18" xfId="0" applyFont="1" applyBorder="1" applyAlignment="1">
      <alignment horizontal="left" indent="1"/>
    </xf>
    <xf numFmtId="9" fontId="0" fillId="0" borderId="3" xfId="1" applyFont="1" applyBorder="1"/>
    <xf numFmtId="0" fontId="3" fillId="0" borderId="4" xfId="0" applyFont="1" applyBorder="1" applyAlignment="1">
      <alignment horizontal="left" indent="1"/>
    </xf>
    <xf numFmtId="9" fontId="0" fillId="0" borderId="7" xfId="1" applyFont="1" applyBorder="1"/>
    <xf numFmtId="0" fontId="3" fillId="0" borderId="8" xfId="0" applyFont="1" applyBorder="1" applyAlignment="1">
      <alignment horizontal="left" indent="1"/>
    </xf>
    <xf numFmtId="9" fontId="0" fillId="0" borderId="19" xfId="1" applyFont="1" applyBorder="1"/>
    <xf numFmtId="0" fontId="4" fillId="0" borderId="0" xfId="0" applyFont="1" applyAlignment="1">
      <alignment horizontal="center" wrapText="1"/>
    </xf>
    <xf numFmtId="0" fontId="3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3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D579"/>
      <color rgb="FFE9B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DCED-38B3-2841-B6B1-A5F89F1D044C}">
  <dimension ref="A1:J56"/>
  <sheetViews>
    <sheetView tabSelected="1" zoomScale="162" zoomScaleNormal="162" workbookViewId="0">
      <selection activeCell="A2" sqref="A2"/>
    </sheetView>
  </sheetViews>
  <sheetFormatPr baseColWidth="10" defaultColWidth="34.1640625" defaultRowHeight="15" x14ac:dyDescent="0.2"/>
  <cols>
    <col min="1" max="1" width="32.33203125" bestFit="1" customWidth="1"/>
    <col min="2" max="2" width="13.33203125" bestFit="1" customWidth="1"/>
    <col min="3" max="3" width="13.1640625" bestFit="1" customWidth="1"/>
    <col min="4" max="4" width="12.83203125" bestFit="1" customWidth="1"/>
    <col min="5" max="5" width="14.6640625" bestFit="1" customWidth="1"/>
    <col min="6" max="6" width="9.6640625" bestFit="1" customWidth="1"/>
    <col min="7" max="7" width="7.1640625" bestFit="1" customWidth="1"/>
    <col min="8" max="8" width="22.83203125" bestFit="1" customWidth="1"/>
    <col min="9" max="9" width="13.6640625" bestFit="1" customWidth="1"/>
    <col min="10" max="10" width="11.6640625" bestFit="1" customWidth="1"/>
  </cols>
  <sheetData>
    <row r="1" spans="1:10" ht="24" x14ac:dyDescent="0.3">
      <c r="A1" s="68" t="s">
        <v>23</v>
      </c>
      <c r="B1" s="68"/>
      <c r="C1" s="68"/>
      <c r="D1" s="68"/>
    </row>
    <row r="2" spans="1:10" ht="16" thickBot="1" x14ac:dyDescent="0.25">
      <c r="A2" s="1"/>
    </row>
    <row r="3" spans="1:10" ht="20" x14ac:dyDescent="0.25">
      <c r="A3" s="2" t="s">
        <v>24</v>
      </c>
      <c r="B3" s="3" t="s">
        <v>25</v>
      </c>
      <c r="C3" s="4" t="s">
        <v>26</v>
      </c>
      <c r="D3" s="5" t="s">
        <v>27</v>
      </c>
      <c r="E3" s="34" t="s">
        <v>121</v>
      </c>
      <c r="F3" s="41" t="s">
        <v>127</v>
      </c>
      <c r="G3" s="41" t="s">
        <v>136</v>
      </c>
      <c r="H3" s="42" t="s">
        <v>137</v>
      </c>
      <c r="I3" s="42" t="s">
        <v>138</v>
      </c>
      <c r="J3" s="42" t="s">
        <v>141</v>
      </c>
    </row>
    <row r="4" spans="1:10" ht="20" x14ac:dyDescent="0.25">
      <c r="A4" s="51" t="s">
        <v>0</v>
      </c>
      <c r="B4" s="42"/>
      <c r="C4" s="42"/>
      <c r="D4" s="45"/>
      <c r="E4" s="46"/>
      <c r="F4" s="46"/>
      <c r="G4" s="47">
        <v>0.1</v>
      </c>
      <c r="H4" s="46"/>
      <c r="I4" s="46"/>
      <c r="J4" s="35">
        <f>SUM(H5:H7)/SUM(I5:I7)</f>
        <v>0.46666666666666673</v>
      </c>
    </row>
    <row r="5" spans="1:10" ht="20" x14ac:dyDescent="0.25">
      <c r="A5" s="9" t="s">
        <v>28</v>
      </c>
      <c r="B5" s="10" t="s">
        <v>29</v>
      </c>
      <c r="C5" s="10" t="s">
        <v>30</v>
      </c>
      <c r="D5" s="11" t="s">
        <v>31</v>
      </c>
      <c r="E5" s="38">
        <v>0.75</v>
      </c>
      <c r="F5">
        <f>IF(E5&gt;=0.9,3,IF(E5&gt;=0.8,2,1))</f>
        <v>1</v>
      </c>
      <c r="G5" s="35">
        <v>0.04</v>
      </c>
      <c r="H5">
        <f>F5*G5</f>
        <v>0.04</v>
      </c>
      <c r="I5">
        <f>G5*3</f>
        <v>0.12</v>
      </c>
    </row>
    <row r="6" spans="1:10" ht="20" x14ac:dyDescent="0.25">
      <c r="A6" s="9" t="s">
        <v>32</v>
      </c>
      <c r="B6" s="12">
        <v>1</v>
      </c>
      <c r="C6" s="10" t="s">
        <v>30</v>
      </c>
      <c r="D6" s="11" t="s">
        <v>31</v>
      </c>
      <c r="E6" s="38">
        <v>0.4</v>
      </c>
      <c r="F6">
        <f>IF(E6=1,3,IF(E6&gt;=0.8,2,1))</f>
        <v>1</v>
      </c>
      <c r="G6" s="35">
        <v>0.04</v>
      </c>
      <c r="H6">
        <f t="shared" ref="H6:H12" si="0">F6*G6</f>
        <v>0.04</v>
      </c>
      <c r="I6">
        <f>G6*3</f>
        <v>0.12</v>
      </c>
    </row>
    <row r="7" spans="1:10" ht="40" x14ac:dyDescent="0.25">
      <c r="A7" s="9" t="s">
        <v>33</v>
      </c>
      <c r="B7" s="13">
        <v>0</v>
      </c>
      <c r="C7" s="13" t="s">
        <v>34</v>
      </c>
      <c r="D7" s="14" t="s">
        <v>35</v>
      </c>
      <c r="E7" s="38">
        <v>0.01</v>
      </c>
      <c r="F7">
        <f>IF(E7&gt;=5,1,IF(E7&gt;=1,2,3))</f>
        <v>3</v>
      </c>
      <c r="G7" s="35">
        <v>0.02</v>
      </c>
      <c r="H7">
        <f t="shared" si="0"/>
        <v>0.06</v>
      </c>
      <c r="I7">
        <f>G7*3</f>
        <v>0.06</v>
      </c>
    </row>
    <row r="8" spans="1:10" ht="20" x14ac:dyDescent="0.25">
      <c r="A8" s="51" t="s">
        <v>1</v>
      </c>
      <c r="B8" s="42"/>
      <c r="C8" s="42"/>
      <c r="D8" s="45"/>
      <c r="E8" s="46"/>
      <c r="F8" s="46"/>
      <c r="G8" s="47">
        <v>0.1</v>
      </c>
      <c r="H8" s="46"/>
      <c r="I8" s="46"/>
      <c r="J8" s="35">
        <f>SUM(H9:H12)/SUM(I9:I12)</f>
        <v>0.7</v>
      </c>
    </row>
    <row r="9" spans="1:10" ht="20" x14ac:dyDescent="0.25">
      <c r="A9" s="9" t="s">
        <v>2</v>
      </c>
      <c r="B9" s="10" t="s">
        <v>36</v>
      </c>
      <c r="C9" s="10" t="s">
        <v>37</v>
      </c>
      <c r="D9" s="11" t="s">
        <v>38</v>
      </c>
      <c r="E9" s="38">
        <v>0.65</v>
      </c>
      <c r="F9">
        <f>IF(E9&gt;=0.5,3,IF(E9&gt;=0.4,2,1))</f>
        <v>3</v>
      </c>
      <c r="G9" s="35">
        <v>0.03</v>
      </c>
      <c r="H9">
        <f t="shared" si="0"/>
        <v>0.09</v>
      </c>
      <c r="I9">
        <f t="shared" ref="I9:I12" si="1">G9*3</f>
        <v>0.09</v>
      </c>
    </row>
    <row r="10" spans="1:10" ht="20" x14ac:dyDescent="0.25">
      <c r="A10" s="9" t="s">
        <v>122</v>
      </c>
      <c r="B10" s="10" t="s">
        <v>123</v>
      </c>
      <c r="C10" s="10" t="s">
        <v>40</v>
      </c>
      <c r="D10" s="11" t="s">
        <v>124</v>
      </c>
      <c r="E10" s="40">
        <v>160</v>
      </c>
      <c r="F10">
        <f>IF(E10&gt;=1.2,1,IF(E10&gt;=0.9,2,3))</f>
        <v>1</v>
      </c>
      <c r="G10" s="35">
        <v>0.02</v>
      </c>
      <c r="H10">
        <f t="shared" si="0"/>
        <v>0.02</v>
      </c>
      <c r="I10">
        <f t="shared" si="1"/>
        <v>0.06</v>
      </c>
    </row>
    <row r="11" spans="1:10" ht="20" x14ac:dyDescent="0.25">
      <c r="A11" s="9" t="s">
        <v>42</v>
      </c>
      <c r="B11" s="10" t="s">
        <v>43</v>
      </c>
      <c r="C11" s="10" t="s">
        <v>44</v>
      </c>
      <c r="D11" s="11" t="s">
        <v>45</v>
      </c>
      <c r="E11" s="38">
        <v>0.65</v>
      </c>
      <c r="F11">
        <f>IF(E11&gt;=0.7,3,IF(E11&gt;=0.6,2,1))</f>
        <v>2</v>
      </c>
      <c r="G11" s="35">
        <v>0.02</v>
      </c>
      <c r="H11">
        <f t="shared" si="0"/>
        <v>0.04</v>
      </c>
      <c r="I11">
        <f t="shared" si="1"/>
        <v>0.06</v>
      </c>
    </row>
    <row r="12" spans="1:10" ht="20" x14ac:dyDescent="0.25">
      <c r="A12" s="9" t="s">
        <v>3</v>
      </c>
      <c r="B12" s="10" t="s">
        <v>46</v>
      </c>
      <c r="C12" s="10" t="s">
        <v>47</v>
      </c>
      <c r="D12" s="11" t="s">
        <v>48</v>
      </c>
      <c r="E12" s="38">
        <v>0.2</v>
      </c>
      <c r="F12">
        <f>IF(E12&gt;=1.2,1,IF(A7&gt;=0.9,2,3))</f>
        <v>2</v>
      </c>
      <c r="G12" s="35">
        <v>0.03</v>
      </c>
      <c r="H12">
        <f t="shared" si="0"/>
        <v>0.06</v>
      </c>
      <c r="I12">
        <f t="shared" si="1"/>
        <v>0.09</v>
      </c>
    </row>
    <row r="13" spans="1:10" ht="20" x14ac:dyDescent="0.25">
      <c r="A13" s="51" t="s">
        <v>4</v>
      </c>
      <c r="B13" s="42"/>
      <c r="C13" s="42"/>
      <c r="D13" s="45"/>
      <c r="E13" s="46"/>
      <c r="F13" s="46"/>
      <c r="G13" s="46"/>
      <c r="H13" s="46"/>
      <c r="I13" s="46"/>
    </row>
    <row r="14" spans="1:10" ht="20" x14ac:dyDescent="0.25">
      <c r="A14" s="52" t="s">
        <v>49</v>
      </c>
      <c r="B14" s="42"/>
      <c r="C14" s="42"/>
      <c r="D14" s="45"/>
      <c r="E14" s="46"/>
      <c r="F14" s="46"/>
      <c r="G14" s="47">
        <v>0.15</v>
      </c>
      <c r="H14" s="46"/>
      <c r="I14" s="46"/>
      <c r="J14" s="35">
        <f>SUM(H15:H19)/SUM(I15:I19)</f>
        <v>0.66666666666666674</v>
      </c>
    </row>
    <row r="15" spans="1:10" ht="20" x14ac:dyDescent="0.25">
      <c r="A15" s="15" t="s">
        <v>5</v>
      </c>
      <c r="B15" s="10" t="s">
        <v>43</v>
      </c>
      <c r="C15" s="10" t="s">
        <v>44</v>
      </c>
      <c r="D15" s="11" t="s">
        <v>45</v>
      </c>
      <c r="E15" s="38">
        <v>0.5</v>
      </c>
      <c r="F15">
        <f>IF(E15&gt;=0.7,3,IF(E15&gt;=0.6,2,1))</f>
        <v>1</v>
      </c>
      <c r="G15" s="35">
        <v>0.03</v>
      </c>
      <c r="H15">
        <f t="shared" ref="H15:H19" si="2">F15*G15</f>
        <v>0.03</v>
      </c>
      <c r="I15">
        <f t="shared" ref="I15:I19" si="3">G15*3</f>
        <v>0.09</v>
      </c>
    </row>
    <row r="16" spans="1:10" ht="20" x14ac:dyDescent="0.25">
      <c r="A16" s="15" t="s">
        <v>6</v>
      </c>
      <c r="B16" s="10" t="s">
        <v>44</v>
      </c>
      <c r="C16" s="10" t="s">
        <v>36</v>
      </c>
      <c r="D16" s="11" t="s">
        <v>50</v>
      </c>
      <c r="E16" s="38">
        <v>0.8</v>
      </c>
      <c r="F16">
        <f>IF(E16&gt;=0.6,3,IF(E16&gt;=0.5,2,1))</f>
        <v>3</v>
      </c>
      <c r="G16" s="35">
        <v>0.03</v>
      </c>
      <c r="H16">
        <f t="shared" si="2"/>
        <v>0.09</v>
      </c>
      <c r="I16">
        <f t="shared" si="3"/>
        <v>0.09</v>
      </c>
    </row>
    <row r="17" spans="1:10" ht="20" x14ac:dyDescent="0.25">
      <c r="A17" s="15" t="s">
        <v>128</v>
      </c>
      <c r="B17" s="10" t="s">
        <v>51</v>
      </c>
      <c r="C17" s="10" t="s">
        <v>52</v>
      </c>
      <c r="D17" s="11" t="s">
        <v>50</v>
      </c>
      <c r="E17" s="38">
        <v>0.35</v>
      </c>
      <c r="F17">
        <f>IF(E17&gt;=0.65,3,IF(E17&gt;=0.5,2,1))</f>
        <v>1</v>
      </c>
      <c r="G17" s="35">
        <v>0.03</v>
      </c>
      <c r="H17">
        <f t="shared" si="2"/>
        <v>0.03</v>
      </c>
      <c r="I17">
        <f t="shared" si="3"/>
        <v>0.09</v>
      </c>
    </row>
    <row r="18" spans="1:10" ht="20" x14ac:dyDescent="0.25">
      <c r="A18" s="15" t="s">
        <v>7</v>
      </c>
      <c r="B18" s="10" t="s">
        <v>51</v>
      </c>
      <c r="C18" s="10" t="s">
        <v>52</v>
      </c>
      <c r="D18" s="11" t="s">
        <v>53</v>
      </c>
      <c r="E18" s="38">
        <v>0.6</v>
      </c>
      <c r="F18">
        <f>IF(E18&gt;=0.65,3,IF(E18&gt;=0.5,2,1))</f>
        <v>2</v>
      </c>
      <c r="G18" s="35">
        <v>0.03</v>
      </c>
      <c r="H18">
        <f t="shared" si="2"/>
        <v>0.06</v>
      </c>
      <c r="I18">
        <f t="shared" si="3"/>
        <v>0.09</v>
      </c>
    </row>
    <row r="19" spans="1:10" ht="20" x14ac:dyDescent="0.25">
      <c r="A19" s="15" t="s">
        <v>8</v>
      </c>
      <c r="B19" s="10" t="s">
        <v>54</v>
      </c>
      <c r="C19" s="10" t="s">
        <v>51</v>
      </c>
      <c r="D19" s="11" t="s">
        <v>55</v>
      </c>
      <c r="E19" s="38">
        <v>0.8</v>
      </c>
      <c r="F19">
        <f>IF(E19&gt;=0.75,3,IF(E19&gt;=0.65,2,1))</f>
        <v>3</v>
      </c>
      <c r="G19" s="35">
        <v>0.03</v>
      </c>
      <c r="H19">
        <f t="shared" si="2"/>
        <v>0.09</v>
      </c>
      <c r="I19">
        <f t="shared" si="3"/>
        <v>0.09</v>
      </c>
    </row>
    <row r="20" spans="1:10" ht="19" x14ac:dyDescent="0.25">
      <c r="A20" s="6"/>
      <c r="B20" s="7"/>
      <c r="C20" s="7"/>
      <c r="D20" s="8"/>
    </row>
    <row r="21" spans="1:10" ht="40" x14ac:dyDescent="0.25">
      <c r="A21" s="44" t="s">
        <v>56</v>
      </c>
      <c r="B21" s="42"/>
      <c r="C21" s="42"/>
      <c r="D21" s="45"/>
      <c r="E21" s="46"/>
      <c r="F21" s="46"/>
      <c r="G21" s="47">
        <v>0.15</v>
      </c>
      <c r="H21" s="46"/>
      <c r="I21" s="46"/>
      <c r="J21" s="35">
        <f>SUM(H22:H26)/SUM(I22:I26)</f>
        <v>0.68888888888888899</v>
      </c>
    </row>
    <row r="22" spans="1:10" ht="17" x14ac:dyDescent="0.2">
      <c r="A22" s="16" t="s">
        <v>125</v>
      </c>
      <c r="B22" s="17" t="s">
        <v>57</v>
      </c>
      <c r="C22" s="17" t="s">
        <v>58</v>
      </c>
      <c r="D22" s="18" t="s">
        <v>59</v>
      </c>
      <c r="E22" s="40">
        <v>3</v>
      </c>
      <c r="F22">
        <f>IF(E22&gt;=4,3,IF(E22&gt;=2,2,1))</f>
        <v>2</v>
      </c>
      <c r="G22" s="35">
        <v>0.04</v>
      </c>
      <c r="H22">
        <f t="shared" ref="H22:H26" si="4">F22*G22</f>
        <v>0.08</v>
      </c>
      <c r="I22">
        <f t="shared" ref="I22:I26" si="5">G22*3</f>
        <v>0.12</v>
      </c>
    </row>
    <row r="23" spans="1:10" ht="17" x14ac:dyDescent="0.2">
      <c r="A23" s="16" t="s">
        <v>60</v>
      </c>
      <c r="B23" s="17" t="s">
        <v>61</v>
      </c>
      <c r="C23" s="17" t="s">
        <v>62</v>
      </c>
      <c r="D23" s="18" t="s">
        <v>38</v>
      </c>
      <c r="E23" s="38">
        <v>0.5</v>
      </c>
      <c r="F23">
        <f>IF(E23&gt;=0.7,3,IF(E23&gt;=0.4,2,1))</f>
        <v>2</v>
      </c>
      <c r="G23" s="35">
        <v>0.03</v>
      </c>
      <c r="H23">
        <f t="shared" si="4"/>
        <v>0.06</v>
      </c>
      <c r="I23">
        <f t="shared" si="5"/>
        <v>0.09</v>
      </c>
    </row>
    <row r="24" spans="1:10" ht="17" x14ac:dyDescent="0.2">
      <c r="A24" s="16" t="s">
        <v>63</v>
      </c>
      <c r="B24" s="17" t="s">
        <v>64</v>
      </c>
      <c r="C24" s="17" t="s">
        <v>65</v>
      </c>
      <c r="D24" s="18" t="s">
        <v>66</v>
      </c>
      <c r="E24" s="39">
        <v>25</v>
      </c>
      <c r="F24">
        <f>IF(E24&gt;=20,3,IF(E24&gt;=10,2,1))</f>
        <v>3</v>
      </c>
      <c r="G24" s="35">
        <v>0.03</v>
      </c>
      <c r="H24">
        <f t="shared" si="4"/>
        <v>0.09</v>
      </c>
      <c r="I24">
        <f t="shared" si="5"/>
        <v>0.09</v>
      </c>
    </row>
    <row r="25" spans="1:10" ht="34" x14ac:dyDescent="0.2">
      <c r="A25" s="16" t="s">
        <v>67</v>
      </c>
      <c r="B25" s="17" t="s">
        <v>68</v>
      </c>
      <c r="C25" s="17" t="s">
        <v>69</v>
      </c>
      <c r="D25" s="18" t="s">
        <v>70</v>
      </c>
      <c r="E25" s="39">
        <v>0.25</v>
      </c>
      <c r="F25">
        <f>IF(E25&gt;=0.5,3,IF(E25&gt;=0.3,2,1))</f>
        <v>1</v>
      </c>
      <c r="G25" s="35">
        <v>0.02</v>
      </c>
      <c r="H25">
        <f t="shared" si="4"/>
        <v>0.02</v>
      </c>
      <c r="I25">
        <f t="shared" si="5"/>
        <v>0.06</v>
      </c>
    </row>
    <row r="26" spans="1:10" ht="17" x14ac:dyDescent="0.2">
      <c r="A26" s="16" t="s">
        <v>71</v>
      </c>
      <c r="B26" s="17" t="s">
        <v>72</v>
      </c>
      <c r="C26" s="17" t="s">
        <v>73</v>
      </c>
      <c r="D26" s="18" t="s">
        <v>74</v>
      </c>
      <c r="E26" s="38">
        <v>0.25</v>
      </c>
      <c r="F26">
        <f>IF(E26&gt;=0.3,1,IF(E26&gt;=0.1,2,3))</f>
        <v>2</v>
      </c>
      <c r="G26" s="35">
        <v>0.03</v>
      </c>
      <c r="H26">
        <f t="shared" si="4"/>
        <v>0.06</v>
      </c>
      <c r="I26">
        <f t="shared" si="5"/>
        <v>0.09</v>
      </c>
    </row>
    <row r="27" spans="1:10" x14ac:dyDescent="0.2">
      <c r="A27" s="19"/>
      <c r="B27" s="20"/>
      <c r="C27" s="20"/>
      <c r="D27" s="21"/>
    </row>
    <row r="28" spans="1:10" ht="17" x14ac:dyDescent="0.2">
      <c r="A28" s="48" t="s">
        <v>75</v>
      </c>
      <c r="B28" s="49"/>
      <c r="C28" s="49"/>
      <c r="D28" s="50"/>
      <c r="E28" s="46"/>
      <c r="F28" s="46"/>
      <c r="G28" s="47">
        <v>0.05</v>
      </c>
      <c r="H28" s="46"/>
      <c r="I28" s="46"/>
      <c r="J28" s="35">
        <f>SUM(H29:H33)/SUM(I29:I33)</f>
        <v>0.83333333333333337</v>
      </c>
    </row>
    <row r="29" spans="1:10" ht="16" x14ac:dyDescent="0.2">
      <c r="A29" s="19" t="s">
        <v>9</v>
      </c>
      <c r="B29" s="17" t="s">
        <v>76</v>
      </c>
      <c r="C29" s="17" t="s">
        <v>77</v>
      </c>
      <c r="D29" s="18" t="s">
        <v>78</v>
      </c>
      <c r="E29" s="39">
        <v>2</v>
      </c>
      <c r="F29">
        <f>IF(E29&gt;=24,1,IF(E29&gt;=5,2,3))</f>
        <v>3</v>
      </c>
      <c r="G29" s="35">
        <v>0.01</v>
      </c>
      <c r="H29">
        <f t="shared" ref="H29:H34" si="6">F29*G29</f>
        <v>0.03</v>
      </c>
      <c r="I29">
        <f t="shared" ref="I29:I33" si="7">G29*3</f>
        <v>0.03</v>
      </c>
    </row>
    <row r="30" spans="1:10" ht="17" x14ac:dyDescent="0.2">
      <c r="A30" s="16" t="s">
        <v>10</v>
      </c>
      <c r="B30" s="17" t="s">
        <v>79</v>
      </c>
      <c r="C30" s="17" t="s">
        <v>129</v>
      </c>
      <c r="D30" s="18" t="s">
        <v>80</v>
      </c>
      <c r="E30" s="39">
        <v>0.9</v>
      </c>
      <c r="F30">
        <f>IF(E30&gt;=2,1,IF(E30&gt;=1,2,3))</f>
        <v>3</v>
      </c>
      <c r="G30" s="35">
        <v>0.01</v>
      </c>
      <c r="H30">
        <f t="shared" si="6"/>
        <v>0.03</v>
      </c>
      <c r="I30">
        <f t="shared" si="7"/>
        <v>0.03</v>
      </c>
    </row>
    <row r="31" spans="1:10" ht="17" x14ac:dyDescent="0.2">
      <c r="A31" s="16" t="s">
        <v>11</v>
      </c>
      <c r="B31" s="17" t="s">
        <v>81</v>
      </c>
      <c r="C31" s="17" t="s">
        <v>82</v>
      </c>
      <c r="D31" s="18" t="s">
        <v>83</v>
      </c>
      <c r="E31" s="39">
        <v>2</v>
      </c>
      <c r="F31">
        <f>IF(E31&gt;=10,1,IF(E31&gt;=7,2,3))</f>
        <v>3</v>
      </c>
      <c r="G31" s="35">
        <v>5.0000000000000001E-3</v>
      </c>
      <c r="H31">
        <f t="shared" si="6"/>
        <v>1.4999999999999999E-2</v>
      </c>
      <c r="I31">
        <f t="shared" si="7"/>
        <v>1.4999999999999999E-2</v>
      </c>
    </row>
    <row r="32" spans="1:10" ht="17" x14ac:dyDescent="0.2">
      <c r="A32" s="16" t="s">
        <v>84</v>
      </c>
      <c r="B32" s="17">
        <v>0</v>
      </c>
      <c r="C32" s="17" t="s">
        <v>85</v>
      </c>
      <c r="D32" s="18" t="s">
        <v>86</v>
      </c>
      <c r="E32" s="39">
        <v>0</v>
      </c>
      <c r="F32">
        <f>IF(E32&gt;=3,1,IF(E32&gt;=2,2,1))</f>
        <v>1</v>
      </c>
      <c r="G32" s="35">
        <v>5.0000000000000001E-3</v>
      </c>
      <c r="H32">
        <f t="shared" si="6"/>
        <v>5.0000000000000001E-3</v>
      </c>
      <c r="I32">
        <f t="shared" si="7"/>
        <v>1.4999999999999999E-2</v>
      </c>
    </row>
    <row r="33" spans="1:10" ht="17" x14ac:dyDescent="0.2">
      <c r="A33" s="16" t="s">
        <v>12</v>
      </c>
      <c r="B33" s="17" t="s">
        <v>87</v>
      </c>
      <c r="C33" s="17" t="s">
        <v>88</v>
      </c>
      <c r="D33" s="18" t="s">
        <v>89</v>
      </c>
      <c r="E33" s="39">
        <v>4</v>
      </c>
      <c r="F33">
        <f>IF(E33&gt;=5,3,IF(E33&gt;=4,2,1))</f>
        <v>2</v>
      </c>
      <c r="G33" s="35">
        <v>0.01</v>
      </c>
      <c r="H33">
        <f t="shared" si="6"/>
        <v>0.02</v>
      </c>
      <c r="I33">
        <f t="shared" si="7"/>
        <v>0.03</v>
      </c>
    </row>
    <row r="34" spans="1:10" ht="34" x14ac:dyDescent="0.2">
      <c r="A34" s="16" t="s">
        <v>90</v>
      </c>
      <c r="B34" s="25">
        <v>0</v>
      </c>
      <c r="C34" s="25" t="s">
        <v>130</v>
      </c>
      <c r="D34" s="18" t="s">
        <v>35</v>
      </c>
      <c r="E34" s="38">
        <v>0.01</v>
      </c>
      <c r="F34">
        <f>IF(E34&gt;=0.051,1,IF(E34&gt;=0.05,2,3))</f>
        <v>3</v>
      </c>
      <c r="G34" s="35">
        <v>0.01</v>
      </c>
      <c r="H34">
        <f t="shared" si="6"/>
        <v>0.03</v>
      </c>
      <c r="I34">
        <f>G34*3</f>
        <v>0.03</v>
      </c>
    </row>
    <row r="35" spans="1:10" ht="16" x14ac:dyDescent="0.2">
      <c r="A35" s="16"/>
      <c r="B35" s="20"/>
      <c r="C35" s="20"/>
      <c r="D35" s="21"/>
    </row>
    <row r="36" spans="1:10" ht="17" x14ac:dyDescent="0.2">
      <c r="A36" s="22" t="s">
        <v>13</v>
      </c>
      <c r="B36" s="26" t="s">
        <v>91</v>
      </c>
      <c r="C36" s="26" t="s">
        <v>92</v>
      </c>
      <c r="D36" s="27" t="s">
        <v>93</v>
      </c>
      <c r="E36" s="46"/>
      <c r="F36" s="46"/>
      <c r="G36" s="47">
        <v>0.15</v>
      </c>
      <c r="H36" s="46"/>
      <c r="I36" s="46"/>
      <c r="J36" s="35">
        <f>SUM(H37:H39)/SUM(I37:I39)</f>
        <v>0.66666666666666663</v>
      </c>
    </row>
    <row r="37" spans="1:10" ht="17" x14ac:dyDescent="0.2">
      <c r="A37" s="16" t="s">
        <v>94</v>
      </c>
      <c r="B37" s="17" t="s">
        <v>95</v>
      </c>
      <c r="C37" s="17" t="s">
        <v>96</v>
      </c>
      <c r="D37" s="18" t="s">
        <v>97</v>
      </c>
      <c r="E37" s="39">
        <v>7</v>
      </c>
      <c r="F37">
        <f>IF(E37&gt;=9,3,IF(E37&gt;=7,2,1))</f>
        <v>2</v>
      </c>
      <c r="G37" s="35">
        <v>0.05</v>
      </c>
      <c r="H37">
        <f t="shared" ref="H37:H39" si="8">F37*G37</f>
        <v>0.1</v>
      </c>
      <c r="I37">
        <f t="shared" ref="I37:I39" si="9">G37*3</f>
        <v>0.15000000000000002</v>
      </c>
    </row>
    <row r="38" spans="1:10" ht="16" x14ac:dyDescent="0.2">
      <c r="A38" s="19" t="s">
        <v>98</v>
      </c>
      <c r="B38" s="17" t="s">
        <v>99</v>
      </c>
      <c r="C38" s="28" t="s">
        <v>131</v>
      </c>
      <c r="D38" s="18" t="s">
        <v>100</v>
      </c>
      <c r="E38" s="39">
        <v>6</v>
      </c>
      <c r="F38">
        <f>IF(E38&gt;=8,1,IF(E38&gt;=6,2,3))</f>
        <v>2</v>
      </c>
      <c r="G38" s="35">
        <v>0.05</v>
      </c>
      <c r="H38">
        <f t="shared" si="8"/>
        <v>0.1</v>
      </c>
      <c r="I38">
        <f t="shared" si="9"/>
        <v>0.15000000000000002</v>
      </c>
    </row>
    <row r="39" spans="1:10" ht="32" x14ac:dyDescent="0.2">
      <c r="A39" s="19" t="s">
        <v>101</v>
      </c>
      <c r="B39" s="17" t="s">
        <v>102</v>
      </c>
      <c r="C39" s="28" t="s">
        <v>103</v>
      </c>
      <c r="D39" s="18" t="s">
        <v>104</v>
      </c>
      <c r="E39" s="38">
        <v>0.95</v>
      </c>
      <c r="F39">
        <f>IF(E39&gt;=0.98,3,IF(E39&gt;=0.9,2,1))</f>
        <v>2</v>
      </c>
      <c r="G39" s="35">
        <v>0.05</v>
      </c>
      <c r="H39">
        <f t="shared" si="8"/>
        <v>0.1</v>
      </c>
      <c r="I39">
        <f t="shared" si="9"/>
        <v>0.15000000000000002</v>
      </c>
    </row>
    <row r="40" spans="1:10" x14ac:dyDescent="0.2">
      <c r="A40" s="19"/>
      <c r="B40" s="20"/>
      <c r="C40" s="29"/>
      <c r="D40" s="21"/>
    </row>
    <row r="41" spans="1:10" ht="17" x14ac:dyDescent="0.2">
      <c r="A41" s="22" t="s">
        <v>14</v>
      </c>
      <c r="B41" s="23"/>
      <c r="C41" s="23"/>
      <c r="D41" s="24"/>
      <c r="E41" s="46"/>
      <c r="F41" s="46"/>
      <c r="G41" s="47">
        <v>0.15</v>
      </c>
      <c r="H41" s="46"/>
      <c r="I41" s="46"/>
      <c r="J41" s="35">
        <f>SUM(H42:H46)/SUM(I42:I46)</f>
        <v>0.60000000000000009</v>
      </c>
    </row>
    <row r="42" spans="1:10" ht="17" x14ac:dyDescent="0.2">
      <c r="A42" s="16" t="s">
        <v>15</v>
      </c>
      <c r="B42" s="17" t="s">
        <v>105</v>
      </c>
      <c r="C42" s="17" t="s">
        <v>106</v>
      </c>
      <c r="D42" s="18" t="s">
        <v>107</v>
      </c>
      <c r="E42" s="39">
        <v>45</v>
      </c>
      <c r="F42">
        <f>IF(E42&gt;=90,1,IF(E42&gt;=60,2,3))</f>
        <v>3</v>
      </c>
      <c r="G42" s="35">
        <v>0.03</v>
      </c>
      <c r="H42">
        <f t="shared" ref="H42:H46" si="10">F42*G42</f>
        <v>0.09</v>
      </c>
      <c r="I42">
        <f t="shared" ref="I42:I46" si="11">G42*3</f>
        <v>0.09</v>
      </c>
    </row>
    <row r="43" spans="1:10" ht="17" x14ac:dyDescent="0.2">
      <c r="A43" s="16" t="s">
        <v>16</v>
      </c>
      <c r="B43" s="17" t="s">
        <v>105</v>
      </c>
      <c r="C43" s="17" t="s">
        <v>106</v>
      </c>
      <c r="D43" s="18" t="s">
        <v>107</v>
      </c>
      <c r="E43" s="39">
        <v>90</v>
      </c>
      <c r="F43">
        <f t="shared" ref="F43" si="12">IF(E43&gt;=90,1,IF(E43&gt;=60,2,3))</f>
        <v>1</v>
      </c>
      <c r="G43" s="35">
        <v>0.03</v>
      </c>
      <c r="H43">
        <f t="shared" si="10"/>
        <v>0.03</v>
      </c>
      <c r="I43">
        <f t="shared" si="11"/>
        <v>0.09</v>
      </c>
    </row>
    <row r="44" spans="1:10" ht="17" x14ac:dyDescent="0.2">
      <c r="A44" s="16" t="s">
        <v>17</v>
      </c>
      <c r="B44" s="17" t="s">
        <v>39</v>
      </c>
      <c r="C44" s="17" t="s">
        <v>108</v>
      </c>
      <c r="D44" s="18" t="s">
        <v>109</v>
      </c>
      <c r="E44" s="39">
        <v>120</v>
      </c>
      <c r="F44">
        <f>IF(E44&gt;=180,1,IF(E44&gt;=120,2,3))</f>
        <v>2</v>
      </c>
      <c r="G44" s="35">
        <v>0.03</v>
      </c>
      <c r="H44">
        <f t="shared" si="10"/>
        <v>0.06</v>
      </c>
      <c r="I44">
        <f t="shared" si="11"/>
        <v>0.09</v>
      </c>
    </row>
    <row r="45" spans="1:10" ht="17" x14ac:dyDescent="0.2">
      <c r="A45" s="16" t="s">
        <v>18</v>
      </c>
      <c r="B45" s="17" t="s">
        <v>110</v>
      </c>
      <c r="C45" s="17" t="s">
        <v>111</v>
      </c>
      <c r="D45" s="18" t="s">
        <v>112</v>
      </c>
      <c r="E45" s="38">
        <v>0.1</v>
      </c>
      <c r="F45">
        <f>IF(E45&gt;=0.2,3,IF(E45&gt;=0.15,2,1))</f>
        <v>1</v>
      </c>
      <c r="G45" s="35">
        <v>0.03</v>
      </c>
      <c r="H45">
        <f t="shared" si="10"/>
        <v>0.03</v>
      </c>
      <c r="I45">
        <f t="shared" si="11"/>
        <v>0.09</v>
      </c>
    </row>
    <row r="46" spans="1:10" ht="18" thickBot="1" x14ac:dyDescent="0.25">
      <c r="A46" s="30" t="s">
        <v>126</v>
      </c>
      <c r="B46" s="25" t="s">
        <v>61</v>
      </c>
      <c r="C46" s="25" t="s">
        <v>132</v>
      </c>
      <c r="D46" s="18" t="s">
        <v>50</v>
      </c>
      <c r="E46" s="38">
        <v>0.5</v>
      </c>
      <c r="F46">
        <f>IF(E46&gt;=0.7,3,IF(E46&gt;=0.5,2,1))</f>
        <v>2</v>
      </c>
      <c r="G46" s="35">
        <v>0.03</v>
      </c>
      <c r="H46">
        <f t="shared" si="10"/>
        <v>0.06</v>
      </c>
      <c r="I46">
        <f t="shared" si="11"/>
        <v>0.09</v>
      </c>
    </row>
    <row r="47" spans="1:10" ht="16" thickBot="1" x14ac:dyDescent="0.25">
      <c r="A47" s="19"/>
      <c r="D47" s="31"/>
    </row>
    <row r="48" spans="1:10" ht="17" thickBot="1" x14ac:dyDescent="0.25">
      <c r="A48" s="69" t="s">
        <v>113</v>
      </c>
      <c r="B48" s="70"/>
      <c r="C48" s="46"/>
      <c r="D48" s="53"/>
      <c r="E48" s="46"/>
      <c r="F48" s="46"/>
      <c r="G48" s="47">
        <v>0.1</v>
      </c>
      <c r="H48" s="46"/>
      <c r="I48" s="46"/>
      <c r="J48" s="35">
        <f>SUM(H49:H51)/SUM(I49:I51)</f>
        <v>0.73333333333333328</v>
      </c>
    </row>
    <row r="49" spans="1:10" ht="17" x14ac:dyDescent="0.2">
      <c r="A49" s="16" t="s">
        <v>19</v>
      </c>
      <c r="B49" s="17" t="s">
        <v>114</v>
      </c>
      <c r="C49" s="17" t="s">
        <v>115</v>
      </c>
      <c r="D49" s="17" t="s">
        <v>133</v>
      </c>
      <c r="E49" s="39">
        <v>45</v>
      </c>
      <c r="F49">
        <f t="shared" ref="F49" si="13">IF(E49&gt;=90,1,IF(E49&gt;=60,2,3))</f>
        <v>3</v>
      </c>
      <c r="G49" s="35">
        <v>0.02</v>
      </c>
      <c r="H49">
        <f t="shared" ref="H49:H51" si="14">F49*G49</f>
        <v>0.06</v>
      </c>
      <c r="I49">
        <f t="shared" ref="I49:I51" si="15">G49*3</f>
        <v>0.06</v>
      </c>
    </row>
    <row r="50" spans="1:10" ht="17" x14ac:dyDescent="0.2">
      <c r="A50" s="16" t="s">
        <v>20</v>
      </c>
      <c r="B50" s="17" t="s">
        <v>115</v>
      </c>
      <c r="C50" s="17" t="s">
        <v>133</v>
      </c>
      <c r="D50" s="17" t="s">
        <v>41</v>
      </c>
      <c r="E50" s="39">
        <v>90</v>
      </c>
      <c r="F50">
        <f>IF(E50&gt;=120,1,IF(E50&gt;=90,2,3))</f>
        <v>2</v>
      </c>
      <c r="G50" s="35">
        <v>0.03</v>
      </c>
      <c r="H50">
        <f t="shared" si="14"/>
        <v>0.06</v>
      </c>
      <c r="I50">
        <f t="shared" si="15"/>
        <v>0.09</v>
      </c>
    </row>
    <row r="51" spans="1:10" ht="17" x14ac:dyDescent="0.2">
      <c r="A51" s="16" t="s">
        <v>21</v>
      </c>
      <c r="B51" s="17" t="s">
        <v>116</v>
      </c>
      <c r="C51" s="17" t="s">
        <v>135</v>
      </c>
      <c r="D51" s="17" t="s">
        <v>134</v>
      </c>
      <c r="E51" s="39">
        <v>180</v>
      </c>
      <c r="F51">
        <f>IF(E51&gt;=240,1,IF(E51&gt;=180,2,3))</f>
        <v>2</v>
      </c>
      <c r="G51" s="35">
        <v>0.05</v>
      </c>
      <c r="H51">
        <f t="shared" si="14"/>
        <v>0.1</v>
      </c>
      <c r="I51">
        <f t="shared" si="15"/>
        <v>0.15000000000000002</v>
      </c>
    </row>
    <row r="52" spans="1:10" ht="16" thickBot="1" x14ac:dyDescent="0.25">
      <c r="A52" s="19"/>
      <c r="D52" s="31"/>
    </row>
    <row r="53" spans="1:10" ht="18" thickBot="1" x14ac:dyDescent="0.25">
      <c r="A53" s="48" t="s">
        <v>22</v>
      </c>
      <c r="B53" s="71" t="s">
        <v>117</v>
      </c>
      <c r="C53" s="72"/>
      <c r="D53" s="73"/>
      <c r="E53" s="46"/>
      <c r="F53" s="46"/>
      <c r="G53" s="47">
        <v>0.05</v>
      </c>
      <c r="H53" s="46">
        <f t="shared" ref="H53:H54" si="16">F53*G53</f>
        <v>0</v>
      </c>
      <c r="I53" s="46">
        <f t="shared" ref="I53:I54" si="17">G53*3</f>
        <v>0.15000000000000002</v>
      </c>
      <c r="J53" s="35">
        <f>SUM(H54)/SUM(I54)</f>
        <v>0.66666666666666663</v>
      </c>
    </row>
    <row r="54" spans="1:10" ht="18" thickBot="1" x14ac:dyDescent="0.25">
      <c r="A54" s="30" t="s">
        <v>118</v>
      </c>
      <c r="B54" s="32" t="s">
        <v>119</v>
      </c>
      <c r="C54" s="32" t="s">
        <v>120</v>
      </c>
      <c r="D54" s="33" t="s">
        <v>45</v>
      </c>
      <c r="E54" s="38">
        <v>0.75</v>
      </c>
      <c r="F54">
        <f>IF(E54&gt;=0.9,3,IF(E54&gt;=0.6,2,1))</f>
        <v>2</v>
      </c>
      <c r="G54" s="35">
        <v>0.05</v>
      </c>
      <c r="H54">
        <f t="shared" si="16"/>
        <v>0.1</v>
      </c>
      <c r="I54">
        <f t="shared" si="17"/>
        <v>0.15000000000000002</v>
      </c>
    </row>
    <row r="55" spans="1:10" ht="16" thickBot="1" x14ac:dyDescent="0.25">
      <c r="E55" s="55"/>
      <c r="F55" s="55">
        <f>SUM(F5:F7)+SUM(F9:F12)+SUM(F15:F19)+SUM(F22:F26)+SUM(F29:F34)+SUM(F37:F39)+SUM(F42:F46)+SUM(F49:F51)+SUM(F54)</f>
        <v>72</v>
      </c>
      <c r="G55" s="56">
        <f>SUM(G5:G7)+SUM(G9:G12)+SUM(G15:G19)+SUM(G22:G26)+SUM(G29:G34)+SUM(G37:G39)+SUM(G42:G46)+SUM(G49:G51)+SUM(G54)</f>
        <v>1</v>
      </c>
      <c r="H55" s="55">
        <f>SUM(H5:H7)+SUM(H9:H12)+SUM(H15:H19)+SUM(H22:H26)+SUM(H29:H34)+SUM(H37:H39)+SUM(H42:H46)+SUM(H49:H51)+SUM(H54)</f>
        <v>1.98</v>
      </c>
      <c r="I55" s="55">
        <f>G55*3</f>
        <v>3</v>
      </c>
      <c r="J55" s="54">
        <f>SUM(H55)/SUM(I55)</f>
        <v>0.66</v>
      </c>
    </row>
    <row r="56" spans="1:10" x14ac:dyDescent="0.2">
      <c r="F56" s="37"/>
      <c r="G56" s="36"/>
    </row>
  </sheetData>
  <mergeCells count="3">
    <mergeCell ref="A1:D1"/>
    <mergeCell ref="A48:B48"/>
    <mergeCell ref="B53:D53"/>
  </mergeCells>
  <conditionalFormatting sqref="F5:F54">
    <cfRule type="colorScale" priority="35">
      <colorScale>
        <cfvo type="num" val="1"/>
        <cfvo type="num" val="2"/>
        <cfvo type="num" val="3"/>
        <color theme="5" tint="0.59999389629810485"/>
        <color rgb="FFFFEB84"/>
        <color theme="6" tint="0.79998168889431442"/>
      </colorScale>
    </cfRule>
  </conditionalFormatting>
  <conditionalFormatting sqref="J4">
    <cfRule type="cellIs" dxfId="32" priority="30" operator="lessThan">
      <formula>0.6</formula>
    </cfRule>
    <cfRule type="cellIs" dxfId="31" priority="29" operator="between">
      <formula>0.6</formula>
      <formula>0.79</formula>
    </cfRule>
    <cfRule type="cellIs" dxfId="30" priority="28" operator="greaterThan">
      <formula>0.8</formula>
    </cfRule>
  </conditionalFormatting>
  <conditionalFormatting sqref="J4:J56">
    <cfRule type="colorScale" priority="32">
      <colorScale>
        <cfvo type="num" val="&quot;&lt;.6&quot;"/>
        <cfvo type="num" val="&quot;&lt;.80&quot;"/>
        <cfvo type="num" val="&quot;&gt;.80&quot;"/>
        <color theme="5" tint="0.79998168889431442"/>
        <color rgb="FFFFEB84"/>
        <color theme="6" tint="0.79998168889431442"/>
      </colorScale>
    </cfRule>
  </conditionalFormatting>
  <conditionalFormatting sqref="J8">
    <cfRule type="cellIs" dxfId="29" priority="27" operator="lessThan">
      <formula>0.6</formula>
    </cfRule>
    <cfRule type="cellIs" dxfId="28" priority="26" operator="between">
      <formula>0.6</formula>
      <formula>0.79</formula>
    </cfRule>
    <cfRule type="cellIs" dxfId="27" priority="25" operator="greaterThan">
      <formula>0.8</formula>
    </cfRule>
  </conditionalFormatting>
  <conditionalFormatting sqref="J14">
    <cfRule type="cellIs" dxfId="26" priority="24" operator="lessThan">
      <formula>0.6</formula>
    </cfRule>
    <cfRule type="cellIs" dxfId="25" priority="23" operator="between">
      <formula>0.6</formula>
      <formula>0.79</formula>
    </cfRule>
    <cfRule type="cellIs" dxfId="24" priority="22" operator="greaterThan">
      <formula>0.8</formula>
    </cfRule>
  </conditionalFormatting>
  <conditionalFormatting sqref="J21">
    <cfRule type="cellIs" dxfId="23" priority="21" operator="lessThan">
      <formula>0.6</formula>
    </cfRule>
    <cfRule type="cellIs" dxfId="22" priority="20" operator="between">
      <formula>0.6</formula>
      <formula>0.79</formula>
    </cfRule>
    <cfRule type="cellIs" dxfId="21" priority="19" operator="greaterThan">
      <formula>0.8</formula>
    </cfRule>
  </conditionalFormatting>
  <conditionalFormatting sqref="J28">
    <cfRule type="cellIs" dxfId="20" priority="17" operator="between">
      <formula>0.6</formula>
      <formula>0.79</formula>
    </cfRule>
    <cfRule type="cellIs" dxfId="19" priority="16" operator="greaterThan">
      <formula>0.8</formula>
    </cfRule>
    <cfRule type="cellIs" dxfId="18" priority="18" operator="lessThan">
      <formula>0.6</formula>
    </cfRule>
  </conditionalFormatting>
  <conditionalFormatting sqref="J36">
    <cfRule type="cellIs" dxfId="17" priority="15" operator="lessThan">
      <formula>0.6</formula>
    </cfRule>
    <cfRule type="cellIs" dxfId="16" priority="14" operator="between">
      <formula>0.6</formula>
      <formula>0.79</formula>
    </cfRule>
    <cfRule type="cellIs" dxfId="15" priority="13" operator="greaterThan">
      <formula>0.8</formula>
    </cfRule>
  </conditionalFormatting>
  <conditionalFormatting sqref="J41">
    <cfRule type="cellIs" dxfId="14" priority="12" operator="lessThan">
      <formula>0.6</formula>
    </cfRule>
    <cfRule type="cellIs" dxfId="13" priority="11" operator="between">
      <formula>0.6</formula>
      <formula>0.79</formula>
    </cfRule>
    <cfRule type="cellIs" dxfId="12" priority="10" operator="greaterThan">
      <formula>0.8</formula>
    </cfRule>
  </conditionalFormatting>
  <conditionalFormatting sqref="J48">
    <cfRule type="cellIs" dxfId="11" priority="9" operator="lessThan">
      <formula>0.6</formula>
    </cfRule>
    <cfRule type="cellIs" dxfId="10" priority="8" operator="between">
      <formula>0.6</formula>
      <formula>0.79</formula>
    </cfRule>
    <cfRule type="cellIs" dxfId="9" priority="7" operator="greaterThan">
      <formula>0.8</formula>
    </cfRule>
  </conditionalFormatting>
  <conditionalFormatting sqref="J53">
    <cfRule type="cellIs" dxfId="8" priority="6" operator="lessThan">
      <formula>0.6</formula>
    </cfRule>
    <cfRule type="cellIs" dxfId="7" priority="5" operator="between">
      <formula>0.6</formula>
      <formula>0.79</formula>
    </cfRule>
    <cfRule type="cellIs" dxfId="6" priority="4" operator="greaterThan">
      <formula>0.8</formula>
    </cfRule>
  </conditionalFormatting>
  <conditionalFormatting sqref="J55">
    <cfRule type="cellIs" dxfId="5" priority="3" operator="lessThan">
      <formula>0.6</formula>
    </cfRule>
    <cfRule type="cellIs" dxfId="4" priority="2" operator="between">
      <formula>0.6</formula>
      <formula>0.79</formula>
    </cfRule>
    <cfRule type="cellIs" dxfId="3" priority="1" operator="greater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31.1640625" bestFit="1" customWidth="1"/>
    <col min="2" max="2" width="15.33203125" customWidth="1"/>
    <col min="4" max="4" width="13.1640625" bestFit="1" customWidth="1"/>
    <col min="5" max="5" width="6.33203125" bestFit="1" customWidth="1"/>
  </cols>
  <sheetData>
    <row r="1" spans="1:5" ht="54" customHeight="1" x14ac:dyDescent="0.2">
      <c r="A1" t="e" vm="1">
        <v>#VALUE!</v>
      </c>
    </row>
    <row r="2" spans="1:5" ht="15" customHeight="1" thickBot="1" x14ac:dyDescent="0.25"/>
    <row r="3" spans="1:5" ht="25" thickBot="1" x14ac:dyDescent="0.35">
      <c r="A3" s="74" t="s">
        <v>140</v>
      </c>
      <c r="B3" s="74"/>
      <c r="C3" s="57" t="s">
        <v>45</v>
      </c>
      <c r="D3" s="58" t="s">
        <v>143</v>
      </c>
      <c r="E3" s="59" t="s">
        <v>142</v>
      </c>
    </row>
    <row r="4" spans="1:5" ht="22" thickBot="1" x14ac:dyDescent="0.3">
      <c r="A4" s="61" t="s">
        <v>139</v>
      </c>
      <c r="B4" s="60">
        <f>Input!J55</f>
        <v>0.66</v>
      </c>
    </row>
    <row r="5" spans="1:5" ht="16" x14ac:dyDescent="0.2">
      <c r="A5" s="62" t="str">
        <f>Input!A4</f>
        <v>Pipeline Health</v>
      </c>
      <c r="B5" s="63">
        <f>Input!J4</f>
        <v>0.46666666666666673</v>
      </c>
    </row>
    <row r="6" spans="1:5" ht="16" x14ac:dyDescent="0.2">
      <c r="A6" s="64" t="str">
        <f>Input!A8</f>
        <v>Sales Velocity</v>
      </c>
      <c r="B6" s="65">
        <f>Input!J8</f>
        <v>0.7</v>
      </c>
    </row>
    <row r="7" spans="1:5" ht="16" x14ac:dyDescent="0.2">
      <c r="A7" s="64" t="str">
        <f>Input!A13</f>
        <v>Deal Engagement</v>
      </c>
      <c r="B7" s="65">
        <f>Input!J14</f>
        <v>0.66666666666666674</v>
      </c>
    </row>
    <row r="8" spans="1:5" ht="16" x14ac:dyDescent="0.2">
      <c r="A8" s="64" t="str">
        <f>Input!A21</f>
        <v>Product Usage &amp; Engagement KPIs</v>
      </c>
      <c r="B8" s="65">
        <f>Input!J21</f>
        <v>0.68888888888888899</v>
      </c>
    </row>
    <row r="9" spans="1:5" ht="16" x14ac:dyDescent="0.2">
      <c r="A9" s="64" t="str">
        <f>Input!A28</f>
        <v>Support KPIs</v>
      </c>
      <c r="B9" s="65">
        <f>Input!J28</f>
        <v>0.83333333333333337</v>
      </c>
    </row>
    <row r="10" spans="1:5" ht="16" x14ac:dyDescent="0.2">
      <c r="A10" s="64" t="str">
        <f>Input!A36</f>
        <v>Company Perception</v>
      </c>
      <c r="B10" s="65">
        <f>Input!J36</f>
        <v>0.66666666666666663</v>
      </c>
    </row>
    <row r="11" spans="1:5" ht="16" x14ac:dyDescent="0.2">
      <c r="A11" s="64" t="str">
        <f>Input!A41</f>
        <v>Customer Value</v>
      </c>
      <c r="B11" s="65">
        <f>Input!J41</f>
        <v>0.60000000000000009</v>
      </c>
    </row>
    <row r="12" spans="1:5" ht="16" x14ac:dyDescent="0.2">
      <c r="A12" s="64" t="str">
        <f>Input!A48</f>
        <v>Customer Implementation Year 1</v>
      </c>
      <c r="B12" s="65">
        <f>Input!J48</f>
        <v>0.73333333333333328</v>
      </c>
    </row>
    <row r="13" spans="1:5" ht="17" thickBot="1" x14ac:dyDescent="0.25">
      <c r="A13" s="66" t="str">
        <f>Input!A53</f>
        <v>Customer Expansion</v>
      </c>
      <c r="B13" s="67">
        <f>Input!J53</f>
        <v>0.66666666666666663</v>
      </c>
    </row>
    <row r="19" spans="1:1" ht="19" x14ac:dyDescent="0.25">
      <c r="A19" s="43"/>
    </row>
  </sheetData>
  <mergeCells count="1">
    <mergeCell ref="A3:B3"/>
  </mergeCells>
  <conditionalFormatting sqref="B4:B13">
    <cfRule type="cellIs" dxfId="2" priority="1" operator="greaterThan">
      <formula>0.8</formula>
    </cfRule>
    <cfRule type="cellIs" dxfId="1" priority="2" operator="between">
      <formula>0.6</formula>
      <formula>0.79</formula>
    </cfRule>
    <cfRule type="cellIs" dxfId="0" priority="3" operator="lessThan">
      <formula>0.6</formula>
    </cfRule>
    <cfRule type="colorScale" priority="4">
      <colorScale>
        <cfvo type="num" val="&quot;&lt;.6&quot;"/>
        <cfvo type="num" val="&quot;&lt;.80&quot;"/>
        <cfvo type="num" val="&quot;&gt;.80&quot;"/>
        <color theme="5" tint="0.79998168889431442"/>
        <color rgb="FFFFEB84"/>
        <color theme="6" tint="0.7999816888943144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Jackie Golden</cp:lastModifiedBy>
  <dcterms:created xsi:type="dcterms:W3CDTF">2025-08-23T22:40:26Z</dcterms:created>
  <dcterms:modified xsi:type="dcterms:W3CDTF">2025-09-02T17:37:10Z</dcterms:modified>
</cp:coreProperties>
</file>