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25" i="1" l="1"/>
  <c r="I34" i="1"/>
  <c r="I35" i="1"/>
  <c r="K3" i="1" l="1"/>
  <c r="K4" i="1"/>
  <c r="K5" i="1"/>
  <c r="K2" i="1"/>
  <c r="I33" i="1"/>
  <c r="K6" i="1" l="1"/>
  <c r="K7" i="1" s="1"/>
  <c r="K8" i="1" s="1"/>
  <c r="D57" i="1"/>
  <c r="E57" i="1"/>
  <c r="F57" i="1"/>
  <c r="C57" i="1"/>
  <c r="K21" i="1"/>
  <c r="K22" i="1"/>
  <c r="K23" i="1"/>
  <c r="K20" i="1"/>
  <c r="L20" i="1"/>
  <c r="M20" i="1" s="1"/>
  <c r="L21" i="1"/>
  <c r="L22" i="1"/>
  <c r="M22" i="1" s="1"/>
  <c r="L23" i="1"/>
  <c r="M23" i="1" s="1"/>
  <c r="M21" i="1" l="1"/>
  <c r="M24" i="1"/>
  <c r="K9" i="1"/>
  <c r="D45" i="1"/>
  <c r="D4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  <c r="I31" i="1" l="1"/>
  <c r="I48" i="1" s="1"/>
  <c r="M26" i="1"/>
  <c r="D46" i="1"/>
  <c r="D47" i="1" s="1"/>
  <c r="D48" i="1" s="1"/>
  <c r="I32" i="1" s="1"/>
  <c r="I49" i="1" s="1"/>
  <c r="J49" i="1" l="1"/>
  <c r="C61" i="1" s="1"/>
  <c r="D61" i="1"/>
  <c r="F61" i="1"/>
  <c r="E61" i="1"/>
  <c r="J48" i="1"/>
  <c r="I36" i="1"/>
  <c r="I37" i="1"/>
  <c r="I38" i="1" l="1"/>
  <c r="I39" i="1" s="1"/>
  <c r="I40" i="1" s="1"/>
  <c r="E62" i="1"/>
  <c r="E63" i="1" s="1"/>
  <c r="F62" i="1"/>
  <c r="F63" i="1" s="1"/>
  <c r="D62" i="1"/>
  <c r="D63" i="1" s="1"/>
  <c r="I41" i="1" l="1"/>
  <c r="C60" i="1"/>
  <c r="C62" i="1" s="1"/>
  <c r="C63" i="1" l="1"/>
  <c r="I45" i="1"/>
  <c r="I46" i="1"/>
  <c r="C55" i="1" s="1"/>
  <c r="E56" i="1" l="1"/>
  <c r="E58" i="1" s="1"/>
  <c r="E64" i="1" s="1"/>
  <c r="D56" i="1"/>
  <c r="D58" i="1" s="1"/>
  <c r="D64" i="1" s="1"/>
  <c r="D55" i="1"/>
  <c r="F56" i="1"/>
  <c r="F58" i="1" s="1"/>
  <c r="F64" i="1" s="1"/>
  <c r="E55" i="1"/>
  <c r="F55" i="1"/>
  <c r="C56" i="1"/>
  <c r="C58" i="1" s="1"/>
  <c r="C69" i="1" l="1"/>
  <c r="C64" i="1"/>
  <c r="C65" i="1" s="1"/>
  <c r="D65" i="1" s="1"/>
  <c r="E65" i="1" s="1"/>
  <c r="F65" i="1" s="1"/>
</calcChain>
</file>

<file path=xl/sharedStrings.xml><?xml version="1.0" encoding="utf-8"?>
<sst xmlns="http://schemas.openxmlformats.org/spreadsheetml/2006/main" count="146" uniqueCount="140">
  <si>
    <t>Комплектующие</t>
  </si>
  <si>
    <t>Количество, шт.</t>
  </si>
  <si>
    <t>Цена, р.</t>
  </si>
  <si>
    <t>Сумма, р.</t>
  </si>
  <si>
    <t>Цена за единицу, р.</t>
  </si>
  <si>
    <t>Диоды HER508</t>
  </si>
  <si>
    <t>Диоды 1N5817</t>
  </si>
  <si>
    <t>Диод 1N4728A</t>
  </si>
  <si>
    <t>Индикатор FYQ-3641 DH</t>
  </si>
  <si>
    <t>SMD 0805 1мкФ</t>
  </si>
  <si>
    <t>SMD 0805 22мкФ</t>
  </si>
  <si>
    <t>Электролитический SMD 150 мкФ</t>
  </si>
  <si>
    <t>Электролитический SMD 1500 мкФ</t>
  </si>
  <si>
    <t>Электролитический SMD 47 мкФ</t>
  </si>
  <si>
    <t>Электролитический SMD 220 мкФ</t>
  </si>
  <si>
    <t>Микросхема TL431ACP</t>
  </si>
  <si>
    <t>Микросхема XC6206P33MR</t>
  </si>
  <si>
    <t>Микросхема LM358N</t>
  </si>
  <si>
    <t>Микросхема PIC16F873A-I/SP</t>
  </si>
  <si>
    <t>Разъем PLS-2(DS1021-1x2)</t>
  </si>
  <si>
    <t>Разъем BLS-2(DS1071-1x2)</t>
  </si>
  <si>
    <t>Разъем L-KLS1-233-0-0-1-T</t>
  </si>
  <si>
    <t>Разъем XY300VA-5.0-2P-12</t>
  </si>
  <si>
    <r>
      <t xml:space="preserve">Резисторы С2-23 2Вт 100 Ом </t>
    </r>
    <r>
      <rPr>
        <sz val="11"/>
        <color theme="1"/>
        <rFont val="Calibri"/>
        <family val="2"/>
        <charset val="204"/>
      </rPr>
      <t>± 5%</t>
    </r>
  </si>
  <si>
    <r>
      <t xml:space="preserve">Резисторы С2-23 2Вт 5,6 Ом </t>
    </r>
    <r>
      <rPr>
        <sz val="11"/>
        <color theme="1"/>
        <rFont val="Calibri"/>
        <family val="2"/>
        <charset val="204"/>
      </rPr>
      <t>± 5%</t>
    </r>
  </si>
  <si>
    <r>
      <t xml:space="preserve">Резисторы С2-23 2Вт 2 Ом </t>
    </r>
    <r>
      <rPr>
        <sz val="11"/>
        <color theme="1"/>
        <rFont val="Calibri"/>
        <family val="2"/>
        <charset val="204"/>
      </rPr>
      <t>± 1%</t>
    </r>
  </si>
  <si>
    <r>
      <t xml:space="preserve">Резисторы С2-23 2Вт 680 Ом </t>
    </r>
    <r>
      <rPr>
        <sz val="11"/>
        <color theme="1"/>
        <rFont val="Calibri"/>
        <family val="2"/>
        <charset val="204"/>
      </rPr>
      <t>± 5%</t>
    </r>
  </si>
  <si>
    <t>Резисторы  SMD 0805 1 кОм ± 1%</t>
  </si>
  <si>
    <t>Резисторы  SMD 0805 3 кОм ± 1%</t>
  </si>
  <si>
    <t>Резисторы  SMD 0805 24 кОм ± 1%</t>
  </si>
  <si>
    <t>Резисторы  SMD 0805 30 кОм ± 1%</t>
  </si>
  <si>
    <t>Резисторы  SMD 0805 33 кОм ± 1%</t>
  </si>
  <si>
    <t>Резисторы  SMD 0805 75 Ом ± 5%</t>
  </si>
  <si>
    <t>Резисторы  SMD 0805 180 Ом ± 5%</t>
  </si>
  <si>
    <t>Резисторы  SMD 0805 220 Ом ± 5%</t>
  </si>
  <si>
    <t>Резисторы  SMD 0805 300 Ом ± 5%</t>
  </si>
  <si>
    <t>Резисторы  SMD 0805 470 Ом ± 5%</t>
  </si>
  <si>
    <t>Резисторы  SMD 0805 1 кОм ± 5%</t>
  </si>
  <si>
    <t>Резисторы  SMD 0805 4,7 кОм ± 5%</t>
  </si>
  <si>
    <t>Резисторы  SMD 0805 10 кОм ± 5%</t>
  </si>
  <si>
    <t>Резисторы  SMD 0805 2 МОм ± 5%</t>
  </si>
  <si>
    <t>Резистор SQP 3,3 Ом 5W ± 5%</t>
  </si>
  <si>
    <t>Кварцевый резонатор HC-49SM</t>
  </si>
  <si>
    <t>Транзисторы AO3401</t>
  </si>
  <si>
    <t>Транзистор IRF7413</t>
  </si>
  <si>
    <t>Элемент питания LP502035</t>
  </si>
  <si>
    <t>Наименование материала</t>
  </si>
  <si>
    <t>Единица измерения</t>
  </si>
  <si>
    <t>Норма расхода</t>
  </si>
  <si>
    <t>АБС Polylac PA-707</t>
  </si>
  <si>
    <t>кг</t>
  </si>
  <si>
    <t>Стеклотекстолит фольгированный СФ2-35-1,5</t>
  </si>
  <si>
    <t>Всего</t>
  </si>
  <si>
    <t>Саморез М3х6</t>
  </si>
  <si>
    <t>Шайба м3</t>
  </si>
  <si>
    <t>Транспортно-заготовительные расходы(10%)</t>
  </si>
  <si>
    <t>Всего с Транспортно-заготовительными расходами</t>
  </si>
  <si>
    <t>Отходы возвратные 1%</t>
  </si>
  <si>
    <t>Вид работы (операция)</t>
  </si>
  <si>
    <t>Разряд работ</t>
  </si>
  <si>
    <t>Часовая тарифная ставка, р./ч</t>
  </si>
  <si>
    <t>Норма времени по операции, ч</t>
  </si>
  <si>
    <t>Прямая зарплата, р</t>
  </si>
  <si>
    <t>Заготовительные</t>
  </si>
  <si>
    <t>Монтажная</t>
  </si>
  <si>
    <t>Сборочные</t>
  </si>
  <si>
    <t>Итого</t>
  </si>
  <si>
    <t>Основная заработная плата</t>
  </si>
  <si>
    <t>Контрольные</t>
  </si>
  <si>
    <t>Общая трудоемкость изготовления, ч</t>
  </si>
  <si>
    <t>Распределение трудоемксоти по видам работ</t>
  </si>
  <si>
    <t>Тарифный коэффициент</t>
  </si>
  <si>
    <t>Часовая тарифная ставка первого разряда</t>
  </si>
  <si>
    <t>Сырье и материалы</t>
  </si>
  <si>
    <t>Покупные комплектующие изделия</t>
  </si>
  <si>
    <t>Основная заработная плата производственных рабочих</t>
  </si>
  <si>
    <t>Дополнительная заработная плата производственных рабочих</t>
  </si>
  <si>
    <t>Премия (15%)</t>
  </si>
  <si>
    <t>Наименование статьи затрат</t>
  </si>
  <si>
    <t>Условное обозначение</t>
  </si>
  <si>
    <t>Отчисления на социальные нужды</t>
  </si>
  <si>
    <t>Накладные расходы</t>
  </si>
  <si>
    <t>Производственная себестоимость</t>
  </si>
  <si>
    <t>Коммерческие расходы</t>
  </si>
  <si>
    <t>Полная себестоимость</t>
  </si>
  <si>
    <t>Отпускная цена</t>
  </si>
  <si>
    <t>Рм</t>
  </si>
  <si>
    <t>Рк</t>
  </si>
  <si>
    <t>Зо</t>
  </si>
  <si>
    <t>Зд</t>
  </si>
  <si>
    <t>Рсоц</t>
  </si>
  <si>
    <t>Рн</t>
  </si>
  <si>
    <t>Спр</t>
  </si>
  <si>
    <t>Рком</t>
  </si>
  <si>
    <t>Сп</t>
  </si>
  <si>
    <t>Пед</t>
  </si>
  <si>
    <t>Цотп</t>
  </si>
  <si>
    <t>Знацение, р.</t>
  </si>
  <si>
    <t>Примечание</t>
  </si>
  <si>
    <t xml:space="preserve">Чистая прибыть </t>
  </si>
  <si>
    <t>Пч</t>
  </si>
  <si>
    <t>Годовая потребность в комплектующих изделиях</t>
  </si>
  <si>
    <t>Пм</t>
  </si>
  <si>
    <t>Пк</t>
  </si>
  <si>
    <t>Годовая потребность в материалах</t>
  </si>
  <si>
    <t>И</t>
  </si>
  <si>
    <t>Наименование показателей</t>
  </si>
  <si>
    <t>Усл. Обозначение</t>
  </si>
  <si>
    <t>4-й год</t>
  </si>
  <si>
    <t>3-й год</t>
  </si>
  <si>
    <t>2-й год</t>
  </si>
  <si>
    <t>1-й год</t>
  </si>
  <si>
    <t>Результат</t>
  </si>
  <si>
    <t>Прирост чистой прибыли</t>
  </si>
  <si>
    <t>коэффициент дисконтирования</t>
  </si>
  <si>
    <t>Результат с учетом фактроа времени</t>
  </si>
  <si>
    <t>Затраты (инвестиции)</t>
  </si>
  <si>
    <t>Инвестиции в разработку нового изделия</t>
  </si>
  <si>
    <t>Инвестиции в собственный оборотный капитал</t>
  </si>
  <si>
    <t>Общая сумма инвестиций</t>
  </si>
  <si>
    <t>Инвестиции с учетом фактора времени</t>
  </si>
  <si>
    <t>Чистыый дисконтированный доход по годам</t>
  </si>
  <si>
    <t>ЧДД нарастающим итогом</t>
  </si>
  <si>
    <t>Рt</t>
  </si>
  <si>
    <t>РtАt</t>
  </si>
  <si>
    <t>At</t>
  </si>
  <si>
    <t>Иразр</t>
  </si>
  <si>
    <t>Иоб</t>
  </si>
  <si>
    <t>ИtAt</t>
  </si>
  <si>
    <t>ЧДДt</t>
  </si>
  <si>
    <t>ЧДД</t>
  </si>
  <si>
    <t>Прирост резульата</t>
  </si>
  <si>
    <t>Рентабильность инвестиций</t>
  </si>
  <si>
    <t>Ри</t>
  </si>
  <si>
    <t>Припой ПОС 61 ГОСТ 21931-76 (https://belchip.by/product/?selected_product=10202)</t>
  </si>
  <si>
    <t>куб.см.</t>
  </si>
  <si>
    <t>Паяльная паста LF-4300 Amtech (https://www.chipdip.by/product/lf-4300-tf)</t>
  </si>
  <si>
    <t>л</t>
  </si>
  <si>
    <t>Лак UREYAN clear (http://formodel.by/sprei_cramolin/laki_cramolin)</t>
  </si>
  <si>
    <t>Плановая прибыль на единицу продукции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</si>
</sst>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topLeftCell="A34" zoomScale="85" zoomScaleNormal="85" workbookViewId="0">
      <selection activeCell="C69" sqref="C69"/>
    </sheetView>
  </sheetViews>
  <sheetFormatPr defaultRowHeight="15" x14ac:dyDescent="0.25"/>
  <cols>
    <col min="1" max="1" width="43" customWidth="1"/>
    <col min="2" max="2" width="21.85546875" customWidth="1"/>
    <col min="3" max="3" width="16.85546875" customWidth="1"/>
    <col min="4" max="4" width="17.28515625" customWidth="1"/>
    <col min="5" max="5" width="14.7109375" customWidth="1"/>
    <col min="6" max="6" width="18.42578125" customWidth="1"/>
    <col min="7" max="7" width="49.42578125" customWidth="1"/>
    <col min="8" max="8" width="29.140625" customWidth="1"/>
    <col min="9" max="9" width="21" customWidth="1"/>
    <col min="10" max="10" width="25.5703125" customWidth="1"/>
    <col min="11" max="11" width="22" customWidth="1"/>
    <col min="12" max="12" width="14.5703125" customWidth="1"/>
    <col min="13" max="13" width="22.7109375" customWidth="1"/>
  </cols>
  <sheetData>
    <row r="1" spans="1:11" ht="18.75" x14ac:dyDescent="0.3">
      <c r="A1" s="1" t="s">
        <v>0</v>
      </c>
      <c r="B1" s="1" t="s">
        <v>1</v>
      </c>
      <c r="C1" s="1" t="s">
        <v>2</v>
      </c>
      <c r="D1" s="1" t="s">
        <v>3</v>
      </c>
      <c r="G1" s="2" t="s">
        <v>46</v>
      </c>
      <c r="H1" s="2" t="s">
        <v>47</v>
      </c>
      <c r="I1" s="2" t="s">
        <v>48</v>
      </c>
      <c r="J1" s="2" t="s">
        <v>4</v>
      </c>
      <c r="K1" s="2" t="s">
        <v>3</v>
      </c>
    </row>
    <row r="2" spans="1:11" x14ac:dyDescent="0.25">
      <c r="A2" s="3" t="s">
        <v>5</v>
      </c>
      <c r="B2" s="3">
        <v>2</v>
      </c>
      <c r="C2" s="3">
        <v>0.14000000000000001</v>
      </c>
      <c r="D2" s="4">
        <f>C2*B2</f>
        <v>0.28000000000000003</v>
      </c>
      <c r="G2" s="3" t="s">
        <v>49</v>
      </c>
      <c r="H2" s="3" t="s">
        <v>50</v>
      </c>
      <c r="I2" s="3">
        <v>0.5</v>
      </c>
      <c r="J2" s="3">
        <v>5</v>
      </c>
      <c r="K2" s="3">
        <f>I2*J2</f>
        <v>2.5</v>
      </c>
    </row>
    <row r="3" spans="1:11" x14ac:dyDescent="0.25">
      <c r="A3" s="3" t="s">
        <v>7</v>
      </c>
      <c r="B3" s="3">
        <v>1</v>
      </c>
      <c r="C3" s="3">
        <v>0.09</v>
      </c>
      <c r="D3" s="4">
        <f t="shared" ref="D3:D45" si="0">C3*B3</f>
        <v>0.09</v>
      </c>
      <c r="G3" s="3" t="s">
        <v>134</v>
      </c>
      <c r="H3" s="3" t="s">
        <v>50</v>
      </c>
      <c r="I3" s="3">
        <v>0.01</v>
      </c>
      <c r="J3" s="3">
        <v>130</v>
      </c>
      <c r="K3" s="3">
        <f t="shared" ref="K3:K5" si="1">I3*J3</f>
        <v>1.3</v>
      </c>
    </row>
    <row r="4" spans="1:11" x14ac:dyDescent="0.25">
      <c r="A4" s="3" t="s">
        <v>6</v>
      </c>
      <c r="B4" s="3">
        <v>2</v>
      </c>
      <c r="C4" s="3">
        <v>0.14000000000000001</v>
      </c>
      <c r="D4" s="4">
        <f t="shared" si="0"/>
        <v>0.28000000000000003</v>
      </c>
      <c r="G4" s="3" t="s">
        <v>136</v>
      </c>
      <c r="H4" s="3" t="s">
        <v>135</v>
      </c>
      <c r="I4" s="3">
        <v>0.3</v>
      </c>
      <c r="J4" s="3">
        <v>4.7</v>
      </c>
      <c r="K4" s="3">
        <f t="shared" si="1"/>
        <v>1.41</v>
      </c>
    </row>
    <row r="5" spans="1:11" x14ac:dyDescent="0.25">
      <c r="A5" s="3" t="s">
        <v>8</v>
      </c>
      <c r="B5" s="3">
        <v>1</v>
      </c>
      <c r="C5" s="3">
        <v>2.7</v>
      </c>
      <c r="D5" s="4">
        <f t="shared" si="0"/>
        <v>2.7</v>
      </c>
      <c r="G5" s="3" t="s">
        <v>138</v>
      </c>
      <c r="H5" s="3" t="s">
        <v>137</v>
      </c>
      <c r="I5" s="3">
        <v>0.02</v>
      </c>
      <c r="J5" s="3">
        <v>60</v>
      </c>
      <c r="K5" s="3">
        <f t="shared" si="1"/>
        <v>1.2</v>
      </c>
    </row>
    <row r="6" spans="1:11" x14ac:dyDescent="0.25">
      <c r="A6" s="3" t="s">
        <v>9</v>
      </c>
      <c r="B6" s="3">
        <v>3</v>
      </c>
      <c r="C6" s="3">
        <v>0.08</v>
      </c>
      <c r="D6" s="4">
        <f t="shared" si="0"/>
        <v>0.24</v>
      </c>
      <c r="G6" s="3" t="s">
        <v>52</v>
      </c>
      <c r="H6" s="3"/>
      <c r="I6" s="3"/>
      <c r="J6" s="3"/>
      <c r="K6" s="3">
        <f>SUM(K2:K5)</f>
        <v>6.41</v>
      </c>
    </row>
    <row r="7" spans="1:11" x14ac:dyDescent="0.25">
      <c r="A7" s="3" t="s">
        <v>10</v>
      </c>
      <c r="B7" s="3">
        <v>2</v>
      </c>
      <c r="C7" s="3">
        <v>0.08</v>
      </c>
      <c r="D7" s="4">
        <f t="shared" si="0"/>
        <v>0.16</v>
      </c>
      <c r="G7" s="3" t="s">
        <v>55</v>
      </c>
      <c r="H7" s="3"/>
      <c r="I7" s="3"/>
      <c r="J7" s="3"/>
      <c r="K7" s="4">
        <f>K6*0.1</f>
        <v>0.64100000000000001</v>
      </c>
    </row>
    <row r="8" spans="1:11" x14ac:dyDescent="0.25">
      <c r="A8" s="3" t="s">
        <v>11</v>
      </c>
      <c r="B8" s="3">
        <v>1</v>
      </c>
      <c r="C8" s="3">
        <v>0.63</v>
      </c>
      <c r="D8" s="4">
        <f t="shared" si="0"/>
        <v>0.63</v>
      </c>
      <c r="G8" s="3" t="s">
        <v>56</v>
      </c>
      <c r="H8" s="3"/>
      <c r="I8" s="3"/>
      <c r="J8" s="3"/>
      <c r="K8" s="4">
        <f>K7+K6</f>
        <v>7.0510000000000002</v>
      </c>
    </row>
    <row r="9" spans="1:11" x14ac:dyDescent="0.25">
      <c r="A9" s="3" t="s">
        <v>12</v>
      </c>
      <c r="B9" s="3">
        <v>1</v>
      </c>
      <c r="C9" s="3">
        <v>0.72</v>
      </c>
      <c r="D9" s="4">
        <f t="shared" si="0"/>
        <v>0.72</v>
      </c>
      <c r="G9" s="3" t="s">
        <v>57</v>
      </c>
      <c r="H9" s="3"/>
      <c r="I9" s="3"/>
      <c r="J9" s="3"/>
      <c r="K9" s="4">
        <f>K8*0.01</f>
        <v>7.0510000000000003E-2</v>
      </c>
    </row>
    <row r="10" spans="1:11" x14ac:dyDescent="0.25">
      <c r="A10" s="3" t="s">
        <v>13</v>
      </c>
      <c r="B10" s="3">
        <v>2</v>
      </c>
      <c r="C10" s="3">
        <v>0.2</v>
      </c>
      <c r="D10" s="4">
        <f t="shared" si="0"/>
        <v>0.4</v>
      </c>
    </row>
    <row r="11" spans="1:11" x14ac:dyDescent="0.25">
      <c r="A11" s="3" t="s">
        <v>14</v>
      </c>
      <c r="B11" s="3">
        <v>1</v>
      </c>
      <c r="C11" s="3">
        <v>0.23</v>
      </c>
      <c r="D11" s="4">
        <f t="shared" si="0"/>
        <v>0.23</v>
      </c>
    </row>
    <row r="12" spans="1:11" x14ac:dyDescent="0.25">
      <c r="A12" s="3" t="s">
        <v>15</v>
      </c>
      <c r="B12" s="3">
        <v>1</v>
      </c>
      <c r="C12" s="3">
        <v>0.85</v>
      </c>
      <c r="D12" s="4">
        <f t="shared" si="0"/>
        <v>0.85</v>
      </c>
    </row>
    <row r="13" spans="1:11" x14ac:dyDescent="0.25">
      <c r="A13" s="3" t="s">
        <v>16</v>
      </c>
      <c r="B13" s="3">
        <v>1</v>
      </c>
      <c r="C13" s="3">
        <v>0.56000000000000005</v>
      </c>
      <c r="D13" s="4">
        <f t="shared" si="0"/>
        <v>0.56000000000000005</v>
      </c>
    </row>
    <row r="14" spans="1:11" x14ac:dyDescent="0.25">
      <c r="A14" s="3" t="s">
        <v>17</v>
      </c>
      <c r="B14" s="3">
        <v>1</v>
      </c>
      <c r="C14" s="3">
        <v>0.24</v>
      </c>
      <c r="D14" s="4">
        <f t="shared" si="0"/>
        <v>0.24</v>
      </c>
    </row>
    <row r="15" spans="1:11" x14ac:dyDescent="0.25">
      <c r="A15" s="3" t="s">
        <v>18</v>
      </c>
      <c r="B15" s="3">
        <v>1</v>
      </c>
      <c r="C15" s="3">
        <v>9.6999999999999993</v>
      </c>
      <c r="D15" s="4">
        <f t="shared" si="0"/>
        <v>9.6999999999999993</v>
      </c>
    </row>
    <row r="16" spans="1:11" x14ac:dyDescent="0.25">
      <c r="A16" s="3" t="s">
        <v>19</v>
      </c>
      <c r="B16" s="3">
        <v>1</v>
      </c>
      <c r="C16" s="3">
        <v>0.18</v>
      </c>
      <c r="D16" s="4">
        <f t="shared" si="0"/>
        <v>0.18</v>
      </c>
    </row>
    <row r="17" spans="1:13" x14ac:dyDescent="0.25">
      <c r="A17" s="3" t="s">
        <v>20</v>
      </c>
      <c r="B17" s="3">
        <v>1</v>
      </c>
      <c r="C17" s="3">
        <v>0.18</v>
      </c>
      <c r="D17" s="4">
        <f t="shared" si="0"/>
        <v>0.18</v>
      </c>
      <c r="G17" s="3" t="s">
        <v>69</v>
      </c>
      <c r="H17" s="3">
        <v>2</v>
      </c>
      <c r="I17" s="3"/>
      <c r="J17" s="3" t="s">
        <v>72</v>
      </c>
      <c r="K17" s="3">
        <v>1.8</v>
      </c>
    </row>
    <row r="18" spans="1:13" x14ac:dyDescent="0.25">
      <c r="A18" s="3" t="s">
        <v>21</v>
      </c>
      <c r="B18" s="3">
        <v>1</v>
      </c>
      <c r="C18" s="3">
        <v>0.38</v>
      </c>
      <c r="D18" s="4">
        <f t="shared" si="0"/>
        <v>0.38</v>
      </c>
    </row>
    <row r="19" spans="1:13" x14ac:dyDescent="0.25">
      <c r="A19" s="3" t="s">
        <v>22</v>
      </c>
      <c r="B19" s="3">
        <v>1</v>
      </c>
      <c r="C19" s="3">
        <v>0.42</v>
      </c>
      <c r="D19" s="4">
        <f t="shared" si="0"/>
        <v>0.42</v>
      </c>
      <c r="G19" s="3" t="s">
        <v>58</v>
      </c>
      <c r="H19" s="3" t="s">
        <v>59</v>
      </c>
      <c r="I19" s="3" t="s">
        <v>70</v>
      </c>
      <c r="J19" s="3" t="s">
        <v>71</v>
      </c>
      <c r="K19" s="3" t="s">
        <v>60</v>
      </c>
      <c r="L19" s="3" t="s">
        <v>61</v>
      </c>
      <c r="M19" s="3" t="s">
        <v>62</v>
      </c>
    </row>
    <row r="20" spans="1:13" x14ac:dyDescent="0.25">
      <c r="A20" s="3" t="s">
        <v>25</v>
      </c>
      <c r="B20" s="3">
        <v>1</v>
      </c>
      <c r="C20" s="3">
        <v>0.1</v>
      </c>
      <c r="D20" s="4">
        <f t="shared" si="0"/>
        <v>0.1</v>
      </c>
      <c r="G20" s="3" t="s">
        <v>63</v>
      </c>
      <c r="H20" s="3">
        <v>2</v>
      </c>
      <c r="I20" s="3">
        <v>10</v>
      </c>
      <c r="J20" s="3">
        <v>1.1599999999999999</v>
      </c>
      <c r="K20" s="3">
        <f>$K$17*J20</f>
        <v>2.0880000000000001</v>
      </c>
      <c r="L20" s="3">
        <f>$H$17*I20/100</f>
        <v>0.2</v>
      </c>
      <c r="M20" s="4">
        <f>L20*K20</f>
        <v>0.41760000000000003</v>
      </c>
    </row>
    <row r="21" spans="1:13" x14ac:dyDescent="0.25">
      <c r="A21" s="3" t="s">
        <v>24</v>
      </c>
      <c r="B21" s="3">
        <v>1</v>
      </c>
      <c r="C21" s="3">
        <v>0.1</v>
      </c>
      <c r="D21" s="4">
        <f t="shared" si="0"/>
        <v>0.1</v>
      </c>
      <c r="G21" s="3" t="s">
        <v>64</v>
      </c>
      <c r="H21" s="3">
        <v>6</v>
      </c>
      <c r="I21" s="3">
        <v>30</v>
      </c>
      <c r="J21" s="3">
        <v>1.9</v>
      </c>
      <c r="K21" s="3">
        <f>$K$17*J21</f>
        <v>3.42</v>
      </c>
      <c r="L21" s="3">
        <f>$H$17*I21/100</f>
        <v>0.6</v>
      </c>
      <c r="M21" s="4">
        <f t="shared" ref="M21:M23" si="2">L21*K21</f>
        <v>2.052</v>
      </c>
    </row>
    <row r="22" spans="1:13" x14ac:dyDescent="0.25">
      <c r="A22" s="3" t="s">
        <v>23</v>
      </c>
      <c r="B22" s="3">
        <v>1</v>
      </c>
      <c r="C22" s="3">
        <v>0.05</v>
      </c>
      <c r="D22" s="4">
        <f t="shared" si="0"/>
        <v>0.05</v>
      </c>
      <c r="G22" s="3" t="s">
        <v>65</v>
      </c>
      <c r="H22" s="3">
        <v>6</v>
      </c>
      <c r="I22" s="3">
        <v>20</v>
      </c>
      <c r="J22" s="3">
        <v>1.9</v>
      </c>
      <c r="K22" s="3">
        <f>$K$17*J22</f>
        <v>3.42</v>
      </c>
      <c r="L22" s="3">
        <f>$H$17*I22/100</f>
        <v>0.4</v>
      </c>
      <c r="M22" s="4">
        <f t="shared" si="2"/>
        <v>1.3680000000000001</v>
      </c>
    </row>
    <row r="23" spans="1:13" x14ac:dyDescent="0.25">
      <c r="A23" s="3" t="s">
        <v>26</v>
      </c>
      <c r="B23" s="3">
        <v>1</v>
      </c>
      <c r="C23" s="3">
        <v>0.1</v>
      </c>
      <c r="D23" s="4">
        <f t="shared" si="0"/>
        <v>0.1</v>
      </c>
      <c r="G23" s="3" t="s">
        <v>68</v>
      </c>
      <c r="H23" s="3">
        <v>8</v>
      </c>
      <c r="I23" s="3">
        <v>40</v>
      </c>
      <c r="J23" s="3">
        <v>2.17</v>
      </c>
      <c r="K23" s="3">
        <f>$K$17*J23</f>
        <v>3.9060000000000001</v>
      </c>
      <c r="L23" s="3">
        <f>$H$17*I23/100</f>
        <v>0.8</v>
      </c>
      <c r="M23" s="4">
        <f t="shared" si="2"/>
        <v>3.1248000000000005</v>
      </c>
    </row>
    <row r="24" spans="1:13" x14ac:dyDescent="0.25">
      <c r="A24" s="3" t="s">
        <v>27</v>
      </c>
      <c r="B24" s="3">
        <v>1</v>
      </c>
      <c r="C24" s="3">
        <v>0.04</v>
      </c>
      <c r="D24" s="4">
        <f t="shared" si="0"/>
        <v>0.04</v>
      </c>
      <c r="G24" s="3" t="s">
        <v>66</v>
      </c>
      <c r="H24" s="3"/>
      <c r="I24" s="3"/>
      <c r="J24" s="3"/>
      <c r="K24" s="3"/>
      <c r="L24" s="3"/>
      <c r="M24" s="4">
        <f>SUM(M20:M23)</f>
        <v>6.9624000000000006</v>
      </c>
    </row>
    <row r="25" spans="1:13" x14ac:dyDescent="0.25">
      <c r="A25" s="3" t="s">
        <v>28</v>
      </c>
      <c r="B25" s="3">
        <v>1</v>
      </c>
      <c r="C25" s="3">
        <v>0.04</v>
      </c>
      <c r="D25" s="4">
        <f t="shared" si="0"/>
        <v>0.04</v>
      </c>
      <c r="G25" s="3" t="s">
        <v>77</v>
      </c>
      <c r="H25" s="3"/>
      <c r="I25" s="3"/>
      <c r="J25" s="3"/>
      <c r="K25" s="3"/>
      <c r="L25" s="3"/>
      <c r="M25" s="4">
        <f>M24*0.15</f>
        <v>1.04436</v>
      </c>
    </row>
    <row r="26" spans="1:13" x14ac:dyDescent="0.25">
      <c r="A26" s="3" t="s">
        <v>29</v>
      </c>
      <c r="B26" s="3">
        <v>1</v>
      </c>
      <c r="C26" s="3">
        <v>0.04</v>
      </c>
      <c r="D26" s="4">
        <f t="shared" si="0"/>
        <v>0.04</v>
      </c>
      <c r="G26" s="3" t="s">
        <v>67</v>
      </c>
      <c r="H26" s="3"/>
      <c r="I26" s="3"/>
      <c r="J26" s="3"/>
      <c r="K26" s="3"/>
      <c r="L26" s="3"/>
      <c r="M26" s="4">
        <f>M25+M24</f>
        <v>8.0067599999999999</v>
      </c>
    </row>
    <row r="27" spans="1:13" x14ac:dyDescent="0.25">
      <c r="A27" s="3" t="s">
        <v>30</v>
      </c>
      <c r="B27" s="3">
        <v>1</v>
      </c>
      <c r="C27" s="3">
        <v>0.04</v>
      </c>
      <c r="D27" s="4">
        <f t="shared" si="0"/>
        <v>0.04</v>
      </c>
    </row>
    <row r="28" spans="1:13" x14ac:dyDescent="0.25">
      <c r="A28" s="3" t="s">
        <v>31</v>
      </c>
      <c r="B28" s="3">
        <v>1</v>
      </c>
      <c r="C28" s="3">
        <v>0.04</v>
      </c>
      <c r="D28" s="4">
        <f t="shared" si="0"/>
        <v>0.04</v>
      </c>
    </row>
    <row r="29" spans="1:13" x14ac:dyDescent="0.25">
      <c r="A29" s="3" t="s">
        <v>32</v>
      </c>
      <c r="B29" s="3">
        <v>1</v>
      </c>
      <c r="C29" s="3">
        <v>0.04</v>
      </c>
      <c r="D29" s="4">
        <f t="shared" si="0"/>
        <v>0.04</v>
      </c>
    </row>
    <row r="30" spans="1:13" ht="18.75" x14ac:dyDescent="0.3">
      <c r="A30" s="3" t="s">
        <v>33</v>
      </c>
      <c r="B30" s="3">
        <v>1</v>
      </c>
      <c r="C30" s="3">
        <v>0.04</v>
      </c>
      <c r="D30" s="4">
        <f t="shared" si="0"/>
        <v>0.04</v>
      </c>
      <c r="G30" s="2" t="s">
        <v>78</v>
      </c>
      <c r="H30" s="2" t="s">
        <v>79</v>
      </c>
      <c r="I30" s="2" t="s">
        <v>97</v>
      </c>
      <c r="J30" s="2" t="s">
        <v>98</v>
      </c>
    </row>
    <row r="31" spans="1:13" x14ac:dyDescent="0.25">
      <c r="A31" s="3" t="s">
        <v>34</v>
      </c>
      <c r="B31" s="3">
        <v>1</v>
      </c>
      <c r="C31" s="3">
        <v>0.04</v>
      </c>
      <c r="D31" s="4">
        <f t="shared" si="0"/>
        <v>0.04</v>
      </c>
      <c r="G31" s="3" t="s">
        <v>73</v>
      </c>
      <c r="H31" s="3" t="s">
        <v>86</v>
      </c>
      <c r="I31" s="4">
        <f>K8-K9</f>
        <v>6.9804900000000005</v>
      </c>
      <c r="J31" s="3"/>
    </row>
    <row r="32" spans="1:13" x14ac:dyDescent="0.25">
      <c r="A32" s="3" t="s">
        <v>35</v>
      </c>
      <c r="B32" s="3">
        <v>1</v>
      </c>
      <c r="C32" s="3">
        <v>0.04</v>
      </c>
      <c r="D32" s="4">
        <f t="shared" si="0"/>
        <v>0.04</v>
      </c>
      <c r="G32" s="3" t="s">
        <v>74</v>
      </c>
      <c r="H32" s="3" t="s">
        <v>87</v>
      </c>
      <c r="I32" s="4">
        <f>D48</f>
        <v>31.792199999999994</v>
      </c>
      <c r="J32" s="3"/>
    </row>
    <row r="33" spans="1:10" x14ac:dyDescent="0.25">
      <c r="A33" s="3" t="s">
        <v>36</v>
      </c>
      <c r="B33" s="3">
        <v>1</v>
      </c>
      <c r="C33" s="3">
        <v>0.04</v>
      </c>
      <c r="D33" s="4">
        <f t="shared" si="0"/>
        <v>0.04</v>
      </c>
      <c r="G33" s="3" t="s">
        <v>75</v>
      </c>
      <c r="H33" s="3" t="s">
        <v>88</v>
      </c>
      <c r="I33" s="4">
        <f>M26</f>
        <v>8.0067599999999999</v>
      </c>
      <c r="J33" s="3"/>
    </row>
    <row r="34" spans="1:10" x14ac:dyDescent="0.25">
      <c r="A34" s="3" t="s">
        <v>37</v>
      </c>
      <c r="B34" s="3">
        <v>4</v>
      </c>
      <c r="C34" s="3">
        <v>0.04</v>
      </c>
      <c r="D34" s="4">
        <f t="shared" si="0"/>
        <v>0.16</v>
      </c>
      <c r="G34" s="3" t="s">
        <v>76</v>
      </c>
      <c r="H34" s="3" t="s">
        <v>89</v>
      </c>
      <c r="I34" s="4">
        <f>M26*0.15</f>
        <v>1.201014</v>
      </c>
      <c r="J34" s="3"/>
    </row>
    <row r="35" spans="1:10" x14ac:dyDescent="0.25">
      <c r="A35" s="3" t="s">
        <v>38</v>
      </c>
      <c r="B35" s="3">
        <v>2</v>
      </c>
      <c r="C35" s="3">
        <v>0.04</v>
      </c>
      <c r="D35" s="4">
        <f t="shared" si="0"/>
        <v>0.08</v>
      </c>
      <c r="G35" s="3" t="s">
        <v>80</v>
      </c>
      <c r="H35" s="3" t="s">
        <v>90</v>
      </c>
      <c r="I35" s="4">
        <f>(I33+I34)*0.346</f>
        <v>3.1858898039999999</v>
      </c>
      <c r="J35" s="3"/>
    </row>
    <row r="36" spans="1:10" x14ac:dyDescent="0.25">
      <c r="A36" s="3" t="s">
        <v>39</v>
      </c>
      <c r="B36" s="3">
        <v>1</v>
      </c>
      <c r="C36" s="3">
        <v>0.04</v>
      </c>
      <c r="D36" s="4">
        <f t="shared" si="0"/>
        <v>0.04</v>
      </c>
      <c r="G36" s="3" t="s">
        <v>81</v>
      </c>
      <c r="H36" s="3" t="s">
        <v>91</v>
      </c>
      <c r="I36" s="4">
        <f>I33*1.5</f>
        <v>12.01014</v>
      </c>
      <c r="J36" s="3"/>
    </row>
    <row r="37" spans="1:10" x14ac:dyDescent="0.25">
      <c r="A37" s="3" t="s">
        <v>40</v>
      </c>
      <c r="B37" s="3">
        <v>1</v>
      </c>
      <c r="C37" s="3">
        <v>0.04</v>
      </c>
      <c r="D37" s="4">
        <f t="shared" si="0"/>
        <v>0.04</v>
      </c>
      <c r="G37" s="3" t="s">
        <v>82</v>
      </c>
      <c r="H37" s="3" t="s">
        <v>92</v>
      </c>
      <c r="I37" s="4">
        <f>SUM(I31:I36)</f>
        <v>63.176493803999996</v>
      </c>
      <c r="J37" s="3"/>
    </row>
    <row r="38" spans="1:10" x14ac:dyDescent="0.25">
      <c r="A38" s="3" t="s">
        <v>41</v>
      </c>
      <c r="B38" s="3">
        <v>1</v>
      </c>
      <c r="C38" s="3">
        <v>0.38</v>
      </c>
      <c r="D38" s="4">
        <f t="shared" si="0"/>
        <v>0.38</v>
      </c>
      <c r="G38" s="3" t="s">
        <v>83</v>
      </c>
      <c r="H38" s="3" t="s">
        <v>93</v>
      </c>
      <c r="I38" s="4">
        <f>I37*0.03</f>
        <v>1.8952948141199999</v>
      </c>
      <c r="J38" s="3"/>
    </row>
    <row r="39" spans="1:10" x14ac:dyDescent="0.25">
      <c r="A39" s="3" t="s">
        <v>42</v>
      </c>
      <c r="B39" s="3">
        <v>1</v>
      </c>
      <c r="C39" s="3">
        <v>0.42</v>
      </c>
      <c r="D39" s="4">
        <f t="shared" si="0"/>
        <v>0.42</v>
      </c>
      <c r="G39" s="3" t="s">
        <v>84</v>
      </c>
      <c r="H39" s="3" t="s">
        <v>94</v>
      </c>
      <c r="I39" s="4">
        <f>SUM(I37:I38)</f>
        <v>65.071788618119996</v>
      </c>
      <c r="J39" s="3"/>
    </row>
    <row r="40" spans="1:10" x14ac:dyDescent="0.25">
      <c r="A40" s="3" t="s">
        <v>43</v>
      </c>
      <c r="B40" s="3">
        <v>2</v>
      </c>
      <c r="C40" s="3">
        <v>0.04</v>
      </c>
      <c r="D40" s="4">
        <f t="shared" si="0"/>
        <v>0.08</v>
      </c>
      <c r="G40" s="3" t="s">
        <v>139</v>
      </c>
      <c r="H40" s="3" t="s">
        <v>95</v>
      </c>
      <c r="I40" s="4">
        <f>I39*0.4</f>
        <v>26.028715447248</v>
      </c>
      <c r="J40" s="3"/>
    </row>
    <row r="41" spans="1:10" x14ac:dyDescent="0.25">
      <c r="A41" s="3" t="s">
        <v>44</v>
      </c>
      <c r="B41" s="3">
        <v>1</v>
      </c>
      <c r="C41" s="3">
        <v>0.16</v>
      </c>
      <c r="D41" s="4">
        <f t="shared" si="0"/>
        <v>0.16</v>
      </c>
      <c r="G41" s="3" t="s">
        <v>85</v>
      </c>
      <c r="H41" s="3" t="s">
        <v>96</v>
      </c>
      <c r="I41" s="4">
        <f>SUM(I39:I40)*1.2</f>
        <v>109.3206048784416</v>
      </c>
      <c r="J41" s="3"/>
    </row>
    <row r="42" spans="1:10" x14ac:dyDescent="0.25">
      <c r="A42" s="3" t="s">
        <v>45</v>
      </c>
      <c r="B42" s="3">
        <v>1</v>
      </c>
      <c r="C42" s="3">
        <v>5</v>
      </c>
      <c r="D42" s="4">
        <f t="shared" si="0"/>
        <v>5</v>
      </c>
    </row>
    <row r="43" spans="1:10" x14ac:dyDescent="0.25">
      <c r="A43" s="3" t="s">
        <v>51</v>
      </c>
      <c r="B43" s="3">
        <v>1</v>
      </c>
      <c r="C43" s="3">
        <v>3.26</v>
      </c>
      <c r="D43" s="4">
        <f t="shared" si="0"/>
        <v>3.26</v>
      </c>
    </row>
    <row r="44" spans="1:10" x14ac:dyDescent="0.25">
      <c r="A44" s="3" t="s">
        <v>53</v>
      </c>
      <c r="B44" s="3">
        <v>4</v>
      </c>
      <c r="C44" s="3">
        <v>7.0000000000000007E-2</v>
      </c>
      <c r="D44" s="4">
        <f t="shared" si="0"/>
        <v>0.28000000000000003</v>
      </c>
    </row>
    <row r="45" spans="1:10" x14ac:dyDescent="0.25">
      <c r="A45" s="3" t="s">
        <v>54</v>
      </c>
      <c r="B45" s="3">
        <v>4</v>
      </c>
      <c r="C45" s="3">
        <v>3.0000000000000001E-3</v>
      </c>
      <c r="D45" s="4">
        <f t="shared" si="0"/>
        <v>1.2E-2</v>
      </c>
      <c r="G45" s="3" t="s">
        <v>99</v>
      </c>
      <c r="H45" s="3" t="s">
        <v>100</v>
      </c>
      <c r="I45" s="4">
        <f>1000*I40*0.82</f>
        <v>21343.546666743357</v>
      </c>
    </row>
    <row r="46" spans="1:10" x14ac:dyDescent="0.25">
      <c r="A46" s="3" t="s">
        <v>52</v>
      </c>
      <c r="B46" s="3"/>
      <c r="C46" s="3"/>
      <c r="D46" s="4">
        <f>SUM(D2:D45)</f>
        <v>28.901999999999994</v>
      </c>
      <c r="I46" s="5">
        <f>500*I40*0.82</f>
        <v>10671.773333371679</v>
      </c>
    </row>
    <row r="47" spans="1:10" x14ac:dyDescent="0.25">
      <c r="A47" s="3" t="s">
        <v>55</v>
      </c>
      <c r="B47" s="3"/>
      <c r="C47" s="3"/>
      <c r="D47" s="4">
        <f>D46*0.1</f>
        <v>2.8901999999999997</v>
      </c>
    </row>
    <row r="48" spans="1:10" x14ac:dyDescent="0.25">
      <c r="A48" s="3" t="s">
        <v>56</v>
      </c>
      <c r="B48" s="3"/>
      <c r="C48" s="3"/>
      <c r="D48" s="4">
        <f>D47+D46</f>
        <v>31.792199999999994</v>
      </c>
      <c r="G48" s="3" t="s">
        <v>104</v>
      </c>
      <c r="H48" s="3" t="s">
        <v>102</v>
      </c>
      <c r="I48" s="3">
        <f>1000*I31</f>
        <v>6980.4900000000007</v>
      </c>
      <c r="J48" s="5">
        <f>I48/2</f>
        <v>3490.2450000000003</v>
      </c>
    </row>
    <row r="49" spans="1:10" x14ac:dyDescent="0.25">
      <c r="G49" s="3" t="s">
        <v>101</v>
      </c>
      <c r="H49" s="3" t="s">
        <v>103</v>
      </c>
      <c r="I49" s="3">
        <f>1000*I32</f>
        <v>31792.199999999993</v>
      </c>
      <c r="J49">
        <f>I49/2</f>
        <v>15896.099999999997</v>
      </c>
    </row>
    <row r="52" spans="1:10" x14ac:dyDescent="0.25">
      <c r="C52">
        <v>1</v>
      </c>
      <c r="D52">
        <v>2</v>
      </c>
      <c r="E52">
        <v>3</v>
      </c>
      <c r="F52">
        <v>4</v>
      </c>
    </row>
    <row r="53" spans="1:10" ht="18.75" x14ac:dyDescent="0.3">
      <c r="A53" s="1" t="s">
        <v>106</v>
      </c>
      <c r="B53" s="1" t="s">
        <v>107</v>
      </c>
      <c r="C53" s="1" t="s">
        <v>111</v>
      </c>
      <c r="D53" s="1" t="s">
        <v>110</v>
      </c>
      <c r="E53" s="1" t="s">
        <v>109</v>
      </c>
      <c r="F53" s="1" t="s">
        <v>108</v>
      </c>
    </row>
    <row r="54" spans="1:10" x14ac:dyDescent="0.25">
      <c r="A54" s="3" t="s">
        <v>112</v>
      </c>
      <c r="B54" s="3"/>
      <c r="C54" s="3"/>
      <c r="D54" s="3"/>
      <c r="E54" s="3"/>
      <c r="F54" s="3"/>
    </row>
    <row r="55" spans="1:10" x14ac:dyDescent="0.25">
      <c r="A55" s="4" t="s">
        <v>113</v>
      </c>
      <c r="B55" s="4" t="s">
        <v>100</v>
      </c>
      <c r="C55" s="4">
        <f>$I$46</f>
        <v>10671.773333371679</v>
      </c>
      <c r="D55" s="4">
        <f t="shared" ref="D55:F56" si="3">$I$45</f>
        <v>21343.546666743357</v>
      </c>
      <c r="E55" s="4">
        <f t="shared" si="3"/>
        <v>21343.546666743357</v>
      </c>
      <c r="F55" s="4">
        <f t="shared" si="3"/>
        <v>21343.546666743357</v>
      </c>
    </row>
    <row r="56" spans="1:10" x14ac:dyDescent="0.25">
      <c r="A56" s="4" t="s">
        <v>131</v>
      </c>
      <c r="B56" s="4" t="s">
        <v>123</v>
      </c>
      <c r="C56" s="4">
        <f>$I$45/2</f>
        <v>10671.773333371679</v>
      </c>
      <c r="D56" s="4">
        <f t="shared" si="3"/>
        <v>21343.546666743357</v>
      </c>
      <c r="E56" s="4">
        <f t="shared" si="3"/>
        <v>21343.546666743357</v>
      </c>
      <c r="F56" s="4">
        <f t="shared" si="3"/>
        <v>21343.546666743357</v>
      </c>
    </row>
    <row r="57" spans="1:10" x14ac:dyDescent="0.25">
      <c r="A57" s="4" t="s">
        <v>114</v>
      </c>
      <c r="B57" s="4" t="s">
        <v>125</v>
      </c>
      <c r="C57" s="4">
        <f>1/((1+0.1)^(C52-1))</f>
        <v>1</v>
      </c>
      <c r="D57" s="4">
        <f t="shared" ref="D57:F57" si="4">1/((1+0.1)^(D52-1))</f>
        <v>0.90909090909090906</v>
      </c>
      <c r="E57" s="4">
        <f t="shared" si="4"/>
        <v>0.82644628099173545</v>
      </c>
      <c r="F57" s="4">
        <f t="shared" si="4"/>
        <v>0.75131480090157754</v>
      </c>
    </row>
    <row r="58" spans="1:10" x14ac:dyDescent="0.25">
      <c r="A58" s="4" t="s">
        <v>115</v>
      </c>
      <c r="B58" s="4" t="s">
        <v>124</v>
      </c>
      <c r="C58" s="4">
        <f>C56*C57</f>
        <v>10671.773333371679</v>
      </c>
      <c r="D58" s="4">
        <f t="shared" ref="D58:F58" si="5">D56*D57</f>
        <v>19403.224242493961</v>
      </c>
      <c r="E58" s="4">
        <f t="shared" si="5"/>
        <v>17639.2947659036</v>
      </c>
      <c r="F58" s="4">
        <f t="shared" si="5"/>
        <v>16035.722514457815</v>
      </c>
    </row>
    <row r="59" spans="1:10" x14ac:dyDescent="0.25">
      <c r="A59" s="4" t="s">
        <v>116</v>
      </c>
      <c r="B59" s="4"/>
      <c r="C59" s="4"/>
      <c r="D59" s="4"/>
      <c r="E59" s="4"/>
      <c r="F59" s="4"/>
    </row>
    <row r="60" spans="1:10" x14ac:dyDescent="0.25">
      <c r="A60" s="4" t="s">
        <v>117</v>
      </c>
      <c r="B60" s="4" t="s">
        <v>126</v>
      </c>
      <c r="C60" s="4">
        <f>I39*50</f>
        <v>3253.589430906</v>
      </c>
      <c r="D60" s="4">
        <v>0</v>
      </c>
      <c r="E60" s="4">
        <v>0</v>
      </c>
      <c r="F60" s="4">
        <v>0</v>
      </c>
    </row>
    <row r="61" spans="1:10" x14ac:dyDescent="0.25">
      <c r="A61" s="4" t="s">
        <v>118</v>
      </c>
      <c r="B61" s="4" t="s">
        <v>127</v>
      </c>
      <c r="C61" s="4">
        <f>($J$48+$J$49)*0.4</f>
        <v>7754.5379999999996</v>
      </c>
      <c r="D61" s="4">
        <f>($I$48+$I$49)*0.4</f>
        <v>15509.075999999999</v>
      </c>
      <c r="E61" s="4">
        <f>($I$48+$I$49)*0.4</f>
        <v>15509.075999999999</v>
      </c>
      <c r="F61" s="4">
        <f>($I$48+$I$49)*0.4</f>
        <v>15509.075999999999</v>
      </c>
    </row>
    <row r="62" spans="1:10" x14ac:dyDescent="0.25">
      <c r="A62" s="4" t="s">
        <v>119</v>
      </c>
      <c r="B62" s="4" t="s">
        <v>105</v>
      </c>
      <c r="C62" s="4">
        <f>SUM(C60:C61)</f>
        <v>11008.127430905999</v>
      </c>
      <c r="D62" s="4">
        <f t="shared" ref="D62:F62" si="6">SUM(D60:D61)</f>
        <v>15509.075999999999</v>
      </c>
      <c r="E62" s="4">
        <f t="shared" si="6"/>
        <v>15509.075999999999</v>
      </c>
      <c r="F62" s="4">
        <f t="shared" si="6"/>
        <v>15509.075999999999</v>
      </c>
    </row>
    <row r="63" spans="1:10" x14ac:dyDescent="0.25">
      <c r="A63" s="4" t="s">
        <v>120</v>
      </c>
      <c r="B63" s="4" t="s">
        <v>128</v>
      </c>
      <c r="C63" s="4">
        <f>C62*C57</f>
        <v>11008.127430905999</v>
      </c>
      <c r="D63" s="4">
        <f t="shared" ref="D63:F63" si="7">D62*D57</f>
        <v>14099.159999999998</v>
      </c>
      <c r="E63" s="4">
        <f t="shared" si="7"/>
        <v>12817.418181818181</v>
      </c>
      <c r="F63" s="4">
        <f t="shared" si="7"/>
        <v>11652.198347107435</v>
      </c>
    </row>
    <row r="64" spans="1:10" x14ac:dyDescent="0.25">
      <c r="A64" s="4" t="s">
        <v>121</v>
      </c>
      <c r="B64" s="4" t="s">
        <v>129</v>
      </c>
      <c r="C64" s="4">
        <f>C58-C63</f>
        <v>-336.35409753432032</v>
      </c>
      <c r="D64" s="4">
        <f t="shared" ref="D64:F64" si="8">D58-D63</f>
        <v>5304.0642424939633</v>
      </c>
      <c r="E64" s="4">
        <f t="shared" si="8"/>
        <v>4821.8765840854194</v>
      </c>
      <c r="F64" s="4">
        <f t="shared" si="8"/>
        <v>4383.5241673503806</v>
      </c>
    </row>
    <row r="65" spans="1:6" x14ac:dyDescent="0.25">
      <c r="A65" s="4" t="s">
        <v>122</v>
      </c>
      <c r="B65" s="4" t="s">
        <v>130</v>
      </c>
      <c r="C65" s="4">
        <f>C64</f>
        <v>-336.35409753432032</v>
      </c>
      <c r="D65" s="4">
        <f>C65+D64</f>
        <v>4967.710144959643</v>
      </c>
      <c r="E65" s="4">
        <f>D65+E64</f>
        <v>9789.5867290450624</v>
      </c>
      <c r="F65" s="4">
        <f>E65+F64</f>
        <v>14173.110896395443</v>
      </c>
    </row>
    <row r="69" spans="1:6" x14ac:dyDescent="0.25">
      <c r="A69" s="3" t="s">
        <v>132</v>
      </c>
      <c r="B69" s="3" t="s">
        <v>133</v>
      </c>
      <c r="C69" s="4">
        <f>SUM(C58:F58)/SUM(C63:F63)*100</f>
        <v>128.58813230426577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9" sqref="B19"/>
    </sheetView>
  </sheetViews>
  <sheetFormatPr defaultRowHeight="15" x14ac:dyDescent="0.25"/>
  <cols>
    <col min="1" max="1" width="13.5703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2020-04-18T11:23:29Z</dcterms:modified>
</cp:coreProperties>
</file>