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b716581390e15109/TUKS/2021-3rd year/env/Scripts/MOW323/EXAM/"/>
    </mc:Choice>
  </mc:AlternateContent>
  <xr:revisionPtr revIDLastSave="260" documentId="8_{4192075A-5859-4E12-A147-DDC10DF56B9F}" xr6:coauthVersionLast="47" xr6:coauthVersionMax="47" xr10:uidLastSave="{3C9A6C2A-940B-45BC-9484-838156B9B008}"/>
  <bookViews>
    <workbookView minimized="1" xWindow="1125" yWindow="1125" windowWidth="21600" windowHeight="11385" tabRatio="500" activeTab="7" xr2:uid="{00000000-000D-0000-FFFF-FFFF00000000}"/>
  </bookViews>
  <sheets>
    <sheet name="Strength" sheetId="6" r:id="rId1"/>
    <sheet name="SCF" sheetId="2" r:id="rId2"/>
    <sheet name="Shafts" sheetId="7" r:id="rId3"/>
    <sheet name="Static spring" sheetId="8" r:id="rId4"/>
    <sheet name="Fatigue spring" sheetId="9" r:id="rId5"/>
    <sheet name="list_Nf" sheetId="10" r:id="rId6"/>
    <sheet name="V_M graph" sheetId="11" r:id="rId7"/>
    <sheet name="Q1d" sheetId="15" r:id="rId8"/>
  </sheets>
  <functionGroups builtInGroupCount="19"/>
  <definedNames>
    <definedName name="solver_adj" localSheetId="4" hidden="1">'Fatigue spring'!$B$6:$E$6</definedName>
    <definedName name="solver_adj" localSheetId="1" hidden="1">SCF!$B$84</definedName>
    <definedName name="solver_adj" localSheetId="2" hidden="1">Shafts!$B$12</definedName>
    <definedName name="solver_adj" localSheetId="0" hidden="1">Strength!$B$14:$B$16</definedName>
    <definedName name="solver_adj" localSheetId="6" hidden="1">'V_M graph'!$B$1</definedName>
    <definedName name="solver_cvg" localSheetId="4" hidden="1">0.0001</definedName>
    <definedName name="solver_cvg" localSheetId="1" hidden="1">0.0001</definedName>
    <definedName name="solver_cvg" localSheetId="2" hidden="1">0.0001</definedName>
    <definedName name="solver_cvg" localSheetId="0" hidden="1">0.0001</definedName>
    <definedName name="solver_cvg" localSheetId="6" hidden="1">0.000001</definedName>
    <definedName name="solver_drv" localSheetId="4" hidden="1">1</definedName>
    <definedName name="solver_drv" localSheetId="1" hidden="1">1</definedName>
    <definedName name="solver_drv" localSheetId="2" hidden="1">1</definedName>
    <definedName name="solver_drv" localSheetId="0" hidden="1">1</definedName>
    <definedName name="solver_drv" localSheetId="6" hidden="1">1</definedName>
    <definedName name="solver_eng" localSheetId="4" hidden="1">1</definedName>
    <definedName name="solver_eng" localSheetId="1" hidden="1">1</definedName>
    <definedName name="solver_eng" localSheetId="2" hidden="1">1</definedName>
    <definedName name="solver_eng" localSheetId="0" hidden="1">1</definedName>
    <definedName name="solver_eng" localSheetId="6" hidden="1">1</definedName>
    <definedName name="solver_est" localSheetId="4" hidden="1">1</definedName>
    <definedName name="solver_est" localSheetId="6" hidden="1">1</definedName>
    <definedName name="solver_itr" localSheetId="4" hidden="1">2147483647</definedName>
    <definedName name="solver_itr" localSheetId="1" hidden="1">2147483647</definedName>
    <definedName name="solver_itr" localSheetId="2" hidden="1">2147483647</definedName>
    <definedName name="solver_itr" localSheetId="0" hidden="1">2147483647</definedName>
    <definedName name="solver_itr" localSheetId="6" hidden="1">2147483647</definedName>
    <definedName name="solver_lhs1" localSheetId="4" hidden="1">'Fatigue spring'!$A$64</definedName>
    <definedName name="solver_lhs1" localSheetId="2" hidden="1">Shafts!$B$8</definedName>
    <definedName name="solver_lhs1" localSheetId="0" hidden="1">Strength!$B$20</definedName>
    <definedName name="solver_lhs2" localSheetId="2" hidden="1">Shafts!$B$9</definedName>
    <definedName name="solver_lhs2" localSheetId="0" hidden="1">Strength!$B$21</definedName>
    <definedName name="solver_lin" localSheetId="4" hidden="1">2</definedName>
    <definedName name="solver_lin" localSheetId="1" hidden="1">2</definedName>
    <definedName name="solver_lin" localSheetId="2" hidden="1">2</definedName>
    <definedName name="solver_lin" localSheetId="0" hidden="1">2</definedName>
    <definedName name="solver_mip" localSheetId="4" hidden="1">2147483647</definedName>
    <definedName name="solver_mip" localSheetId="1" hidden="1">2147483647</definedName>
    <definedName name="solver_mip" localSheetId="2" hidden="1">2147483647</definedName>
    <definedName name="solver_mip" localSheetId="0" hidden="1">2147483647</definedName>
    <definedName name="solver_mip" localSheetId="6" hidden="1">2147483647</definedName>
    <definedName name="solver_mni" localSheetId="4" hidden="1">30</definedName>
    <definedName name="solver_mni" localSheetId="1" hidden="1">30</definedName>
    <definedName name="solver_mni" localSheetId="2" hidden="1">30</definedName>
    <definedName name="solver_mni" localSheetId="0" hidden="1">30</definedName>
    <definedName name="solver_mni" localSheetId="6" hidden="1">30</definedName>
    <definedName name="solver_mrt" localSheetId="4" hidden="1">0.075</definedName>
    <definedName name="solver_mrt" localSheetId="1" hidden="1">0.075</definedName>
    <definedName name="solver_mrt" localSheetId="2" hidden="1">0.075</definedName>
    <definedName name="solver_mrt" localSheetId="0" hidden="1">0.075</definedName>
    <definedName name="solver_mrt" localSheetId="6" hidden="1">0.075</definedName>
    <definedName name="solver_msl" localSheetId="4" hidden="1">2</definedName>
    <definedName name="solver_msl" localSheetId="1" hidden="1">2</definedName>
    <definedName name="solver_msl" localSheetId="2" hidden="1">2</definedName>
    <definedName name="solver_msl" localSheetId="0" hidden="1">2</definedName>
    <definedName name="solver_msl" localSheetId="6" hidden="1">2</definedName>
    <definedName name="solver_neg" localSheetId="4" hidden="1">1</definedName>
    <definedName name="solver_neg" localSheetId="1" hidden="1">1</definedName>
    <definedName name="solver_neg" localSheetId="2" hidden="1">1</definedName>
    <definedName name="solver_neg" localSheetId="0" hidden="1">2</definedName>
    <definedName name="solver_neg" localSheetId="6" hidden="1">2</definedName>
    <definedName name="solver_nod" localSheetId="4" hidden="1">2147483647</definedName>
    <definedName name="solver_nod" localSheetId="1" hidden="1">2147483647</definedName>
    <definedName name="solver_nod" localSheetId="2" hidden="1">2147483647</definedName>
    <definedName name="solver_nod" localSheetId="0" hidden="1">2147483647</definedName>
    <definedName name="solver_nod" localSheetId="6" hidden="1">2147483647</definedName>
    <definedName name="solver_num" localSheetId="4" hidden="1">1</definedName>
    <definedName name="solver_num" localSheetId="1" hidden="1">0</definedName>
    <definedName name="solver_num" localSheetId="2" hidden="1">0</definedName>
    <definedName name="solver_num" localSheetId="0" hidden="1">2</definedName>
    <definedName name="solver_num" localSheetId="6" hidden="1">0</definedName>
    <definedName name="solver_nwt" localSheetId="4" hidden="1">1</definedName>
    <definedName name="solver_nwt" localSheetId="6" hidden="1">1</definedName>
    <definedName name="solver_opt" localSheetId="4" hidden="1">'Fatigue spring'!$A$63</definedName>
    <definedName name="solver_opt" localSheetId="1" hidden="1">SCF!$B$86</definedName>
    <definedName name="solver_opt" localSheetId="2" hidden="1">Shafts!$B$21</definedName>
    <definedName name="solver_opt" localSheetId="0" hidden="1">Strength!$B$19</definedName>
    <definedName name="solver_opt" localSheetId="6" hidden="1">'V_M graph'!$E$21</definedName>
    <definedName name="solver_pre" localSheetId="4" hidden="1">0.000001</definedName>
    <definedName name="solver_pre" localSheetId="1" hidden="1">0.000001</definedName>
    <definedName name="solver_pre" localSheetId="2" hidden="1">0.000001</definedName>
    <definedName name="solver_pre" localSheetId="0" hidden="1">0.000001</definedName>
    <definedName name="solver_pre" localSheetId="6" hidden="1">0.000001</definedName>
    <definedName name="solver_rbv" localSheetId="4" hidden="1">1</definedName>
    <definedName name="solver_rbv" localSheetId="1" hidden="1">1</definedName>
    <definedName name="solver_rbv" localSheetId="2" hidden="1">1</definedName>
    <definedName name="solver_rbv" localSheetId="0" hidden="1">1</definedName>
    <definedName name="solver_rbv" localSheetId="6" hidden="1">1</definedName>
    <definedName name="solver_rel1" localSheetId="4" hidden="1">2</definedName>
    <definedName name="solver_rel1" localSheetId="2" hidden="1">1</definedName>
    <definedName name="solver_rel1" localSheetId="0" hidden="1">2</definedName>
    <definedName name="solver_rel2" localSheetId="2" hidden="1">1</definedName>
    <definedName name="solver_rel2" localSheetId="0" hidden="1">2</definedName>
    <definedName name="solver_rhs1" localSheetId="4" hidden="1">0</definedName>
    <definedName name="solver_rhs1" localSheetId="2" hidden="1">300</definedName>
    <definedName name="solver_rhs1" localSheetId="0" hidden="1">-50</definedName>
    <definedName name="solver_rhs2" localSheetId="2" hidden="1">150</definedName>
    <definedName name="solver_rhs2" localSheetId="0" hidden="1">-15</definedName>
    <definedName name="solver_rlx" localSheetId="4" hidden="1">2</definedName>
    <definedName name="solver_rlx" localSheetId="1" hidden="1">1</definedName>
    <definedName name="solver_rlx" localSheetId="2" hidden="1">2</definedName>
    <definedName name="solver_rlx" localSheetId="0" hidden="1">1</definedName>
    <definedName name="solver_rlx" localSheetId="6" hidden="1">2</definedName>
    <definedName name="solver_rsd" localSheetId="4" hidden="1">0</definedName>
    <definedName name="solver_rsd" localSheetId="1" hidden="1">0</definedName>
    <definedName name="solver_rsd" localSheetId="2" hidden="1">0</definedName>
    <definedName name="solver_rsd" localSheetId="0" hidden="1">0</definedName>
    <definedName name="solver_rsd" localSheetId="6" hidden="1">0</definedName>
    <definedName name="solver_scl" localSheetId="4" hidden="1">1</definedName>
    <definedName name="solver_scl" localSheetId="1" hidden="1">2</definedName>
    <definedName name="solver_scl" localSheetId="2" hidden="1">1</definedName>
    <definedName name="solver_scl" localSheetId="0" hidden="1">2</definedName>
    <definedName name="solver_scl" localSheetId="6" hidden="1">1</definedName>
    <definedName name="solver_sho" localSheetId="4" hidden="1">2</definedName>
    <definedName name="solver_sho" localSheetId="1" hidden="1">2</definedName>
    <definedName name="solver_sho" localSheetId="2" hidden="1">2</definedName>
    <definedName name="solver_sho" localSheetId="0" hidden="1">2</definedName>
    <definedName name="solver_sho" localSheetId="6" hidden="1">2</definedName>
    <definedName name="solver_ssz" localSheetId="4" hidden="1">100</definedName>
    <definedName name="solver_ssz" localSheetId="1" hidden="1">100</definedName>
    <definedName name="solver_ssz" localSheetId="2" hidden="1">100</definedName>
    <definedName name="solver_ssz" localSheetId="0" hidden="1">100</definedName>
    <definedName name="solver_ssz" localSheetId="6" hidden="1">100</definedName>
    <definedName name="solver_tim" localSheetId="4" hidden="1">2147483647</definedName>
    <definedName name="solver_tim" localSheetId="1" hidden="1">2147483647</definedName>
    <definedName name="solver_tim" localSheetId="2" hidden="1">2147483647</definedName>
    <definedName name="solver_tim" localSheetId="0" hidden="1">2147483647</definedName>
    <definedName name="solver_tim" localSheetId="6" hidden="1">2147483647</definedName>
    <definedName name="solver_tol" localSheetId="4" hidden="1">0.01</definedName>
    <definedName name="solver_tol" localSheetId="1" hidden="1">0.01</definedName>
    <definedName name="solver_tol" localSheetId="2" hidden="1">0.01</definedName>
    <definedName name="solver_tol" localSheetId="0" hidden="1">0.01</definedName>
    <definedName name="solver_tol" localSheetId="6" hidden="1">0.01</definedName>
    <definedName name="solver_typ" localSheetId="4" hidden="1">3</definedName>
    <definedName name="solver_typ" localSheetId="1" hidden="1">3</definedName>
    <definedName name="solver_typ" localSheetId="2" hidden="1">3</definedName>
    <definedName name="solver_typ" localSheetId="0" hidden="1">3</definedName>
    <definedName name="solver_typ" localSheetId="6" hidden="1">2</definedName>
    <definedName name="solver_val" localSheetId="4" hidden="1">0</definedName>
    <definedName name="solver_val" localSheetId="1" hidden="1">260.291295</definedName>
    <definedName name="solver_val" localSheetId="2" hidden="1">2</definedName>
    <definedName name="solver_val" localSheetId="0" hidden="1">100</definedName>
    <definedName name="solver_val" localSheetId="6" hidden="1">0</definedName>
    <definedName name="solver_ver" localSheetId="4" hidden="1">3</definedName>
    <definedName name="solver_ver" localSheetId="1" hidden="1">2</definedName>
    <definedName name="solver_ver" localSheetId="2" hidden="1">2</definedName>
    <definedName name="solver_ver" localSheetId="0" hidden="1">2</definedName>
    <definedName name="solver_ver" localSheetId="6" hidden="1">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5" l="1"/>
  <c r="B11" i="15"/>
  <c r="B10" i="15"/>
  <c r="B56" i="9"/>
  <c r="B58" i="9" s="1"/>
  <c r="C46" i="9"/>
  <c r="C29" i="9"/>
  <c r="E29" i="9"/>
  <c r="O33" i="7"/>
  <c r="O37" i="7"/>
  <c r="O38" i="7" s="1"/>
  <c r="O35" i="7"/>
  <c r="O36" i="7" s="1"/>
  <c r="O41" i="7" s="1"/>
  <c r="R34" i="7" s="1"/>
  <c r="S34" i="7" s="1"/>
  <c r="B43" i="6"/>
  <c r="O22" i="7"/>
  <c r="O21" i="7"/>
  <c r="O16" i="7"/>
  <c r="B5" i="7" s="1"/>
  <c r="O15" i="7"/>
  <c r="O14" i="7"/>
  <c r="O13" i="7"/>
  <c r="O12" i="7"/>
  <c r="F73" i="6"/>
  <c r="B66" i="6"/>
  <c r="B75" i="6"/>
  <c r="O39" i="7" l="1"/>
  <c r="O40" i="7" s="1"/>
  <c r="O23" i="7"/>
  <c r="O24" i="7"/>
  <c r="B15" i="11"/>
  <c r="B14" i="11"/>
  <c r="B12" i="11"/>
  <c r="B4" i="11"/>
  <c r="C12" i="11"/>
  <c r="A11" i="11" s="1"/>
  <c r="B11" i="11" s="1"/>
  <c r="E10" i="11"/>
  <c r="O43" i="7" l="1"/>
  <c r="O42" i="7"/>
  <c r="R31" i="7"/>
  <c r="D11" i="11"/>
  <c r="C14" i="11"/>
  <c r="A13" i="11" s="1"/>
  <c r="B13" i="11" s="1"/>
  <c r="A57" i="9"/>
  <c r="A59" i="9" s="1"/>
  <c r="O44" i="7" l="1"/>
  <c r="R32" i="7"/>
  <c r="S32" i="7" s="1"/>
  <c r="S31" i="7"/>
  <c r="R33" i="7"/>
  <c r="S33" i="7" s="1"/>
  <c r="C16" i="11"/>
  <c r="A15" i="11" s="1"/>
  <c r="B18" i="11"/>
  <c r="D12" i="11"/>
  <c r="E11" i="11"/>
  <c r="J6" i="9"/>
  <c r="J5" i="9"/>
  <c r="E12" i="11" l="1"/>
  <c r="D13" i="11"/>
  <c r="C18" i="11"/>
  <c r="A17" i="11" s="1"/>
  <c r="B17" i="11" s="1"/>
  <c r="B20" i="11"/>
  <c r="C20" i="11" s="1"/>
  <c r="A19" i="11" s="1"/>
  <c r="B19" i="11"/>
  <c r="B34" i="9"/>
  <c r="D14" i="11" l="1"/>
  <c r="E13" i="11"/>
  <c r="E14" i="11" l="1"/>
  <c r="D15" i="11"/>
  <c r="B15" i="7"/>
  <c r="B16" i="7" s="1"/>
  <c r="D16" i="11" l="1"/>
  <c r="E15" i="11"/>
  <c r="E16" i="11" l="1"/>
  <c r="E21" i="11" s="1"/>
  <c r="D17" i="11"/>
  <c r="B45" i="6"/>
  <c r="B69" i="6"/>
  <c r="D18" i="11" l="1"/>
  <c r="E17" i="11"/>
  <c r="B100" i="6"/>
  <c r="B99" i="6"/>
  <c r="B98" i="6"/>
  <c r="E18" i="11" l="1"/>
  <c r="D19" i="11"/>
  <c r="B47" i="6"/>
  <c r="D20" i="11" l="1"/>
  <c r="E20" i="11" s="1"/>
  <c r="E19" i="11"/>
  <c r="B74" i="6"/>
  <c r="B68" i="6"/>
  <c r="B67" i="6"/>
  <c r="B65" i="6"/>
  <c r="B76" i="6" l="1"/>
  <c r="B77" i="6"/>
  <c r="B37" i="6"/>
  <c r="B19" i="6" l="1"/>
  <c r="B21" i="6"/>
  <c r="B20" i="6"/>
  <c r="C51" i="9" l="1"/>
  <c r="D51" i="9"/>
  <c r="E51" i="9"/>
  <c r="B51" i="9"/>
  <c r="C28" i="9"/>
  <c r="D28" i="9"/>
  <c r="E28" i="9"/>
  <c r="B28" i="9"/>
  <c r="B18" i="7"/>
  <c r="B19" i="7" s="1"/>
  <c r="B21" i="7" s="1"/>
  <c r="B9" i="2"/>
  <c r="B9" i="6" l="1"/>
  <c r="B8" i="6"/>
  <c r="B10" i="6" l="1"/>
  <c r="C34" i="9"/>
  <c r="D34" i="9"/>
  <c r="E34" i="9"/>
  <c r="B33" i="9"/>
  <c r="C33" i="9"/>
  <c r="D33" i="9"/>
  <c r="E33" i="9"/>
  <c r="B32" i="9"/>
  <c r="C32" i="9"/>
  <c r="D32" i="9"/>
  <c r="E32" i="9"/>
  <c r="B29" i="9"/>
  <c r="B52" i="9" s="1"/>
  <c r="C52" i="9"/>
  <c r="D29" i="9"/>
  <c r="D52" i="9" s="1"/>
  <c r="E52" i="9"/>
  <c r="B27" i="9"/>
  <c r="C27" i="9"/>
  <c r="D27" i="9"/>
  <c r="E27" i="9"/>
  <c r="B26" i="9"/>
  <c r="B31" i="9" s="1"/>
  <c r="C26" i="9"/>
  <c r="C31" i="9" s="1"/>
  <c r="D26" i="9"/>
  <c r="D31" i="9" s="1"/>
  <c r="E26" i="9"/>
  <c r="E31" i="9" s="1"/>
  <c r="E37" i="9" s="1"/>
  <c r="B23" i="9"/>
  <c r="C23" i="9"/>
  <c r="C24" i="9" s="1"/>
  <c r="D23" i="9"/>
  <c r="D24" i="9" s="1"/>
  <c r="E23" i="9"/>
  <c r="E25" i="9" l="1"/>
  <c r="E43" i="9" s="1"/>
  <c r="E24" i="9"/>
  <c r="B25" i="9"/>
  <c r="B40" i="9" s="1"/>
  <c r="B24" i="9"/>
  <c r="D25" i="9"/>
  <c r="C25" i="9"/>
  <c r="C35" i="9"/>
  <c r="E35" i="9"/>
  <c r="D35" i="9"/>
  <c r="B35" i="9"/>
  <c r="E30" i="9"/>
  <c r="E48" i="9" s="1"/>
  <c r="E50" i="9" s="1"/>
  <c r="D30" i="9"/>
  <c r="D47" i="9" s="1"/>
  <c r="D49" i="9" s="1"/>
  <c r="C30" i="9"/>
  <c r="C48" i="9" s="1"/>
  <c r="C50" i="9" s="1"/>
  <c r="B30" i="9"/>
  <c r="B53" i="9" s="1"/>
  <c r="B37" i="9"/>
  <c r="D37" i="9"/>
  <c r="B38" i="9"/>
  <c r="B36" i="9"/>
  <c r="C37" i="9"/>
  <c r="C38" i="9"/>
  <c r="C36" i="9"/>
  <c r="D38" i="9"/>
  <c r="D46" i="9" s="1"/>
  <c r="D36" i="9"/>
  <c r="E38" i="9"/>
  <c r="E36" i="9"/>
  <c r="E46" i="9" l="1"/>
  <c r="B43" i="9"/>
  <c r="B44" i="9" s="1"/>
  <c r="B45" i="9" s="1"/>
  <c r="B41" i="9"/>
  <c r="B42" i="9" s="1"/>
  <c r="E40" i="9"/>
  <c r="E41" i="9" s="1"/>
  <c r="E42" i="9" s="1"/>
  <c r="B46" i="9"/>
  <c r="B39" i="9"/>
  <c r="D40" i="9"/>
  <c r="D41" i="9" s="1"/>
  <c r="D42" i="9" s="1"/>
  <c r="D43" i="9"/>
  <c r="D44" i="9" s="1"/>
  <c r="D45" i="9" s="1"/>
  <c r="E44" i="9"/>
  <c r="E45" i="9" s="1"/>
  <c r="C40" i="9"/>
  <c r="C41" i="9" s="1"/>
  <c r="C42" i="9" s="1"/>
  <c r="C43" i="9"/>
  <c r="C44" i="9" s="1"/>
  <c r="C45" i="9" s="1"/>
  <c r="E39" i="9"/>
  <c r="D39" i="9"/>
  <c r="C53" i="9"/>
  <c r="C39" i="9"/>
  <c r="D48" i="9"/>
  <c r="D50" i="9" s="1"/>
  <c r="C47" i="9"/>
  <c r="C49" i="9" s="1"/>
  <c r="E53" i="9"/>
  <c r="E47" i="9"/>
  <c r="E49" i="9" s="1"/>
  <c r="D53" i="9"/>
  <c r="B48" i="9"/>
  <c r="B50" i="9" s="1"/>
  <c r="B47" i="9"/>
  <c r="B49" i="9" s="1"/>
  <c r="C19" i="8"/>
  <c r="D19" i="8"/>
  <c r="E19" i="8"/>
  <c r="F19" i="8"/>
  <c r="G19" i="8"/>
  <c r="H19" i="8"/>
  <c r="I19" i="8"/>
  <c r="B19" i="8"/>
  <c r="C16" i="8"/>
  <c r="C17" i="8" s="1"/>
  <c r="D16" i="8"/>
  <c r="D17" i="8" s="1"/>
  <c r="E16" i="8"/>
  <c r="E17" i="8" s="1"/>
  <c r="F16" i="8"/>
  <c r="F17" i="8" s="1"/>
  <c r="G16" i="8"/>
  <c r="G17" i="8" s="1"/>
  <c r="H16" i="8"/>
  <c r="H17" i="8" s="1"/>
  <c r="I16" i="8"/>
  <c r="I17" i="8" s="1"/>
  <c r="B16" i="8"/>
  <c r="B17" i="8" s="1"/>
  <c r="B29" i="7"/>
  <c r="B25" i="7"/>
  <c r="B24" i="7"/>
  <c r="A61" i="9" l="1"/>
  <c r="C56" i="9"/>
  <c r="C58" i="9" s="1"/>
  <c r="A63" i="9" s="1"/>
  <c r="E56" i="9"/>
  <c r="E58" i="9" s="1"/>
  <c r="D56" i="9"/>
  <c r="D58" i="9" s="1"/>
  <c r="E18" i="8"/>
  <c r="E20" i="8" s="1"/>
  <c r="E21" i="8" s="1"/>
  <c r="H18" i="8"/>
  <c r="H20" i="8" s="1"/>
  <c r="H21" i="8" s="1"/>
  <c r="B18" i="8"/>
  <c r="B20" i="8" s="1"/>
  <c r="B21" i="8" s="1"/>
  <c r="B30" i="8" s="1"/>
  <c r="I18" i="8"/>
  <c r="I20" i="8" s="1"/>
  <c r="I21" i="8" s="1"/>
  <c r="G18" i="8"/>
  <c r="G20" i="8" s="1"/>
  <c r="F18" i="8"/>
  <c r="F20" i="8" s="1"/>
  <c r="F21" i="8" s="1"/>
  <c r="F30" i="8" s="1"/>
  <c r="D18" i="8"/>
  <c r="D20" i="8" s="1"/>
  <c r="D21" i="8" s="1"/>
  <c r="C18" i="8"/>
  <c r="C20" i="8" s="1"/>
  <c r="B26" i="7"/>
  <c r="D86" i="6"/>
  <c r="D87" i="6" s="1"/>
  <c r="D88" i="6" s="1"/>
  <c r="A64" i="9" l="1"/>
  <c r="G21" i="8"/>
  <c r="C21" i="8"/>
  <c r="C30" i="8" s="1"/>
  <c r="I24" i="8"/>
  <c r="I25" i="8" s="1"/>
  <c r="I31" i="8" s="1"/>
  <c r="I22" i="8"/>
  <c r="I30" i="8"/>
  <c r="I23" i="8"/>
  <c r="F23" i="8"/>
  <c r="F22" i="8"/>
  <c r="F24" i="8"/>
  <c r="F25" i="8" s="1"/>
  <c r="F31" i="8" s="1"/>
  <c r="H23" i="8"/>
  <c r="H24" i="8"/>
  <c r="H25" i="8" s="1"/>
  <c r="H27" i="8" s="1"/>
  <c r="H29" i="8" s="1"/>
  <c r="H22" i="8"/>
  <c r="H30" i="8"/>
  <c r="B23" i="8"/>
  <c r="B22" i="8"/>
  <c r="B24" i="8"/>
  <c r="B25" i="8" s="1"/>
  <c r="B31" i="8" s="1"/>
  <c r="D30" i="8"/>
  <c r="D23" i="8"/>
  <c r="E30" i="8"/>
  <c r="E23" i="8"/>
  <c r="D22" i="8"/>
  <c r="E24" i="8"/>
  <c r="E25" i="8" s="1"/>
  <c r="E26" i="8" s="1"/>
  <c r="E28" i="8" s="1"/>
  <c r="D24" i="8"/>
  <c r="D25" i="8" s="1"/>
  <c r="D27" i="8" s="1"/>
  <c r="D29" i="8" s="1"/>
  <c r="E22" i="8"/>
  <c r="B46" i="6"/>
  <c r="B51" i="6" s="1"/>
  <c r="E44" i="6" s="1"/>
  <c r="F44" i="6" s="1"/>
  <c r="I27" i="8" l="1"/>
  <c r="I29" i="8" s="1"/>
  <c r="I26" i="8"/>
  <c r="I28" i="8" s="1"/>
  <c r="G24" i="8"/>
  <c r="G25" i="8" s="1"/>
  <c r="G22" i="8"/>
  <c r="G30" i="8"/>
  <c r="G23" i="8"/>
  <c r="C24" i="8"/>
  <c r="C25" i="8" s="1"/>
  <c r="C22" i="8"/>
  <c r="C23" i="8"/>
  <c r="B26" i="8"/>
  <c r="B28" i="8" s="1"/>
  <c r="B27" i="8"/>
  <c r="B29" i="8" s="1"/>
  <c r="H26" i="8"/>
  <c r="H28" i="8" s="1"/>
  <c r="H31" i="8"/>
  <c r="F27" i="8"/>
  <c r="F29" i="8" s="1"/>
  <c r="D31" i="8"/>
  <c r="F26" i="8"/>
  <c r="F28" i="8" s="1"/>
  <c r="E31" i="8"/>
  <c r="E27" i="8"/>
  <c r="E29" i="8" s="1"/>
  <c r="D26" i="8"/>
  <c r="D28" i="8" s="1"/>
  <c r="B111" i="6"/>
  <c r="C109" i="6"/>
  <c r="C108" i="6"/>
  <c r="C107" i="6"/>
  <c r="B86" i="6"/>
  <c r="B87" i="6" s="1"/>
  <c r="B88" i="6" s="1"/>
  <c r="B29" i="6"/>
  <c r="B30" i="6"/>
  <c r="B67" i="2"/>
  <c r="B60" i="2"/>
  <c r="B57" i="2"/>
  <c r="B59" i="2" s="1"/>
  <c r="C68" i="2"/>
  <c r="B68" i="2"/>
  <c r="G31" i="8" l="1"/>
  <c r="G26" i="8"/>
  <c r="G28" i="8" s="1"/>
  <c r="G27" i="8"/>
  <c r="G29" i="8" s="1"/>
  <c r="C26" i="8"/>
  <c r="C28" i="8" s="1"/>
  <c r="C27" i="8"/>
  <c r="C29" i="8" s="1"/>
  <c r="C31" i="8"/>
  <c r="B112" i="6"/>
  <c r="B48" i="6"/>
  <c r="B49" i="6" s="1"/>
  <c r="B50" i="6" s="1"/>
  <c r="E41" i="6" s="1"/>
  <c r="B33" i="6"/>
  <c r="B32" i="6"/>
  <c r="B69" i="2"/>
  <c r="B36" i="6" l="1"/>
  <c r="E43" i="6"/>
  <c r="F43" i="6" s="1"/>
  <c r="E42" i="6"/>
  <c r="F42" i="6" s="1"/>
  <c r="F41" i="6"/>
  <c r="B52" i="6"/>
  <c r="B53" i="6"/>
  <c r="B48" i="2"/>
  <c r="B39" i="2"/>
  <c r="C9" i="2"/>
  <c r="C49" i="2"/>
  <c r="B40" i="2"/>
  <c r="C40" i="2"/>
  <c r="B49" i="2"/>
  <c r="B54" i="6" l="1"/>
  <c r="B50" i="2"/>
  <c r="B41" i="2"/>
  <c r="B20" i="2"/>
  <c r="B17" i="2"/>
  <c r="B30" i="2"/>
  <c r="B8" i="2"/>
  <c r="C21" i="2"/>
  <c r="C31" i="2"/>
  <c r="B31" i="2"/>
  <c r="B21" i="2"/>
  <c r="C18" i="2"/>
  <c r="B18" i="2"/>
  <c r="B22" i="2" l="1"/>
  <c r="B19" i="2"/>
  <c r="B32" i="2"/>
  <c r="B10" i="2"/>
</calcChain>
</file>

<file path=xl/sharedStrings.xml><?xml version="1.0" encoding="utf-8"?>
<sst xmlns="http://schemas.openxmlformats.org/spreadsheetml/2006/main" count="420" uniqueCount="266">
  <si>
    <t>b</t>
  </si>
  <si>
    <t>Kt</t>
  </si>
  <si>
    <t>Stress concentration factor Kt for a plate with a circular hole</t>
  </si>
  <si>
    <t>Stress concentration Kt</t>
  </si>
  <si>
    <t>Stress concentration factor Kt in a flat bar with shoulder fillets loaded in tension</t>
  </si>
  <si>
    <t>Fillet radius ( r )</t>
  </si>
  <si>
    <t>Thickness of plate ( t )</t>
  </si>
  <si>
    <t>Diameter of hole ( d )</t>
  </si>
  <si>
    <t>Load ( P )</t>
  </si>
  <si>
    <t>Nominal tension stress</t>
  </si>
  <si>
    <t>Maximum tensile stress</t>
  </si>
  <si>
    <t>Stress concentration Ktb</t>
  </si>
  <si>
    <t>Stress concentration Kta</t>
  </si>
  <si>
    <t>Nominal bearing stress</t>
  </si>
  <si>
    <t>Maximum bearing stress</t>
  </si>
  <si>
    <t>Torque ( T )</t>
  </si>
  <si>
    <t>Stress concentration factor Kt for a stepped shaft in tension</t>
  </si>
  <si>
    <t>Stress concentration factor Kt for a stepped shaft in torsion</t>
  </si>
  <si>
    <t>a</t>
  </si>
  <si>
    <t>Stress concentration factor Kt for plate with hole in bending</t>
  </si>
  <si>
    <t>Nominal stress at hole</t>
  </si>
  <si>
    <t>Stress concentration at hole</t>
  </si>
  <si>
    <t>Maximum stress at hole</t>
  </si>
  <si>
    <t>Maximum stress at edge</t>
  </si>
  <si>
    <t>Bending moment (M)</t>
  </si>
  <si>
    <t>Not a function of geometry: always equal to 2</t>
  </si>
  <si>
    <t xml:space="preserve">Maximum stress at edge equals maximum nominal stress at edge </t>
  </si>
  <si>
    <t>Stress concentration factor Kt for stepped shaft in bending</t>
  </si>
  <si>
    <t>Sigma_x</t>
  </si>
  <si>
    <t>Sigma_y</t>
  </si>
  <si>
    <t>Tau_xy</t>
  </si>
  <si>
    <t>Sigma_1</t>
  </si>
  <si>
    <t>Sigma_2</t>
  </si>
  <si>
    <t>Centre</t>
  </si>
  <si>
    <t>Radius</t>
  </si>
  <si>
    <t xml:space="preserve">Principal stresses for plane stress </t>
  </si>
  <si>
    <t>Principal stresses:</t>
  </si>
  <si>
    <t>Sigma_3</t>
  </si>
  <si>
    <t>S-N curve using only Sut</t>
  </si>
  <si>
    <t>Se_prime</t>
  </si>
  <si>
    <t>Sigma_F</t>
  </si>
  <si>
    <t>f</t>
  </si>
  <si>
    <t>Output:</t>
  </si>
  <si>
    <t>Input:</t>
  </si>
  <si>
    <t>q</t>
  </si>
  <si>
    <t>Kf</t>
  </si>
  <si>
    <t>sqrt(a [mm])</t>
  </si>
  <si>
    <t>Sut [MPa]</t>
  </si>
  <si>
    <t>Notch radius [mm]</t>
  </si>
  <si>
    <t>Sf at 1000 cycles [MPa]</t>
  </si>
  <si>
    <t>Sf at million cycles [MPa]</t>
  </si>
  <si>
    <t>Combination of loading modes (Eqs.6-55 and 6-56)</t>
  </si>
  <si>
    <t>Midrange bending stress</t>
  </si>
  <si>
    <t>Midrange axial stress</t>
  </si>
  <si>
    <t>Midrange torsion stress</t>
  </si>
  <si>
    <t>Alternating bending stress</t>
  </si>
  <si>
    <t>Alternating axial stress</t>
  </si>
  <si>
    <t>Alternating torsion stress</t>
  </si>
  <si>
    <t>Effective alternating stress</t>
  </si>
  <si>
    <t>Effective midrange stress</t>
  </si>
  <si>
    <t>Shear</t>
  </si>
  <si>
    <t>sqrt(a[mm])</t>
  </si>
  <si>
    <t>Kfs</t>
  </si>
  <si>
    <t>Kts</t>
  </si>
  <si>
    <t>Se</t>
  </si>
  <si>
    <t>Sut</t>
  </si>
  <si>
    <t>Sy</t>
  </si>
  <si>
    <t>Ma</t>
  </si>
  <si>
    <t>Mm</t>
  </si>
  <si>
    <t>Ta</t>
  </si>
  <si>
    <t>Tm</t>
  </si>
  <si>
    <t>Input</t>
  </si>
  <si>
    <t>Output</t>
  </si>
  <si>
    <t>d</t>
  </si>
  <si>
    <t>Nmm</t>
  </si>
  <si>
    <t>mm</t>
  </si>
  <si>
    <t>MPa</t>
  </si>
  <si>
    <t>DE-Goodman</t>
  </si>
  <si>
    <t>DE-Gerber</t>
  </si>
  <si>
    <t>A</t>
  </si>
  <si>
    <t>B</t>
  </si>
  <si>
    <t>DE-ASME Elliptic</t>
  </si>
  <si>
    <t>Shaft design</t>
  </si>
  <si>
    <t>m</t>
  </si>
  <si>
    <t>alpha</t>
  </si>
  <si>
    <t>beta</t>
  </si>
  <si>
    <t>xi</t>
  </si>
  <si>
    <t>C</t>
  </si>
  <si>
    <t>Na</t>
  </si>
  <si>
    <t>Ne</t>
  </si>
  <si>
    <t>Nt</t>
  </si>
  <si>
    <t>Plain &amp; Ground; Square &amp; Ground</t>
  </si>
  <si>
    <t>Plain; Squared or Closed</t>
  </si>
  <si>
    <t>n_s</t>
  </si>
  <si>
    <t>Ka.Kb.Kc.Kd.Ke.Kf</t>
  </si>
  <si>
    <t>r</t>
  </si>
  <si>
    <t>K_B</t>
  </si>
  <si>
    <t>Music wire</t>
  </si>
  <si>
    <t>Probability of failure</t>
  </si>
  <si>
    <t>Mean of stress</t>
  </si>
  <si>
    <t>Standard deviation of stress</t>
  </si>
  <si>
    <t>Mean of strength</t>
  </si>
  <si>
    <t>Standard deviation of strength</t>
  </si>
  <si>
    <t>Se prime</t>
  </si>
  <si>
    <t>Mpa</t>
  </si>
  <si>
    <t>ka.kb.kc.kd.ke.kf</t>
  </si>
  <si>
    <t>End condition: between parallel plates</t>
  </si>
  <si>
    <t>Squared and ground; Squared or Closed</t>
  </si>
  <si>
    <t>d (mm)</t>
  </si>
  <si>
    <t>D (mm)</t>
  </si>
  <si>
    <t>G (MPa)</t>
  </si>
  <si>
    <t>F_min (N)</t>
  </si>
  <si>
    <t>F_max (N)</t>
  </si>
  <si>
    <t>Delta_min (mm)</t>
  </si>
  <si>
    <t>Delta_max (mm)</t>
  </si>
  <si>
    <t>S_sa (MPa)</t>
  </si>
  <si>
    <t>S_sm (MPa)</t>
  </si>
  <si>
    <t>E (MPa)</t>
  </si>
  <si>
    <t>Sut (MPa)</t>
  </si>
  <si>
    <t>Ssy (MPa)</t>
  </si>
  <si>
    <t>OD (mm)</t>
  </si>
  <si>
    <t>ID (mm)</t>
  </si>
  <si>
    <t>Ls (mm)</t>
  </si>
  <si>
    <t>Lo (mm)</t>
  </si>
  <si>
    <t>(L0)cr (mm)</t>
  </si>
  <si>
    <t>S_su (MPa)</t>
  </si>
  <si>
    <t>ID  (mm)</t>
  </si>
  <si>
    <t>F_a (N)</t>
  </si>
  <si>
    <t>F_m (N)</t>
  </si>
  <si>
    <t>F_s (N)</t>
  </si>
  <si>
    <t>tau_a (MPa)</t>
  </si>
  <si>
    <t>tau_m (MPa)</t>
  </si>
  <si>
    <t>tau_s (MPa)</t>
  </si>
  <si>
    <t>L0 (mm)</t>
  </si>
  <si>
    <t>Density (kg/m^3)</t>
  </si>
  <si>
    <t>Mean of margin of safety</t>
  </si>
  <si>
    <t>Standard deviation of margin of safety</t>
  </si>
  <si>
    <t>Bending &amp; Axial</t>
  </si>
  <si>
    <t>(Lo)cr (mm)</t>
  </si>
  <si>
    <t>Stress transformation</t>
  </si>
  <si>
    <t>Sigma xx</t>
  </si>
  <si>
    <t>Sigma yy</t>
  </si>
  <si>
    <t>Sigma xy</t>
  </si>
  <si>
    <t>Angle of rotation (degrees)</t>
  </si>
  <si>
    <t>Sigma xx prime</t>
  </si>
  <si>
    <t>Sigma yy prime</t>
  </si>
  <si>
    <t>Sigma xy prime</t>
  </si>
  <si>
    <t>Width of plate ( D )</t>
  </si>
  <si>
    <t>Thickness of plate ( h )</t>
  </si>
  <si>
    <t>Width of wide section ( D )</t>
  </si>
  <si>
    <t>Width of narrow section ( d )</t>
  </si>
  <si>
    <t>Diameter of small section ( d )</t>
  </si>
  <si>
    <t>Diameter of large section ( D )</t>
  </si>
  <si>
    <t>Plate width ( D )</t>
  </si>
  <si>
    <t>Plate thickness ( t )</t>
  </si>
  <si>
    <t>Hole diameter ( d )</t>
  </si>
  <si>
    <t>Stress concentration factors Kt for a plate with a round pin joint (L/D&gt;1) in tension</t>
  </si>
  <si>
    <t>Formulas and pictures from https://amesweb.info/stress-concentration-factor-calculator/formulas.aspx</t>
  </si>
  <si>
    <t>Bending moment ( M )</t>
  </si>
  <si>
    <t>Nominal stress in narrow section</t>
  </si>
  <si>
    <t>Maximum stress at fillet</t>
  </si>
  <si>
    <t>Nominal stress in small section</t>
  </si>
  <si>
    <t>Nominal stress at narrow section</t>
  </si>
  <si>
    <t>Maximum shear stress</t>
  </si>
  <si>
    <t>Von Mises stress</t>
  </si>
  <si>
    <t>Sf at required # cycles in cell B41</t>
  </si>
  <si>
    <t>Cycles N ( 10^3 &lt; N &lt;10^6 )</t>
  </si>
  <si>
    <t>Yield criteria:</t>
  </si>
  <si>
    <t>log10(N)</t>
  </si>
  <si>
    <t>log10(Sy)</t>
  </si>
  <si>
    <t>N (# cycles)</t>
  </si>
  <si>
    <t>Fatigue stress concentration factors Kf &amp; Kfs</t>
  </si>
  <si>
    <t>Sf (MPa)</t>
  </si>
  <si>
    <t>Marin factors</t>
  </si>
  <si>
    <t>Reliability (%)</t>
  </si>
  <si>
    <t>Ka ground</t>
  </si>
  <si>
    <t>Kb axial</t>
  </si>
  <si>
    <t>Equivalent diameter (mm)</t>
  </si>
  <si>
    <t>Temperature (degrees C): 20&lt;T&lt;550</t>
  </si>
  <si>
    <t>Ka polished</t>
  </si>
  <si>
    <t>Ka machined or cold-drawn</t>
  </si>
  <si>
    <t>Ka as-forged</t>
  </si>
  <si>
    <t>Kb bending &amp; torsion</t>
  </si>
  <si>
    <t>Kc bending</t>
  </si>
  <si>
    <t>Kc axial</t>
  </si>
  <si>
    <t>Kc torsion</t>
  </si>
  <si>
    <t>Kd</t>
  </si>
  <si>
    <t>Ke</t>
  </si>
  <si>
    <t>Ka.Kb.Kc.Kd.Ke : machined + bending</t>
  </si>
  <si>
    <t>Ka hot-rolled</t>
  </si>
  <si>
    <t>Ka.Kb.Kc.Kd.Ke : hot-rolled + bending</t>
  </si>
  <si>
    <t>Fatigue safety factors</t>
  </si>
  <si>
    <t>Amplitude stress component</t>
  </si>
  <si>
    <t>Midrange stress component</t>
  </si>
  <si>
    <t>Safety factor (nf) Goodman</t>
  </si>
  <si>
    <t>Safety factor (nf) Gerber</t>
  </si>
  <si>
    <t>Safety factor (nf) ASME</t>
  </si>
  <si>
    <t>Maximum Von Mises stress</t>
  </si>
  <si>
    <t>Yield n_y</t>
  </si>
  <si>
    <t>Constant</t>
  </si>
  <si>
    <t>Fraction of Sut to compute Ssy</t>
  </si>
  <si>
    <t>Buckling end condition: between parallel plates</t>
  </si>
  <si>
    <t>Volume</t>
  </si>
  <si>
    <t>n_f Gerber</t>
  </si>
  <si>
    <t>S_sa (MPa) Gerber</t>
  </si>
  <si>
    <t>S_sa (Mpa) Goodman</t>
  </si>
  <si>
    <t>S_se (MPa) Gerber</t>
  </si>
  <si>
    <t>S_se (MPa) Goodman</t>
  </si>
  <si>
    <t>n_f Goodman</t>
  </si>
  <si>
    <t>n_f Sines</t>
  </si>
  <si>
    <t>fn (Hz)</t>
  </si>
  <si>
    <t>Fatigue spring design: Zimmerli data</t>
  </si>
  <si>
    <t xml:space="preserve">Solid compression safety factor </t>
  </si>
  <si>
    <t>Goodman safety factor for infinite life</t>
  </si>
  <si>
    <t>Gerber safety factor for infinite life</t>
  </si>
  <si>
    <t>Sines safety factor for infinite life</t>
  </si>
  <si>
    <t>(Lo)cr &gt; Lo ?</t>
  </si>
  <si>
    <t>4&lt;C&lt;12 ?</t>
  </si>
  <si>
    <t>3&lt;Na&lt;15 ?</t>
  </si>
  <si>
    <t>Volume (mm^3)</t>
  </si>
  <si>
    <t>Static spring design</t>
  </si>
  <si>
    <t>if 0.023 then 2.3% chance of failure, 2.3 components of 100 expected to fail</t>
  </si>
  <si>
    <t>on sigma axis on mohr circle</t>
  </si>
  <si>
    <t>radius of mohr circle</t>
  </si>
  <si>
    <t>largest normal stress</t>
  </si>
  <si>
    <t>smallest normal stress</t>
  </si>
  <si>
    <t>always zero (plane stress)</t>
  </si>
  <si>
    <t>AKA Tresca</t>
  </si>
  <si>
    <t xml:space="preserve">AKA distortion energy </t>
  </si>
  <si>
    <t>use the below marin factors to calculate the Ka.Kb.Kc.Kd.Ke.Kf for the specific case</t>
  </si>
  <si>
    <t>note: cell 43 does not auto update</t>
  </si>
  <si>
    <t>worst surface finish</t>
  </si>
  <si>
    <t>Stress concentration Kts</t>
  </si>
  <si>
    <t>Infinite life n_f</t>
  </si>
  <si>
    <r>
      <t xml:space="preserve">d </t>
    </r>
    <r>
      <rPr>
        <sz val="12"/>
        <color rgb="FFFF0000"/>
        <rFont val="Calibri"/>
        <family val="2"/>
        <scheme val="minor"/>
      </rPr>
      <t>(mm)</t>
    </r>
  </si>
  <si>
    <r>
      <t xml:space="preserve">G </t>
    </r>
    <r>
      <rPr>
        <sz val="12"/>
        <color rgb="FFFF0000"/>
        <rFont val="Calibri"/>
        <family val="2"/>
        <scheme val="minor"/>
      </rPr>
      <t>(MPa)</t>
    </r>
  </si>
  <si>
    <r>
      <t xml:space="preserve">E </t>
    </r>
    <r>
      <rPr>
        <sz val="12"/>
        <color rgb="FFFF0000"/>
        <rFont val="Calibri"/>
        <family val="2"/>
        <scheme val="minor"/>
      </rPr>
      <t>(MPa)</t>
    </r>
  </si>
  <si>
    <t>Zimmerli data unpeened (change if peened)</t>
  </si>
  <si>
    <t xml:space="preserve">fn &gt; at least 15* to 20* the spring's operating frequnecy </t>
  </si>
  <si>
    <t>Normally steel is 7800</t>
  </si>
  <si>
    <t>Spring loading frequency (Hz)</t>
  </si>
  <si>
    <t>15 times</t>
  </si>
  <si>
    <t>20 times</t>
  </si>
  <si>
    <t xml:space="preserve">xi    AKA ξ </t>
  </si>
  <si>
    <t>Analysis method</t>
  </si>
  <si>
    <t>n_f</t>
  </si>
  <si>
    <t>Sines</t>
  </si>
  <si>
    <t>Gerber</t>
  </si>
  <si>
    <t>Goodman</t>
  </si>
  <si>
    <t>current</t>
  </si>
  <si>
    <t>n_f inputed</t>
  </si>
  <si>
    <t>input squared</t>
  </si>
  <si>
    <t>count: check</t>
  </si>
  <si>
    <t>https://www.thespringstore.com/standard-spring-wire-diameter-sizes.html</t>
  </si>
  <si>
    <t>k</t>
  </si>
  <si>
    <t>F11</t>
  </si>
  <si>
    <t>F3</t>
  </si>
  <si>
    <t>F12</t>
  </si>
  <si>
    <t>Veq</t>
  </si>
  <si>
    <t>V</t>
  </si>
  <si>
    <t>sign change</t>
  </si>
  <si>
    <t>M</t>
  </si>
  <si>
    <t>square</t>
  </si>
  <si>
    <t>infinit</t>
  </si>
  <si>
    <t>4-6mm</t>
  </si>
  <si>
    <t>80-320N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</si>
</sst>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R&quot;#,##0;[Red]\-&quot;R&quot;#,##0"/>
    <numFmt numFmtId="164" formatCode="0.000"/>
    <numFmt numFmtId="165" formatCode="0.0000"/>
    <numFmt numFmtId="166" formatCode="0.000000000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" fillId="8" borderId="0" applyNumberFormat="0" applyBorder="0" applyAlignment="0" applyProtection="0"/>
    <xf numFmtId="0" fontId="1" fillId="0" borderId="0"/>
  </cellStyleXfs>
  <cellXfs count="55">
    <xf numFmtId="0" fontId="0" fillId="0" borderId="0" xfId="0"/>
    <xf numFmtId="0" fontId="4" fillId="0" borderId="0" xfId="0" applyFont="1"/>
    <xf numFmtId="0" fontId="0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ill="1"/>
    <xf numFmtId="2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4" fillId="0" borderId="0" xfId="0" applyNumberFormat="1" applyFont="1"/>
    <xf numFmtId="2" fontId="0" fillId="3" borderId="0" xfId="0" applyNumberFormat="1" applyFill="1"/>
    <xf numFmtId="164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Alignment="1" applyProtection="1">
      <alignment horizontal="center"/>
    </xf>
    <xf numFmtId="164" fontId="0" fillId="2" borderId="0" xfId="0" applyNumberFormat="1" applyFill="1" applyAlignment="1" applyProtection="1">
      <alignment horizontal="center"/>
    </xf>
    <xf numFmtId="2" fontId="0" fillId="2" borderId="0" xfId="0" applyNumberFormat="1" applyFill="1"/>
    <xf numFmtId="1" fontId="0" fillId="3" borderId="0" xfId="0" applyNumberFormat="1" applyFill="1"/>
    <xf numFmtId="0" fontId="4" fillId="0" borderId="0" xfId="0" applyFont="1" applyFill="1"/>
    <xf numFmtId="0" fontId="0" fillId="0" borderId="0" xfId="0" applyFont="1" applyFill="1"/>
    <xf numFmtId="0" fontId="5" fillId="0" borderId="0" xfId="0" applyFont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2" xfId="0" applyFill="1" applyBorder="1"/>
    <xf numFmtId="164" fontId="0" fillId="2" borderId="2" xfId="0" applyNumberFormat="1" applyFill="1" applyBorder="1" applyAlignment="1">
      <alignment horizontal="center"/>
    </xf>
    <xf numFmtId="164" fontId="0" fillId="3" borderId="0" xfId="0" applyNumberFormat="1" applyFill="1"/>
    <xf numFmtId="0" fontId="0" fillId="0" borderId="3" xfId="0" applyBorder="1"/>
    <xf numFmtId="0" fontId="0" fillId="4" borderId="0" xfId="0" applyFill="1"/>
    <xf numFmtId="2" fontId="0" fillId="6" borderId="3" xfId="0" applyNumberFormat="1" applyFill="1" applyBorder="1"/>
    <xf numFmtId="0" fontId="0" fillId="7" borderId="0" xfId="0" applyFill="1"/>
    <xf numFmtId="164" fontId="0" fillId="7" borderId="0" xfId="0" applyNumberFormat="1" applyFill="1"/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6" borderId="0" xfId="0" applyFill="1"/>
    <xf numFmtId="0" fontId="7" fillId="0" borderId="0" xfId="0" applyFont="1"/>
    <xf numFmtId="166" fontId="0" fillId="0" borderId="0" xfId="0" applyNumberFormat="1"/>
    <xf numFmtId="0" fontId="0" fillId="0" borderId="0" xfId="0" applyAlignment="1"/>
    <xf numFmtId="0" fontId="4" fillId="0" borderId="0" xfId="0" applyFont="1" applyAlignment="1"/>
    <xf numFmtId="0" fontId="0" fillId="5" borderId="0" xfId="0" applyFill="1" applyAlignment="1"/>
    <xf numFmtId="2" fontId="0" fillId="6" borderId="3" xfId="0" applyNumberFormat="1" applyFill="1" applyBorder="1" applyAlignment="1"/>
    <xf numFmtId="0" fontId="2" fillId="0" borderId="0" xfId="3" applyAlignment="1">
      <alignment vertical="center"/>
    </xf>
    <xf numFmtId="0" fontId="1" fillId="0" borderId="0" xfId="5"/>
    <xf numFmtId="6" fontId="1" fillId="0" borderId="0" xfId="5" applyNumberFormat="1"/>
    <xf numFmtId="0" fontId="9" fillId="0" borderId="0" xfId="5" applyFont="1"/>
    <xf numFmtId="0" fontId="8" fillId="8" borderId="4" xfId="4" applyBorder="1"/>
    <xf numFmtId="0" fontId="8" fillId="8" borderId="5" xfId="4" applyBorder="1"/>
    <xf numFmtId="0" fontId="1" fillId="0" borderId="6" xfId="5" applyBorder="1"/>
    <xf numFmtId="0" fontId="1" fillId="0" borderId="7" xfId="5" applyBorder="1"/>
    <xf numFmtId="0" fontId="1" fillId="0" borderId="8" xfId="5" applyBorder="1"/>
    <xf numFmtId="2" fontId="0" fillId="4" borderId="0" xfId="0" applyNumberFormat="1" applyFill="1"/>
    <xf numFmtId="0" fontId="0" fillId="9" borderId="0" xfId="0" applyFill="1"/>
  </cellXfs>
  <cellStyles count="6">
    <cellStyle name="Followed Hyperlink" xfId="2" builtinId="9" hidden="1"/>
    <cellStyle name="Good" xfId="4" builtinId="26"/>
    <cellStyle name="Hyperlink" xfId="1" builtinId="8" hidden="1"/>
    <cellStyle name="Hyperlink" xfId="3" builtinId="8"/>
    <cellStyle name="Normal" xfId="0" builtinId="0"/>
    <cellStyle name="Normal 2" xfId="5" xr:uid="{8CB4B003-BC9B-49EE-BDD9-FB2591B2246A}"/>
  </cellStyles>
  <dxfs count="8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Strength!$E$40</c:f>
              <c:strCache>
                <c:ptCount val="1"/>
                <c:pt idx="0">
                  <c:v>log10(Sy)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Strength!$D$41:$D$44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Strength!$E$41:$E$44</c:f>
              <c:numCache>
                <c:formatCode>0.000</c:formatCode>
                <c:ptCount val="4"/>
                <c:pt idx="0">
                  <c:v>2.7083494925522031</c:v>
                </c:pt>
                <c:pt idx="1">
                  <c:v>2.5575562723932483</c:v>
                </c:pt>
                <c:pt idx="2">
                  <c:v>2.4067630522342931</c:v>
                </c:pt>
                <c:pt idx="3">
                  <c:v>2.2559698320753383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9-B64C-BBF0-AB9E0BCC4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07912"/>
        <c:axId val="484205952"/>
      </c:scatterChart>
      <c:valAx>
        <c:axId val="484207912"/>
        <c:scaling>
          <c:orientation val="minMax"/>
          <c:max val="6.1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log10(N)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5952"/>
        <c:crosses val="autoZero"/>
        <c:crossBetween val="midCat"/>
      </c:valAx>
      <c:valAx>
        <c:axId val="48420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log10(Sf)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Strength!$E$40</c:f>
              <c:strCache>
                <c:ptCount val="1"/>
                <c:pt idx="0">
                  <c:v>log10(Sy)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Strength!$D$41:$D$44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Strength!$E$41:$E$44</c:f>
              <c:numCache>
                <c:formatCode>0.000</c:formatCode>
                <c:ptCount val="4"/>
                <c:pt idx="0">
                  <c:v>2.7083494925522031</c:v>
                </c:pt>
                <c:pt idx="1">
                  <c:v>2.5575562723932483</c:v>
                </c:pt>
                <c:pt idx="2">
                  <c:v>2.4067630522342931</c:v>
                </c:pt>
                <c:pt idx="3">
                  <c:v>2.2559698320753383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F-44D1-840E-397A937F7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07912"/>
        <c:axId val="484205952"/>
      </c:scatterChart>
      <c:valAx>
        <c:axId val="484207912"/>
        <c:scaling>
          <c:orientation val="minMax"/>
          <c:max val="6.1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log10(N)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5952"/>
        <c:crosses val="autoZero"/>
        <c:crossBetween val="midCat"/>
      </c:valAx>
      <c:valAx>
        <c:axId val="48420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log10(Sf)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'V_M graph'!$A$10:$A$20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'V_M graph'!$B$10:$B$20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-50</c:v>
                </c:pt>
                <c:pt idx="7">
                  <c:v>-50</c:v>
                </c:pt>
                <c:pt idx="8">
                  <c:v>-50</c:v>
                </c:pt>
                <c:pt idx="9">
                  <c:v>-50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F-4F83-9D8A-6FB4F6F28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501455"/>
        <c:axId val="1336842143"/>
      </c:scatterChart>
      <c:valAx>
        <c:axId val="153950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842143"/>
        <c:crosses val="autoZero"/>
        <c:crossBetween val="midCat"/>
      </c:valAx>
      <c:valAx>
        <c:axId val="13368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50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'V_M graph'!$A$10:$A$20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'V_M graph'!$D$10:$D$20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1-41D3-B768-9E267499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501455"/>
        <c:axId val="1336842143"/>
      </c:scatterChart>
      <c:valAx>
        <c:axId val="153950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842143"/>
        <c:crosses val="autoZero"/>
        <c:crossBetween val="midCat"/>
      </c:valAx>
      <c:valAx>
        <c:axId val="13368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50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0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104589</xdr:colOff>
      <xdr:row>44</xdr:row>
      <xdr:rowOff>55278</xdr:rowOff>
    </xdr:from>
    <xdr:to>
      <xdr:col>6</xdr:col>
      <xdr:colOff>791882</xdr:colOff>
      <xdr:row>56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43003E9-98D9-574C-8F6F-124AC88DB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151189</xdr:colOff>
      <xdr:row>3</xdr:row>
      <xdr:rowOff>36286</xdr:rowOff>
    </xdr:from>
    <xdr:to>
      <xdr:col>5</xdr:col>
      <xdr:colOff>16326</xdr:colOff>
      <xdr:row>8</xdr:row>
      <xdr:rowOff>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B0C24C-8309-B94E-A7ED-81020E22B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9618" y="241905"/>
          <a:ext cx="2350709" cy="991860"/>
        </a:xfrm>
        <a:prstGeom prst="rect">
          <a:avLst/>
        </a:prstGeom>
      </xdr:spPr>
    </xdr:pic>
    <xdr:clientData/>
  </xdr:twoCellAnchor>
  <xdr:twoCellAnchor editAs="oneCell">
    <xdr:from>
      <xdr:col>2</xdr:col>
      <xdr:colOff>169333</xdr:colOff>
      <xdr:row>12</xdr:row>
      <xdr:rowOff>38506</xdr:rowOff>
    </xdr:from>
    <xdr:to>
      <xdr:col>4</xdr:col>
      <xdr:colOff>814614</xdr:colOff>
      <xdr:row>16</xdr:row>
      <xdr:rowOff>187477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FDFD1D-1959-A94D-9EE9-E15E259C9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17762" y="2094696"/>
          <a:ext cx="2302329" cy="971447"/>
        </a:xfrm>
        <a:prstGeom prst="rect">
          <a:avLst/>
        </a:prstGeom>
      </xdr:spPr>
    </xdr:pic>
    <xdr:clientData/>
  </xdr:twoCellAnchor>
  <xdr:twoCellAnchor editAs="oneCell">
    <xdr:from>
      <xdr:col>2</xdr:col>
      <xdr:colOff>145140</xdr:colOff>
      <xdr:row>24</xdr:row>
      <xdr:rowOff>52457</xdr:rowOff>
    </xdr:from>
    <xdr:to>
      <xdr:col>5</xdr:col>
      <xdr:colOff>373135</xdr:colOff>
      <xdr:row>29</xdr:row>
      <xdr:rowOff>169327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C47AD0-FD67-4246-8F9F-E80A130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93569" y="4576076"/>
          <a:ext cx="2713567" cy="1144965"/>
        </a:xfrm>
        <a:prstGeom prst="rect">
          <a:avLst/>
        </a:prstGeom>
      </xdr:spPr>
    </xdr:pic>
    <xdr:clientData/>
  </xdr:twoCellAnchor>
  <xdr:twoCellAnchor editAs="oneCell">
    <xdr:from>
      <xdr:col>2</xdr:col>
      <xdr:colOff>151190</xdr:colOff>
      <xdr:row>34</xdr:row>
      <xdr:rowOff>24191</xdr:rowOff>
    </xdr:from>
    <xdr:to>
      <xdr:col>5</xdr:col>
      <xdr:colOff>54428</xdr:colOff>
      <xdr:row>39</xdr:row>
      <xdr:rowOff>4033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148C887-87F0-274B-80FA-4D77DFCAF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99619" y="6604001"/>
          <a:ext cx="2388810" cy="1007937"/>
        </a:xfrm>
        <a:prstGeom prst="rect">
          <a:avLst/>
        </a:prstGeom>
      </xdr:spPr>
    </xdr:pic>
    <xdr:clientData/>
  </xdr:twoCellAnchor>
  <xdr:twoCellAnchor editAs="oneCell">
    <xdr:from>
      <xdr:col>2</xdr:col>
      <xdr:colOff>145142</xdr:colOff>
      <xdr:row>43</xdr:row>
      <xdr:rowOff>18143</xdr:rowOff>
    </xdr:from>
    <xdr:to>
      <xdr:col>5</xdr:col>
      <xdr:colOff>48388</xdr:colOff>
      <xdr:row>48</xdr:row>
      <xdr:rowOff>2524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F31D1D1-0E47-DB4D-A87C-26B0B18E5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93571" y="8448524"/>
          <a:ext cx="2388818" cy="1007940"/>
        </a:xfrm>
        <a:prstGeom prst="rect">
          <a:avLst/>
        </a:prstGeom>
      </xdr:spPr>
    </xdr:pic>
    <xdr:clientData/>
  </xdr:twoCellAnchor>
  <xdr:twoCellAnchor editAs="oneCell">
    <xdr:from>
      <xdr:col>2</xdr:col>
      <xdr:colOff>145142</xdr:colOff>
      <xdr:row>52</xdr:row>
      <xdr:rowOff>36287</xdr:rowOff>
    </xdr:from>
    <xdr:to>
      <xdr:col>5</xdr:col>
      <xdr:colOff>10279</xdr:colOff>
      <xdr:row>57</xdr:row>
      <xdr:rowOff>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20CFCEE-1436-494A-91C3-0DED25AF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571" y="10317239"/>
          <a:ext cx="2350709" cy="991860"/>
        </a:xfrm>
        <a:prstGeom prst="rect">
          <a:avLst/>
        </a:prstGeom>
      </xdr:spPr>
    </xdr:pic>
    <xdr:clientData/>
  </xdr:twoCellAnchor>
  <xdr:twoCellAnchor editAs="oneCell">
    <xdr:from>
      <xdr:col>2</xdr:col>
      <xdr:colOff>187476</xdr:colOff>
      <xdr:row>62</xdr:row>
      <xdr:rowOff>18139</xdr:rowOff>
    </xdr:from>
    <xdr:to>
      <xdr:col>5</xdr:col>
      <xdr:colOff>90722</xdr:colOff>
      <xdr:row>67</xdr:row>
      <xdr:rowOff>2520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12A6663-B94E-BE49-8763-01C659C0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35905" y="12355282"/>
          <a:ext cx="2388818" cy="10079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12</xdr:row>
      <xdr:rowOff>152400</xdr:rowOff>
    </xdr:from>
    <xdr:to>
      <xdr:col>11</xdr:col>
      <xdr:colOff>281939</xdr:colOff>
      <xdr:row>19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9025" y="2552700"/>
          <a:ext cx="6987539" cy="1247775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10</xdr:row>
      <xdr:rowOff>0</xdr:rowOff>
    </xdr:from>
    <xdr:to>
      <xdr:col>4</xdr:col>
      <xdr:colOff>495300</xdr:colOff>
      <xdr:row>12</xdr:row>
      <xdr:rowOff>119370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8075" y="2000250"/>
          <a:ext cx="1314450" cy="519420"/>
        </a:xfrm>
        <a:prstGeom prst="rect">
          <a:avLst/>
        </a:prstGeom>
      </xdr:spPr>
    </xdr:pic>
    <xdr:clientData/>
  </xdr:twoCellAnchor>
  <xdr:twoCellAnchor>
    <xdr:from>
      <xdr:col>15</xdr:col>
      <xdr:colOff>104589</xdr:colOff>
      <xdr:row>34</xdr:row>
      <xdr:rowOff>55278</xdr:rowOff>
    </xdr:from>
    <xdr:to>
      <xdr:col>19</xdr:col>
      <xdr:colOff>791882</xdr:colOff>
      <xdr:row>46</xdr:row>
      <xdr:rowOff>149412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1B23CF-C5F3-4B30-BA68-12438AFC1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718456</xdr:colOff>
      <xdr:row>43</xdr:row>
      <xdr:rowOff>192027</xdr:rowOff>
    </xdr:from>
    <xdr:to>
      <xdr:col>21</xdr:col>
      <xdr:colOff>632732</xdr:colOff>
      <xdr:row>56</xdr:row>
      <xdr:rowOff>196967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5456" y="8968634"/>
          <a:ext cx="7507062" cy="2658333"/>
        </a:xfrm>
        <a:prstGeom prst="rect">
          <a:avLst/>
        </a:prstGeom>
      </xdr:spPr>
    </xdr:pic>
    <xdr:clientData/>
  </xdr:twoCellAnchor>
  <xdr:twoCellAnchor editAs="oneCell">
    <xdr:from>
      <xdr:col>12</xdr:col>
      <xdr:colOff>794657</xdr:colOff>
      <xdr:row>0</xdr:row>
      <xdr:rowOff>122465</xdr:rowOff>
    </xdr:from>
    <xdr:to>
      <xdr:col>21</xdr:col>
      <xdr:colOff>14640</xdr:colOff>
      <xdr:row>9</xdr:row>
      <xdr:rowOff>90935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1657" y="122465"/>
          <a:ext cx="6812769" cy="1805434"/>
        </a:xfrm>
        <a:prstGeom prst="rect">
          <a:avLst/>
        </a:prstGeom>
      </xdr:spPr>
    </xdr:pic>
    <xdr:clientData/>
  </xdr:twoCellAnchor>
  <xdr:twoCellAnchor editAs="oneCell">
    <xdr:from>
      <xdr:col>12</xdr:col>
      <xdr:colOff>823232</xdr:colOff>
      <xdr:row>9</xdr:row>
      <xdr:rowOff>72362</xdr:rowOff>
    </xdr:from>
    <xdr:to>
      <xdr:col>21</xdr:col>
      <xdr:colOff>323252</xdr:colOff>
      <xdr:row>16</xdr:row>
      <xdr:rowOff>161382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0232" y="1909326"/>
          <a:ext cx="7092806" cy="1517770"/>
        </a:xfrm>
        <a:prstGeom prst="rect">
          <a:avLst/>
        </a:prstGeom>
      </xdr:spPr>
    </xdr:pic>
    <xdr:clientData/>
  </xdr:twoCellAnchor>
  <xdr:twoCellAnchor editAs="oneCell">
    <xdr:from>
      <xdr:col>12</xdr:col>
      <xdr:colOff>823232</xdr:colOff>
      <xdr:row>16</xdr:row>
      <xdr:rowOff>130741</xdr:rowOff>
    </xdr:from>
    <xdr:to>
      <xdr:col>21</xdr:col>
      <xdr:colOff>649875</xdr:colOff>
      <xdr:row>43</xdr:row>
      <xdr:rowOff>138916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0232" y="3396455"/>
          <a:ext cx="7419429" cy="55190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11</xdr:col>
      <xdr:colOff>415905</xdr:colOff>
      <xdr:row>66</xdr:row>
      <xdr:rowOff>15796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14625" y="6800850"/>
          <a:ext cx="7102455" cy="6416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810491</xdr:colOff>
      <xdr:row>1</xdr:row>
      <xdr:rowOff>27212</xdr:rowOff>
    </xdr:from>
    <xdr:to>
      <xdr:col>23</xdr:col>
      <xdr:colOff>677956</xdr:colOff>
      <xdr:row>8</xdr:row>
      <xdr:rowOff>149678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08777" y="231319"/>
          <a:ext cx="8303893" cy="153760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65</xdr:row>
      <xdr:rowOff>161925</xdr:rowOff>
    </xdr:from>
    <xdr:to>
      <xdr:col>2</xdr:col>
      <xdr:colOff>0</xdr:colOff>
      <xdr:row>67</xdr:row>
      <xdr:rowOff>9525</xdr:rowOff>
    </xdr:to>
    <xdr:sp macro="[0]!seek_safety_facto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705475" y="361950"/>
          <a:ext cx="1038225" cy="2381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ysClr val="windowText" lastClr="000000"/>
              </a:solidFill>
            </a:rPr>
            <a:t>Seek</a:t>
          </a:r>
          <a:r>
            <a:rPr lang="en-GB" sz="1100" baseline="0">
              <a:solidFill>
                <a:sysClr val="windowText" lastClr="000000"/>
              </a:solidFill>
            </a:rPr>
            <a:t> n_f</a:t>
          </a:r>
        </a:p>
      </xdr:txBody>
    </xdr:sp>
    <xdr:clientData/>
  </xdr:twoCellAnchor>
  <xdr:twoCellAnchor editAs="oneCell">
    <xdr:from>
      <xdr:col>14</xdr:col>
      <xdr:colOff>168199</xdr:colOff>
      <xdr:row>10</xdr:row>
      <xdr:rowOff>171225</xdr:rowOff>
    </xdr:from>
    <xdr:to>
      <xdr:col>19</xdr:col>
      <xdr:colOff>30615</xdr:colOff>
      <xdr:row>25</xdr:row>
      <xdr:rowOff>146749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8544A0-5272-4BD1-A07D-48569989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10128" y="2198689"/>
          <a:ext cx="4080630" cy="3037131"/>
        </a:xfrm>
        <a:prstGeom prst="rect">
          <a:avLst/>
        </a:prstGeom>
      </xdr:spPr>
    </xdr:pic>
    <xdr:clientData/>
  </xdr:twoCellAnchor>
  <xdr:twoCellAnchor editAs="oneCell">
    <xdr:from>
      <xdr:col>14</xdr:col>
      <xdr:colOff>170090</xdr:colOff>
      <xdr:row>26</xdr:row>
      <xdr:rowOff>64633</xdr:rowOff>
    </xdr:from>
    <xdr:to>
      <xdr:col>18</xdr:col>
      <xdr:colOff>479652</xdr:colOff>
      <xdr:row>42</xdr:row>
      <xdr:rowOff>169111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5BEED66-FB71-4F89-BD78-1D9C9FCC8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12019" y="5357812"/>
          <a:ext cx="3684133" cy="33701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3</xdr:row>
      <xdr:rowOff>100012</xdr:rowOff>
    </xdr:from>
    <xdr:to>
      <xdr:col>17</xdr:col>
      <xdr:colOff>485775</xdr:colOff>
      <xdr:row>17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20297-7F45-44E2-84B3-401CC2642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114300</xdr:colOff>
      <xdr:row>18</xdr:row>
      <xdr:rowOff>104775</xdr:rowOff>
    </xdr:from>
    <xdr:to>
      <xdr:col>17</xdr:col>
      <xdr:colOff>419100</xdr:colOff>
      <xdr:row>32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B17857-E448-4E46-AC9C-470D61C93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thespringstore.com/standard-spring-wire-diameter-sizes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2"/>
  <sheetViews>
    <sheetView topLeftCell="A71" zoomScale="90" zoomScaleNormal="90" workbookViewId="0">
      <selection activeCell="A90" sqref="A90:B100"/>
    </sheetView>
  </sheetViews>
  <sheetFormatPr defaultColWidth="11" defaultRowHeight="15.75" x14ac:dyDescent="0.25"/>
  <cols>
    <col min="1" max="1" width="32.125" customWidth="1"/>
    <col min="2" max="2" width="16.625" style="11" customWidth="1"/>
    <col min="3" max="3" width="14.625" customWidth="1"/>
    <col min="4" max="4" width="8.375" customWidth="1"/>
    <col min="5" max="5" width="9" customWidth="1"/>
    <col min="6" max="6" width="8.375" customWidth="1"/>
  </cols>
  <sheetData>
    <row r="1" spans="1:3" x14ac:dyDescent="0.25">
      <c r="A1" s="1" t="s">
        <v>98</v>
      </c>
    </row>
    <row r="2" spans="1:3" x14ac:dyDescent="0.25">
      <c r="A2" s="2" t="s">
        <v>43</v>
      </c>
    </row>
    <row r="3" spans="1:3" x14ac:dyDescent="0.25">
      <c r="A3" s="4" t="s">
        <v>99</v>
      </c>
      <c r="B3" s="12">
        <v>200</v>
      </c>
    </row>
    <row r="4" spans="1:3" x14ac:dyDescent="0.25">
      <c r="A4" s="4" t="s">
        <v>100</v>
      </c>
      <c r="B4" s="12">
        <v>50</v>
      </c>
    </row>
    <row r="5" spans="1:3" x14ac:dyDescent="0.25">
      <c r="A5" s="4" t="s">
        <v>101</v>
      </c>
      <c r="B5" s="12">
        <v>300</v>
      </c>
    </row>
    <row r="6" spans="1:3" x14ac:dyDescent="0.25">
      <c r="A6" s="4" t="s">
        <v>102</v>
      </c>
      <c r="B6" s="12">
        <v>20</v>
      </c>
    </row>
    <row r="7" spans="1:3" x14ac:dyDescent="0.25">
      <c r="A7" s="5" t="s">
        <v>42</v>
      </c>
      <c r="B7" s="13"/>
    </row>
    <row r="8" spans="1:3" x14ac:dyDescent="0.25">
      <c r="A8" s="3" t="s">
        <v>135</v>
      </c>
      <c r="B8" s="14">
        <f>B5-B3</f>
        <v>100</v>
      </c>
    </row>
    <row r="9" spans="1:3" x14ac:dyDescent="0.25">
      <c r="A9" s="3" t="s">
        <v>136</v>
      </c>
      <c r="B9" s="14">
        <f>SQRT(B6^2+B4^2)</f>
        <v>53.851648071345039</v>
      </c>
    </row>
    <row r="10" spans="1:3" x14ac:dyDescent="0.25">
      <c r="A10" s="3" t="s">
        <v>98</v>
      </c>
      <c r="B10" s="14">
        <f>NORMDIST(0,B8,B9,TRUE)</f>
        <v>3.1658893415022815E-2</v>
      </c>
      <c r="C10" t="s">
        <v>221</v>
      </c>
    </row>
    <row r="12" spans="1:3" x14ac:dyDescent="0.25">
      <c r="A12" s="20" t="s">
        <v>139</v>
      </c>
    </row>
    <row r="13" spans="1:3" x14ac:dyDescent="0.25">
      <c r="A13" s="21" t="s">
        <v>43</v>
      </c>
    </row>
    <row r="14" spans="1:3" x14ac:dyDescent="0.25">
      <c r="A14" s="4" t="s">
        <v>140</v>
      </c>
      <c r="B14" s="12">
        <v>0</v>
      </c>
    </row>
    <row r="15" spans="1:3" x14ac:dyDescent="0.25">
      <c r="A15" s="4" t="s">
        <v>141</v>
      </c>
      <c r="B15" s="12">
        <v>0</v>
      </c>
    </row>
    <row r="16" spans="1:3" x14ac:dyDescent="0.25">
      <c r="A16" s="4" t="s">
        <v>142</v>
      </c>
      <c r="B16" s="12">
        <v>60</v>
      </c>
    </row>
    <row r="17" spans="1:3" x14ac:dyDescent="0.25">
      <c r="A17" s="4" t="s">
        <v>143</v>
      </c>
      <c r="B17" s="12">
        <v>60</v>
      </c>
    </row>
    <row r="18" spans="1:3" x14ac:dyDescent="0.25">
      <c r="A18" s="5" t="s">
        <v>42</v>
      </c>
      <c r="B18" s="13"/>
    </row>
    <row r="19" spans="1:3" x14ac:dyDescent="0.25">
      <c r="A19" s="3" t="s">
        <v>144</v>
      </c>
      <c r="B19" s="14">
        <f>B14*COS(B17*PI()/180)^2+B15*SIN(B17*PI()/180)^2+2*B16*SIN(B17*PI()/180)*COS(B17*PI()/180)</f>
        <v>51.961524227066327</v>
      </c>
    </row>
    <row r="20" spans="1:3" x14ac:dyDescent="0.25">
      <c r="A20" s="3" t="s">
        <v>145</v>
      </c>
      <c r="B20" s="14">
        <f>B14*SIN(B17*PI()/180)^2+B15*COS(B17*PI()/180)^2-2*B16*SIN(B17*PI()/180)*COS(B17*PI()/180)</f>
        <v>-51.961524227066327</v>
      </c>
    </row>
    <row r="21" spans="1:3" x14ac:dyDescent="0.25">
      <c r="A21" s="3" t="s">
        <v>146</v>
      </c>
      <c r="B21" s="14">
        <f>-B16*SIN(B17*PI()/180)^2+B16*COS(B17*PI()/180)^2+(B15-B14)*SIN(B17*PI()/180)*COS(B17*PI()/180)</f>
        <v>-29.999999999999986</v>
      </c>
    </row>
    <row r="22" spans="1:3" x14ac:dyDescent="0.25">
      <c r="A22" s="5"/>
    </row>
    <row r="23" spans="1:3" x14ac:dyDescent="0.25">
      <c r="A23" s="1" t="s">
        <v>35</v>
      </c>
    </row>
    <row r="24" spans="1:3" x14ac:dyDescent="0.25">
      <c r="A24" s="2" t="s">
        <v>43</v>
      </c>
    </row>
    <row r="25" spans="1:3" x14ac:dyDescent="0.25">
      <c r="A25" s="4" t="s">
        <v>28</v>
      </c>
      <c r="B25" s="12">
        <v>0</v>
      </c>
    </row>
    <row r="26" spans="1:3" x14ac:dyDescent="0.25">
      <c r="A26" s="4" t="s">
        <v>29</v>
      </c>
      <c r="B26" s="12">
        <v>0</v>
      </c>
    </row>
    <row r="27" spans="1:3" x14ac:dyDescent="0.25">
      <c r="A27" s="4" t="s">
        <v>30</v>
      </c>
      <c r="B27" s="12">
        <v>50</v>
      </c>
    </row>
    <row r="28" spans="1:3" x14ac:dyDescent="0.25">
      <c r="A28" t="s">
        <v>42</v>
      </c>
    </row>
    <row r="29" spans="1:3" x14ac:dyDescent="0.25">
      <c r="A29" s="3" t="s">
        <v>33</v>
      </c>
      <c r="B29" s="14">
        <f>0.5*(B25+B26)</f>
        <v>0</v>
      </c>
      <c r="C29" t="s">
        <v>222</v>
      </c>
    </row>
    <row r="30" spans="1:3" x14ac:dyDescent="0.25">
      <c r="A30" s="3" t="s">
        <v>34</v>
      </c>
      <c r="B30" s="14">
        <f>SQRT(((B25-B26)/2)^2+B27^2)</f>
        <v>50</v>
      </c>
      <c r="C30" t="s">
        <v>223</v>
      </c>
    </row>
    <row r="31" spans="1:3" x14ac:dyDescent="0.25">
      <c r="A31" t="s">
        <v>36</v>
      </c>
    </row>
    <row r="32" spans="1:3" x14ac:dyDescent="0.25">
      <c r="A32" s="3" t="s">
        <v>31</v>
      </c>
      <c r="B32" s="14">
        <f>B29+B30</f>
        <v>50</v>
      </c>
      <c r="C32" t="s">
        <v>224</v>
      </c>
    </row>
    <row r="33" spans="1:6" x14ac:dyDescent="0.25">
      <c r="A33" s="3" t="s">
        <v>32</v>
      </c>
      <c r="B33" s="14">
        <f>B29-B30</f>
        <v>-50</v>
      </c>
      <c r="C33" t="s">
        <v>225</v>
      </c>
    </row>
    <row r="34" spans="1:6" x14ac:dyDescent="0.25">
      <c r="A34" s="3" t="s">
        <v>37</v>
      </c>
      <c r="B34" s="14">
        <v>0</v>
      </c>
      <c r="C34" s="7" t="s">
        <v>226</v>
      </c>
    </row>
    <row r="35" spans="1:6" s="5" customFormat="1" x14ac:dyDescent="0.25">
      <c r="A35" s="5" t="s">
        <v>167</v>
      </c>
      <c r="B35" s="13"/>
      <c r="C35" s="23"/>
    </row>
    <row r="36" spans="1:6" x14ac:dyDescent="0.25">
      <c r="A36" s="3" t="s">
        <v>163</v>
      </c>
      <c r="B36" s="14">
        <f>(MAX(B32:B34)-MIN(B32:B34))/2</f>
        <v>50</v>
      </c>
      <c r="C36" t="s">
        <v>227</v>
      </c>
    </row>
    <row r="37" spans="1:6" x14ac:dyDescent="0.25">
      <c r="A37" s="3" t="s">
        <v>164</v>
      </c>
      <c r="B37" s="14">
        <f>SQRT(B25^2-B25*B26+B26^2+3*B27^2)</f>
        <v>86.602540378443862</v>
      </c>
      <c r="C37" t="s">
        <v>228</v>
      </c>
    </row>
    <row r="38" spans="1:6" s="5" customFormat="1" x14ac:dyDescent="0.25">
      <c r="B38" s="13"/>
    </row>
    <row r="39" spans="1:6" s="1" customFormat="1" x14ac:dyDescent="0.25">
      <c r="A39" s="1" t="s">
        <v>38</v>
      </c>
      <c r="B39" s="15"/>
    </row>
    <row r="40" spans="1:6" x14ac:dyDescent="0.25">
      <c r="A40" t="s">
        <v>43</v>
      </c>
      <c r="C40" s="24" t="s">
        <v>170</v>
      </c>
      <c r="D40" t="s">
        <v>168</v>
      </c>
      <c r="E40" t="s">
        <v>169</v>
      </c>
      <c r="F40" t="s">
        <v>172</v>
      </c>
    </row>
    <row r="41" spans="1:6" x14ac:dyDescent="0.25">
      <c r="A41" s="4" t="s">
        <v>47</v>
      </c>
      <c r="B41" s="12">
        <v>590</v>
      </c>
      <c r="C41">
        <v>1000</v>
      </c>
      <c r="D41">
        <v>3</v>
      </c>
      <c r="E41" s="7">
        <f>LOG10(B50)</f>
        <v>2.7083494925522031</v>
      </c>
      <c r="F41" s="6">
        <f>10^E41</f>
        <v>510.91598724707154</v>
      </c>
    </row>
    <row r="42" spans="1:6" x14ac:dyDescent="0.25">
      <c r="A42" s="4" t="s">
        <v>166</v>
      </c>
      <c r="B42" s="12">
        <v>2</v>
      </c>
      <c r="C42">
        <v>10000</v>
      </c>
      <c r="D42">
        <v>4</v>
      </c>
      <c r="E42" s="7">
        <f>E41-1/3*(E41-E44)</f>
        <v>2.5575562723932483</v>
      </c>
      <c r="F42" s="6">
        <f>10^E42</f>
        <v>361.04079132377836</v>
      </c>
    </row>
    <row r="43" spans="1:6" x14ac:dyDescent="0.25">
      <c r="A43" s="4" t="s">
        <v>94</v>
      </c>
      <c r="B43" s="12">
        <f>0.719*0.85</f>
        <v>0.61114999999999997</v>
      </c>
      <c r="C43">
        <v>100000</v>
      </c>
      <c r="D43">
        <v>5</v>
      </c>
      <c r="E43" s="7">
        <f>E41-2/3*(E41-E44)</f>
        <v>2.4067630522342931</v>
      </c>
      <c r="F43" s="6">
        <f>10^E43</f>
        <v>255.13089481121341</v>
      </c>
    </row>
    <row r="44" spans="1:6" x14ac:dyDescent="0.25">
      <c r="A44" t="s">
        <v>42</v>
      </c>
      <c r="C44">
        <v>1000000</v>
      </c>
      <c r="D44">
        <v>6</v>
      </c>
      <c r="E44" s="7">
        <f>LOG10(B51)</f>
        <v>2.2559698320753383</v>
      </c>
      <c r="F44" s="6">
        <f>10^E44</f>
        <v>180.28925000000012</v>
      </c>
    </row>
    <row r="45" spans="1:6" x14ac:dyDescent="0.25">
      <c r="A45" t="s">
        <v>39</v>
      </c>
      <c r="B45" s="16">
        <f>MIN(0.5*B41,700)</f>
        <v>295</v>
      </c>
    </row>
    <row r="46" spans="1:6" x14ac:dyDescent="0.25">
      <c r="A46" t="s">
        <v>64</v>
      </c>
      <c r="B46" s="16">
        <f>B45*B43</f>
        <v>180.28924999999998</v>
      </c>
    </row>
    <row r="47" spans="1:6" x14ac:dyDescent="0.25">
      <c r="A47" t="s">
        <v>40</v>
      </c>
      <c r="B47" s="16">
        <f>B41+345</f>
        <v>935</v>
      </c>
    </row>
    <row r="48" spans="1:6" x14ac:dyDescent="0.25">
      <c r="A48" t="s">
        <v>0</v>
      </c>
      <c r="B48" s="16">
        <f>-LOG10(B47/B45)/LOG10(2000000)</f>
        <v>-7.9509158858013379E-2</v>
      </c>
    </row>
    <row r="49" spans="1:3" x14ac:dyDescent="0.25">
      <c r="A49" t="s">
        <v>41</v>
      </c>
      <c r="B49" s="16">
        <f>(B47/B41)*(2000)^B48</f>
        <v>0.8659593004187649</v>
      </c>
    </row>
    <row r="50" spans="1:3" x14ac:dyDescent="0.25">
      <c r="A50" s="3" t="s">
        <v>49</v>
      </c>
      <c r="B50" s="17">
        <f>B49*B41</f>
        <v>510.91598724707131</v>
      </c>
    </row>
    <row r="51" spans="1:3" x14ac:dyDescent="0.25">
      <c r="A51" s="3" t="s">
        <v>50</v>
      </c>
      <c r="B51" s="17">
        <f>B46</f>
        <v>180.28924999999998</v>
      </c>
    </row>
    <row r="52" spans="1:3" x14ac:dyDescent="0.25">
      <c r="A52" s="3" t="s">
        <v>18</v>
      </c>
      <c r="B52" s="17">
        <f>(B50)^2/B51</f>
        <v>1447.8686112713297</v>
      </c>
    </row>
    <row r="53" spans="1:3" x14ac:dyDescent="0.25">
      <c r="A53" s="3" t="s">
        <v>0</v>
      </c>
      <c r="B53" s="17">
        <f>-1/3*LOG10(B50/B51)</f>
        <v>-0.15079322015895491</v>
      </c>
    </row>
    <row r="54" spans="1:3" x14ac:dyDescent="0.25">
      <c r="A54" s="3" t="s">
        <v>165</v>
      </c>
      <c r="B54" s="17">
        <f>B52*B42^B53</f>
        <v>1304.174999242862</v>
      </c>
    </row>
    <row r="57" spans="1:3" x14ac:dyDescent="0.25">
      <c r="A57" s="20" t="s">
        <v>173</v>
      </c>
    </row>
    <row r="58" spans="1:3" x14ac:dyDescent="0.25">
      <c r="A58" s="5" t="s">
        <v>43</v>
      </c>
    </row>
    <row r="59" spans="1:3" x14ac:dyDescent="0.25">
      <c r="A59" s="4" t="s">
        <v>118</v>
      </c>
      <c r="B59" s="12">
        <v>590</v>
      </c>
    </row>
    <row r="60" spans="1:3" x14ac:dyDescent="0.25">
      <c r="A60" s="4" t="s">
        <v>177</v>
      </c>
      <c r="B60" s="12">
        <v>30</v>
      </c>
    </row>
    <row r="61" spans="1:3" x14ac:dyDescent="0.25">
      <c r="A61" s="4" t="s">
        <v>178</v>
      </c>
      <c r="B61" s="12">
        <v>20</v>
      </c>
    </row>
    <row r="62" spans="1:3" x14ac:dyDescent="0.25">
      <c r="A62" s="4" t="s">
        <v>174</v>
      </c>
      <c r="B62" s="12">
        <v>99.99</v>
      </c>
    </row>
    <row r="63" spans="1:3" x14ac:dyDescent="0.25">
      <c r="A63" s="5" t="s">
        <v>42</v>
      </c>
      <c r="C63" t="s">
        <v>229</v>
      </c>
    </row>
    <row r="64" spans="1:3" x14ac:dyDescent="0.25">
      <c r="A64" s="3" t="s">
        <v>179</v>
      </c>
      <c r="B64" s="14">
        <v>1</v>
      </c>
      <c r="C64" t="s">
        <v>230</v>
      </c>
    </row>
    <row r="65" spans="1:6" x14ac:dyDescent="0.25">
      <c r="A65" s="3" t="s">
        <v>175</v>
      </c>
      <c r="B65" s="14">
        <f>1.38*B59^-0.067</f>
        <v>0.89997822463261989</v>
      </c>
    </row>
    <row r="66" spans="1:6" x14ac:dyDescent="0.25">
      <c r="A66" s="3" t="s">
        <v>180</v>
      </c>
      <c r="B66" s="14">
        <f>3.04*B59^-0.217</f>
        <v>0.76137514826741792</v>
      </c>
    </row>
    <row r="67" spans="1:6" x14ac:dyDescent="0.25">
      <c r="A67" s="3" t="s">
        <v>189</v>
      </c>
      <c r="B67" s="14">
        <f>38.6*B59^-0.65</f>
        <v>0.61028612615752542</v>
      </c>
    </row>
    <row r="68" spans="1:6" x14ac:dyDescent="0.25">
      <c r="A68" s="25" t="s">
        <v>181</v>
      </c>
      <c r="B68" s="26">
        <f>54.9*B59^-0.758</f>
        <v>0.43577922243036399</v>
      </c>
      <c r="C68" t="s">
        <v>231</v>
      </c>
      <c r="E68" s="7"/>
    </row>
    <row r="69" spans="1:6" x14ac:dyDescent="0.25">
      <c r="A69" s="3" t="s">
        <v>182</v>
      </c>
      <c r="B69" s="14">
        <f>IF(AND(B60&gt;2.8,B60&lt;51),(B60/7.62)^-0.107,1.51*B60^-0.157)</f>
        <v>0.86360909553610465</v>
      </c>
    </row>
    <row r="70" spans="1:6" x14ac:dyDescent="0.25">
      <c r="A70" s="25" t="s">
        <v>176</v>
      </c>
      <c r="B70" s="26">
        <v>1</v>
      </c>
    </row>
    <row r="71" spans="1:6" x14ac:dyDescent="0.25">
      <c r="A71" s="3" t="s">
        <v>183</v>
      </c>
      <c r="B71" s="14">
        <v>1</v>
      </c>
    </row>
    <row r="72" spans="1:6" x14ac:dyDescent="0.25">
      <c r="A72" s="3" t="s">
        <v>184</v>
      </c>
      <c r="B72" s="14">
        <v>0.85</v>
      </c>
    </row>
    <row r="73" spans="1:6" x14ac:dyDescent="0.25">
      <c r="A73" s="25" t="s">
        <v>185</v>
      </c>
      <c r="B73" s="26">
        <v>0.59</v>
      </c>
      <c r="F73">
        <f>B66*B69*B75</f>
        <v>0.46190116068387449</v>
      </c>
    </row>
    <row r="74" spans="1:6" x14ac:dyDescent="0.25">
      <c r="A74" s="25" t="s">
        <v>186</v>
      </c>
      <c r="B74" s="26">
        <f>0.98+0.00035*(B61*9/5+32)-0.00000063*(9/5*B61+32)^2</f>
        <v>1.0008868799999999</v>
      </c>
    </row>
    <row r="75" spans="1:6" x14ac:dyDescent="0.25">
      <c r="A75" s="27" t="s">
        <v>187</v>
      </c>
      <c r="B75" s="28">
        <f>1-0.08*NORMINV(B62/100,0,1)</f>
        <v>0.70247868116356571</v>
      </c>
    </row>
    <row r="76" spans="1:6" x14ac:dyDescent="0.25">
      <c r="A76" s="3" t="s">
        <v>188</v>
      </c>
      <c r="B76" s="14">
        <f>B66*B69*B71*B74*B75</f>
        <v>0.46231081158526177</v>
      </c>
    </row>
    <row r="77" spans="1:6" x14ac:dyDescent="0.25">
      <c r="A77" s="3" t="s">
        <v>190</v>
      </c>
      <c r="B77" s="14">
        <f>B67*B69*B71*B74*B75</f>
        <v>0.37056879900158529</v>
      </c>
    </row>
    <row r="78" spans="1:6" s="5" customFormat="1" x14ac:dyDescent="0.25">
      <c r="B78" s="13"/>
    </row>
    <row r="79" spans="1:6" x14ac:dyDescent="0.25">
      <c r="A79" s="1" t="s">
        <v>171</v>
      </c>
    </row>
    <row r="80" spans="1:6" x14ac:dyDescent="0.25">
      <c r="A80" s="2" t="s">
        <v>43</v>
      </c>
    </row>
    <row r="81" spans="1:4" x14ac:dyDescent="0.25">
      <c r="A81" s="4" t="s">
        <v>47</v>
      </c>
      <c r="B81" s="12">
        <v>590</v>
      </c>
    </row>
    <row r="82" spans="1:4" x14ac:dyDescent="0.25">
      <c r="A82" s="4" t="s">
        <v>48</v>
      </c>
      <c r="B82" s="12">
        <v>1.5</v>
      </c>
    </row>
    <row r="83" spans="1:4" x14ac:dyDescent="0.25">
      <c r="A83" s="4" t="s">
        <v>1</v>
      </c>
      <c r="B83" s="12">
        <v>1.9631074037536782</v>
      </c>
    </row>
    <row r="84" spans="1:4" x14ac:dyDescent="0.25">
      <c r="A84" s="4" t="s">
        <v>63</v>
      </c>
      <c r="B84" s="12">
        <v>1.563245202735378</v>
      </c>
    </row>
    <row r="85" spans="1:4" s="5" customFormat="1" x14ac:dyDescent="0.25">
      <c r="A85" s="5" t="s">
        <v>42</v>
      </c>
      <c r="B85" s="13" t="s">
        <v>137</v>
      </c>
      <c r="C85" s="5" t="s">
        <v>60</v>
      </c>
    </row>
    <row r="86" spans="1:4" x14ac:dyDescent="0.25">
      <c r="A86" t="s">
        <v>46</v>
      </c>
      <c r="B86" s="11">
        <f>SQRT(25.4)*(0.246-0.00308*(B81/6.9)+0.0000151*(B81/6.9)^2-0.0000000267*(B81/6.9)^3)</f>
        <v>0.38478543040169533</v>
      </c>
      <c r="C86" t="s">
        <v>61</v>
      </c>
      <c r="D86" s="7">
        <f>SQRT(25.4)*(0.19-0.00251*(B81/6.9)+0.0000135*(B81/6.9)^2-0.0000000267*(B81/6.9)^3)</f>
        <v>0.28923380847424407</v>
      </c>
    </row>
    <row r="87" spans="1:4" x14ac:dyDescent="0.25">
      <c r="A87" s="3" t="s">
        <v>44</v>
      </c>
      <c r="B87" s="14">
        <f>1/(1+B86/SQRT(B82))</f>
        <v>0.76093309335463866</v>
      </c>
      <c r="C87" t="s">
        <v>44</v>
      </c>
      <c r="D87" s="8">
        <f>1/(1+D86/SQRT(B82))</f>
        <v>0.80895780612982238</v>
      </c>
    </row>
    <row r="88" spans="1:4" x14ac:dyDescent="0.25">
      <c r="A88" s="3" t="s">
        <v>45</v>
      </c>
      <c r="B88" s="14">
        <f>1+B87*(B83-1)</f>
        <v>1.7328602959710413</v>
      </c>
      <c r="C88" t="s">
        <v>62</v>
      </c>
      <c r="D88" s="8">
        <f>1+D87*(B84-1)</f>
        <v>1.4556416035179585</v>
      </c>
    </row>
    <row r="89" spans="1:4" s="5" customFormat="1" x14ac:dyDescent="0.25">
      <c r="B89" s="13"/>
      <c r="D89" s="23"/>
    </row>
    <row r="90" spans="1:4" s="5" customFormat="1" x14ac:dyDescent="0.25">
      <c r="A90" s="20" t="s">
        <v>191</v>
      </c>
      <c r="B90" s="13"/>
      <c r="D90" s="23"/>
    </row>
    <row r="91" spans="1:4" s="5" customFormat="1" x14ac:dyDescent="0.25">
      <c r="A91" s="21" t="s">
        <v>43</v>
      </c>
      <c r="B91" s="13"/>
      <c r="D91" s="23"/>
    </row>
    <row r="92" spans="1:4" s="5" customFormat="1" x14ac:dyDescent="0.25">
      <c r="A92" s="4" t="s">
        <v>65</v>
      </c>
      <c r="B92" s="12">
        <v>770</v>
      </c>
      <c r="D92" s="23"/>
    </row>
    <row r="93" spans="1:4" s="5" customFormat="1" x14ac:dyDescent="0.25">
      <c r="A93" s="4" t="s">
        <v>64</v>
      </c>
      <c r="B93" s="12">
        <v>235.3</v>
      </c>
      <c r="D93" s="23"/>
    </row>
    <row r="94" spans="1:4" s="5" customFormat="1" x14ac:dyDescent="0.25">
      <c r="A94" s="4" t="s">
        <v>66</v>
      </c>
      <c r="B94" s="12">
        <v>690</v>
      </c>
      <c r="D94" s="23"/>
    </row>
    <row r="95" spans="1:4" s="5" customFormat="1" x14ac:dyDescent="0.25">
      <c r="A95" s="4" t="s">
        <v>193</v>
      </c>
      <c r="B95" s="12">
        <v>233.48</v>
      </c>
      <c r="D95" s="23"/>
    </row>
    <row r="96" spans="1:4" s="5" customFormat="1" x14ac:dyDescent="0.25">
      <c r="A96" s="4" t="s">
        <v>192</v>
      </c>
      <c r="B96" s="12">
        <v>233.48</v>
      </c>
      <c r="D96" s="23"/>
    </row>
    <row r="97" spans="1:4" s="5" customFormat="1" x14ac:dyDescent="0.25">
      <c r="A97" s="5" t="s">
        <v>42</v>
      </c>
      <c r="B97" s="13"/>
      <c r="D97" s="23"/>
    </row>
    <row r="98" spans="1:4" s="5" customFormat="1" x14ac:dyDescent="0.25">
      <c r="A98" s="3" t="s">
        <v>194</v>
      </c>
      <c r="B98" s="14">
        <f>1/(B96/B93+B95/B92)</f>
        <v>0.77191109835023597</v>
      </c>
      <c r="D98" s="23"/>
    </row>
    <row r="99" spans="1:4" s="5" customFormat="1" x14ac:dyDescent="0.25">
      <c r="A99" s="3" t="s">
        <v>195</v>
      </c>
      <c r="B99" s="14">
        <f>0.5*(B92/B95)^2*B96/B93*(-1+SQRT(1+(2*B95*B93/(B92*B96))^2))</f>
        <v>0.92799844958957534</v>
      </c>
      <c r="D99" s="23"/>
    </row>
    <row r="100" spans="1:4" s="5" customFormat="1" x14ac:dyDescent="0.25">
      <c r="A100" s="3" t="s">
        <v>196</v>
      </c>
      <c r="B100" s="14">
        <f>1/SQRT((B96/B93)^2+(B95/B94)^2)</f>
        <v>0.9538576198682801</v>
      </c>
      <c r="D100" s="23"/>
    </row>
    <row r="101" spans="1:4" s="5" customFormat="1" x14ac:dyDescent="0.25">
      <c r="B101" s="13"/>
      <c r="D101" s="23"/>
    </row>
    <row r="102" spans="1:4" x14ac:dyDescent="0.25">
      <c r="A102" s="1" t="s">
        <v>51</v>
      </c>
    </row>
    <row r="103" spans="1:4" x14ac:dyDescent="0.25">
      <c r="A103" s="2" t="s">
        <v>43</v>
      </c>
      <c r="C103" t="s">
        <v>45</v>
      </c>
    </row>
    <row r="104" spans="1:4" x14ac:dyDescent="0.25">
      <c r="A104" s="4" t="s">
        <v>55</v>
      </c>
      <c r="B104" s="12">
        <v>60</v>
      </c>
      <c r="C104" s="4">
        <v>1.4</v>
      </c>
    </row>
    <row r="105" spans="1:4" x14ac:dyDescent="0.25">
      <c r="A105" s="4" t="s">
        <v>56</v>
      </c>
      <c r="B105" s="12">
        <v>0</v>
      </c>
      <c r="C105" s="4">
        <v>1.1000000000000001</v>
      </c>
    </row>
    <row r="106" spans="1:4" x14ac:dyDescent="0.25">
      <c r="A106" s="4" t="s">
        <v>57</v>
      </c>
      <c r="B106" s="12">
        <v>25</v>
      </c>
      <c r="C106" s="4">
        <v>2</v>
      </c>
    </row>
    <row r="107" spans="1:4" x14ac:dyDescent="0.25">
      <c r="A107" s="4" t="s">
        <v>52</v>
      </c>
      <c r="B107" s="12">
        <v>0</v>
      </c>
      <c r="C107" s="4">
        <f>C104</f>
        <v>1.4</v>
      </c>
    </row>
    <row r="108" spans="1:4" x14ac:dyDescent="0.25">
      <c r="A108" s="4" t="s">
        <v>53</v>
      </c>
      <c r="B108" s="12">
        <v>20</v>
      </c>
      <c r="C108" s="4">
        <f>C105</f>
        <v>1.1000000000000001</v>
      </c>
    </row>
    <row r="109" spans="1:4" x14ac:dyDescent="0.25">
      <c r="A109" s="4" t="s">
        <v>54</v>
      </c>
      <c r="B109" s="12">
        <v>25</v>
      </c>
      <c r="C109" s="4">
        <f>C106</f>
        <v>2</v>
      </c>
    </row>
    <row r="110" spans="1:4" x14ac:dyDescent="0.25">
      <c r="A110" t="s">
        <v>42</v>
      </c>
    </row>
    <row r="111" spans="1:4" x14ac:dyDescent="0.25">
      <c r="A111" s="3" t="s">
        <v>58</v>
      </c>
      <c r="B111" s="14">
        <f>SQRT((C104*B104+C105*B105/0.85)^2 + 3*(C106*B106)^2)</f>
        <v>120.64824905484538</v>
      </c>
    </row>
    <row r="112" spans="1:4" x14ac:dyDescent="0.25">
      <c r="A112" s="3" t="s">
        <v>59</v>
      </c>
      <c r="B112" s="14">
        <f>SQRT((C107*B107+C108*B108)^2 + 3*(C109*B109)^2)</f>
        <v>89.353231614754705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9"/>
  <sheetViews>
    <sheetView topLeftCell="A25" zoomScale="90" zoomScaleNormal="90" workbookViewId="0">
      <selection activeCell="B49" sqref="B49"/>
    </sheetView>
  </sheetViews>
  <sheetFormatPr defaultColWidth="11" defaultRowHeight="15.75" x14ac:dyDescent="0.25"/>
  <cols>
    <col min="1" max="1" width="28" customWidth="1"/>
  </cols>
  <sheetData>
    <row r="1" spans="1:3" x14ac:dyDescent="0.25">
      <c r="A1" s="22" t="s">
        <v>157</v>
      </c>
    </row>
    <row r="3" spans="1:3" x14ac:dyDescent="0.25">
      <c r="A3" s="1" t="s">
        <v>2</v>
      </c>
    </row>
    <row r="4" spans="1:3" x14ac:dyDescent="0.25">
      <c r="A4" t="s">
        <v>147</v>
      </c>
      <c r="B4" s="4">
        <v>25</v>
      </c>
    </row>
    <row r="5" spans="1:3" x14ac:dyDescent="0.25">
      <c r="A5" t="s">
        <v>6</v>
      </c>
      <c r="B5" s="4">
        <v>10</v>
      </c>
    </row>
    <row r="6" spans="1:3" x14ac:dyDescent="0.25">
      <c r="A6" t="s">
        <v>7</v>
      </c>
      <c r="B6" s="4">
        <v>6</v>
      </c>
    </row>
    <row r="7" spans="1:3" x14ac:dyDescent="0.25">
      <c r="A7" t="s">
        <v>8</v>
      </c>
      <c r="B7" s="4">
        <v>28000</v>
      </c>
    </row>
    <row r="8" spans="1:3" x14ac:dyDescent="0.25">
      <c r="A8" t="s">
        <v>20</v>
      </c>
      <c r="B8" s="3">
        <f>B7/(B5*(B4-B6))</f>
        <v>147.36842105263159</v>
      </c>
    </row>
    <row r="9" spans="1:3" x14ac:dyDescent="0.25">
      <c r="A9" t="s">
        <v>3</v>
      </c>
      <c r="B9" s="3" t="e">
        <f ca="1">ScfPlateHole(B4,B6)</f>
        <v>#NAME?</v>
      </c>
      <c r="C9" t="e">
        <f ca="1">ScfPlateHole_help()</f>
        <v>#NAME?</v>
      </c>
    </row>
    <row r="10" spans="1:3" x14ac:dyDescent="0.25">
      <c r="A10" t="s">
        <v>22</v>
      </c>
      <c r="B10" s="3" t="e">
        <f ca="1">B8*B9</f>
        <v>#NAME?</v>
      </c>
    </row>
    <row r="12" spans="1:3" x14ac:dyDescent="0.25">
      <c r="A12" s="1" t="s">
        <v>156</v>
      </c>
    </row>
    <row r="13" spans="1:3" x14ac:dyDescent="0.25">
      <c r="A13" t="s">
        <v>147</v>
      </c>
      <c r="B13" s="4">
        <v>50</v>
      </c>
    </row>
    <row r="14" spans="1:3" x14ac:dyDescent="0.25">
      <c r="A14" t="s">
        <v>148</v>
      </c>
      <c r="B14" s="4">
        <v>10</v>
      </c>
    </row>
    <row r="15" spans="1:3" x14ac:dyDescent="0.25">
      <c r="A15" t="s">
        <v>7</v>
      </c>
      <c r="B15" s="4">
        <v>20</v>
      </c>
    </row>
    <row r="16" spans="1:3" x14ac:dyDescent="0.25">
      <c r="A16" t="s">
        <v>8</v>
      </c>
      <c r="B16" s="4">
        <v>15000</v>
      </c>
    </row>
    <row r="17" spans="1:3" x14ac:dyDescent="0.25">
      <c r="A17" t="s">
        <v>9</v>
      </c>
      <c r="B17" s="3">
        <f>B16/(B14*(B13-B15))</f>
        <v>50</v>
      </c>
    </row>
    <row r="18" spans="1:3" x14ac:dyDescent="0.25">
      <c r="A18" t="s">
        <v>12</v>
      </c>
      <c r="B18" s="3" t="e">
        <f ca="1">ScfPlatePinTension(B13,B15)</f>
        <v>#NAME?</v>
      </c>
      <c r="C18" t="e">
        <f ca="1">ScfPlatePinTension_help()</f>
        <v>#NAME?</v>
      </c>
    </row>
    <row r="19" spans="1:3" x14ac:dyDescent="0.25">
      <c r="A19" t="s">
        <v>10</v>
      </c>
      <c r="B19" s="3" t="e">
        <f ca="1">B17*B18</f>
        <v>#NAME?</v>
      </c>
    </row>
    <row r="20" spans="1:3" x14ac:dyDescent="0.25">
      <c r="A20" t="s">
        <v>13</v>
      </c>
      <c r="B20" s="3">
        <f>B16/(B15*B14)</f>
        <v>75</v>
      </c>
    </row>
    <row r="21" spans="1:3" x14ac:dyDescent="0.25">
      <c r="A21" t="s">
        <v>11</v>
      </c>
      <c r="B21" s="3" t="e">
        <f ca="1">ScfPlatePinBearing(B13,B15)</f>
        <v>#NAME?</v>
      </c>
      <c r="C21" t="e">
        <f ca="1">ScfPlatePinBearing_help()</f>
        <v>#NAME?</v>
      </c>
    </row>
    <row r="22" spans="1:3" x14ac:dyDescent="0.25">
      <c r="A22" t="s">
        <v>14</v>
      </c>
      <c r="B22" s="3" t="e">
        <f ca="1">B20*B21</f>
        <v>#NAME?</v>
      </c>
    </row>
    <row r="24" spans="1:3" x14ac:dyDescent="0.25">
      <c r="A24" s="1" t="s">
        <v>4</v>
      </c>
    </row>
    <row r="25" spans="1:3" x14ac:dyDescent="0.25">
      <c r="A25" t="s">
        <v>149</v>
      </c>
      <c r="B25" s="4">
        <v>40</v>
      </c>
    </row>
    <row r="26" spans="1:3" x14ac:dyDescent="0.25">
      <c r="A26" t="s">
        <v>150</v>
      </c>
      <c r="B26" s="4">
        <v>20</v>
      </c>
    </row>
    <row r="27" spans="1:3" x14ac:dyDescent="0.25">
      <c r="A27" t="s">
        <v>5</v>
      </c>
      <c r="B27" s="4">
        <v>5</v>
      </c>
    </row>
    <row r="28" spans="1:3" x14ac:dyDescent="0.25">
      <c r="A28" t="s">
        <v>6</v>
      </c>
      <c r="B28" s="4">
        <v>10</v>
      </c>
    </row>
    <row r="29" spans="1:3" x14ac:dyDescent="0.25">
      <c r="A29" t="s">
        <v>8</v>
      </c>
      <c r="B29" s="4">
        <v>50000</v>
      </c>
    </row>
    <row r="30" spans="1:3" x14ac:dyDescent="0.25">
      <c r="A30" t="s">
        <v>159</v>
      </c>
      <c r="B30" s="3">
        <f>B29/(B26*B28)</f>
        <v>250</v>
      </c>
    </row>
    <row r="31" spans="1:3" x14ac:dyDescent="0.25">
      <c r="A31" t="s">
        <v>3</v>
      </c>
      <c r="B31" s="3" t="e">
        <f ca="1">ScfPlateShoulder(B25,B26,B27)</f>
        <v>#NAME?</v>
      </c>
      <c r="C31" t="e">
        <f ca="1">ScfPlateShoulder_help()</f>
        <v>#NAME?</v>
      </c>
    </row>
    <row r="32" spans="1:3" x14ac:dyDescent="0.25">
      <c r="A32" t="s">
        <v>160</v>
      </c>
      <c r="B32" s="3" t="e">
        <f ca="1">B30*B31</f>
        <v>#NAME?</v>
      </c>
    </row>
    <row r="34" spans="1:3" x14ac:dyDescent="0.25">
      <c r="A34" s="1" t="s">
        <v>16</v>
      </c>
    </row>
    <row r="35" spans="1:3" x14ac:dyDescent="0.25">
      <c r="A35" t="s">
        <v>151</v>
      </c>
      <c r="B35" s="4">
        <v>20</v>
      </c>
    </row>
    <row r="36" spans="1:3" x14ac:dyDescent="0.25">
      <c r="A36" t="s">
        <v>152</v>
      </c>
      <c r="B36" s="4">
        <v>40</v>
      </c>
    </row>
    <row r="37" spans="1:3" x14ac:dyDescent="0.25">
      <c r="A37" t="s">
        <v>5</v>
      </c>
      <c r="B37" s="4">
        <v>4</v>
      </c>
    </row>
    <row r="38" spans="1:3" x14ac:dyDescent="0.25">
      <c r="A38" t="s">
        <v>8</v>
      </c>
      <c r="B38" s="4">
        <v>20000</v>
      </c>
    </row>
    <row r="39" spans="1:3" x14ac:dyDescent="0.25">
      <c r="A39" t="s">
        <v>161</v>
      </c>
      <c r="B39" s="3">
        <f>B38/(PI()/4*B35^2)</f>
        <v>63.661977236758133</v>
      </c>
    </row>
    <row r="40" spans="1:3" x14ac:dyDescent="0.25">
      <c r="A40" t="s">
        <v>3</v>
      </c>
      <c r="B40" s="3" t="e">
        <f ca="1">ScfShaftTension(B35,B36,B37)</f>
        <v>#NAME?</v>
      </c>
      <c r="C40" t="e">
        <f ca="1">ScfShaftTension_help()</f>
        <v>#NAME?</v>
      </c>
    </row>
    <row r="41" spans="1:3" x14ac:dyDescent="0.25">
      <c r="A41" t="s">
        <v>160</v>
      </c>
      <c r="B41" s="3" t="e">
        <f ca="1">B39*B40</f>
        <v>#NAME?</v>
      </c>
    </row>
    <row r="43" spans="1:3" x14ac:dyDescent="0.25">
      <c r="A43" s="1" t="s">
        <v>17</v>
      </c>
    </row>
    <row r="44" spans="1:3" x14ac:dyDescent="0.25">
      <c r="A44" t="s">
        <v>151</v>
      </c>
      <c r="B44" s="4">
        <v>35</v>
      </c>
    </row>
    <row r="45" spans="1:3" x14ac:dyDescent="0.25">
      <c r="A45" t="s">
        <v>152</v>
      </c>
      <c r="B45" s="4">
        <v>40</v>
      </c>
    </row>
    <row r="46" spans="1:3" x14ac:dyDescent="0.25">
      <c r="A46" t="s">
        <v>5</v>
      </c>
      <c r="B46" s="4">
        <v>1.5</v>
      </c>
    </row>
    <row r="47" spans="1:3" x14ac:dyDescent="0.25">
      <c r="A47" t="s">
        <v>15</v>
      </c>
      <c r="B47" s="4">
        <v>0</v>
      </c>
    </row>
    <row r="48" spans="1:3" x14ac:dyDescent="0.25">
      <c r="A48" t="s">
        <v>162</v>
      </c>
      <c r="B48" s="3">
        <f>16*B47/(PI()*B44^3)</f>
        <v>0</v>
      </c>
    </row>
    <row r="49" spans="1:3" x14ac:dyDescent="0.25">
      <c r="A49" t="s">
        <v>232</v>
      </c>
      <c r="B49" s="3" t="e">
        <f ca="1">ScfShaftTorsion(B44,B45,B46)</f>
        <v>#NAME?</v>
      </c>
      <c r="C49" t="e">
        <f ca="1">ScfShaftTorsion_help()</f>
        <v>#NAME?</v>
      </c>
    </row>
    <row r="50" spans="1:3" x14ac:dyDescent="0.25">
      <c r="A50" t="s">
        <v>160</v>
      </c>
      <c r="B50" s="3" t="e">
        <f ca="1">B48*B49</f>
        <v>#NAME?</v>
      </c>
    </row>
    <row r="52" spans="1:3" x14ac:dyDescent="0.25">
      <c r="A52" s="1" t="s">
        <v>19</v>
      </c>
    </row>
    <row r="53" spans="1:3" x14ac:dyDescent="0.25">
      <c r="A53" t="s">
        <v>153</v>
      </c>
      <c r="B53" s="4">
        <v>80</v>
      </c>
    </row>
    <row r="54" spans="1:3" x14ac:dyDescent="0.25">
      <c r="A54" t="s">
        <v>154</v>
      </c>
      <c r="B54" s="4">
        <v>10</v>
      </c>
    </row>
    <row r="55" spans="1:3" x14ac:dyDescent="0.25">
      <c r="A55" t="s">
        <v>155</v>
      </c>
      <c r="B55" s="4">
        <v>30</v>
      </c>
    </row>
    <row r="56" spans="1:3" x14ac:dyDescent="0.25">
      <c r="A56" t="s">
        <v>158</v>
      </c>
      <c r="B56" s="4">
        <v>100000</v>
      </c>
    </row>
    <row r="57" spans="1:3" x14ac:dyDescent="0.25">
      <c r="A57" t="s">
        <v>20</v>
      </c>
      <c r="B57" s="3">
        <f>6*B56*B55/(B54*(B53^3-B55^3))</f>
        <v>3.7113402061855671</v>
      </c>
    </row>
    <row r="58" spans="1:3" x14ac:dyDescent="0.25">
      <c r="A58" t="s">
        <v>21</v>
      </c>
      <c r="B58" s="3">
        <v>2</v>
      </c>
      <c r="C58" t="s">
        <v>25</v>
      </c>
    </row>
    <row r="59" spans="1:3" x14ac:dyDescent="0.25">
      <c r="A59" t="s">
        <v>22</v>
      </c>
      <c r="B59" s="3">
        <f>B58*B57</f>
        <v>7.4226804123711343</v>
      </c>
    </row>
    <row r="60" spans="1:3" x14ac:dyDescent="0.25">
      <c r="A60" t="s">
        <v>23</v>
      </c>
      <c r="B60" s="3">
        <f>6*B56*B53/(B54*(B53^3-B55^3))</f>
        <v>9.8969072164948457</v>
      </c>
      <c r="C60" t="s">
        <v>26</v>
      </c>
    </row>
    <row r="62" spans="1:3" x14ac:dyDescent="0.25">
      <c r="A62" s="1" t="s">
        <v>27</v>
      </c>
    </row>
    <row r="63" spans="1:3" x14ac:dyDescent="0.25">
      <c r="A63" t="s">
        <v>151</v>
      </c>
      <c r="B63" s="4">
        <v>35</v>
      </c>
    </row>
    <row r="64" spans="1:3" x14ac:dyDescent="0.25">
      <c r="A64" t="s">
        <v>152</v>
      </c>
      <c r="B64" s="4">
        <v>40</v>
      </c>
    </row>
    <row r="65" spans="1:3" x14ac:dyDescent="0.25">
      <c r="A65" t="s">
        <v>5</v>
      </c>
      <c r="B65" s="4">
        <v>1.5</v>
      </c>
    </row>
    <row r="66" spans="1:3" x14ac:dyDescent="0.25">
      <c r="A66" t="s">
        <v>24</v>
      </c>
      <c r="B66" s="4">
        <v>100000</v>
      </c>
    </row>
    <row r="67" spans="1:3" x14ac:dyDescent="0.25">
      <c r="A67" t="s">
        <v>159</v>
      </c>
      <c r="B67" s="3">
        <f>32*B66/(PI()*B63^3)</f>
        <v>23.757239318673591</v>
      </c>
    </row>
    <row r="68" spans="1:3" x14ac:dyDescent="0.25">
      <c r="A68" t="s">
        <v>3</v>
      </c>
      <c r="B68" s="3" t="e">
        <f ca="1">ScfShaftbending(B63,B64,B65)</f>
        <v>#NAME?</v>
      </c>
      <c r="C68" t="e">
        <f ca="1">ScfShaftBending_help()</f>
        <v>#NAME?</v>
      </c>
    </row>
    <row r="69" spans="1:3" x14ac:dyDescent="0.25">
      <c r="A69" t="s">
        <v>160</v>
      </c>
      <c r="B69" s="3" t="e">
        <f ca="1">B68*B67</f>
        <v>#NAME?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6"/>
  <sheetViews>
    <sheetView zoomScale="90" zoomScaleNormal="90" workbookViewId="0">
      <selection activeCell="B13" sqref="B13"/>
    </sheetView>
  </sheetViews>
  <sheetFormatPr defaultColWidth="11" defaultRowHeight="15.75" x14ac:dyDescent="0.25"/>
  <cols>
    <col min="1" max="1" width="24.5" customWidth="1"/>
    <col min="2" max="2" width="12.125" bestFit="1" customWidth="1"/>
    <col min="14" max="14" width="31.25" bestFit="1" customWidth="1"/>
  </cols>
  <sheetData>
    <row r="1" spans="1:16" x14ac:dyDescent="0.25">
      <c r="A1" s="1" t="s">
        <v>82</v>
      </c>
    </row>
    <row r="2" spans="1:16" x14ac:dyDescent="0.25">
      <c r="A2" s="1" t="s">
        <v>71</v>
      </c>
    </row>
    <row r="3" spans="1:16" x14ac:dyDescent="0.25">
      <c r="A3" t="s">
        <v>65</v>
      </c>
      <c r="B3" s="4">
        <v>590</v>
      </c>
      <c r="C3" t="s">
        <v>76</v>
      </c>
    </row>
    <row r="4" spans="1:16" x14ac:dyDescent="0.25">
      <c r="A4" t="s">
        <v>66</v>
      </c>
      <c r="B4" s="4">
        <v>490</v>
      </c>
      <c r="C4" t="s">
        <v>76</v>
      </c>
      <c r="N4" s="20" t="s">
        <v>173</v>
      </c>
      <c r="O4" s="11"/>
    </row>
    <row r="5" spans="1:16" x14ac:dyDescent="0.25">
      <c r="A5" t="s">
        <v>105</v>
      </c>
      <c r="B5" s="4">
        <f>O13*O16*O22</f>
        <v>0.45721454336112816</v>
      </c>
      <c r="N5" s="5" t="s">
        <v>43</v>
      </c>
      <c r="O5" s="11"/>
    </row>
    <row r="6" spans="1:16" x14ac:dyDescent="0.25">
      <c r="A6" t="s">
        <v>67</v>
      </c>
      <c r="B6" s="4">
        <v>100000</v>
      </c>
      <c r="C6" t="s">
        <v>74</v>
      </c>
      <c r="N6" s="4" t="s">
        <v>118</v>
      </c>
      <c r="O6" s="12">
        <v>590</v>
      </c>
    </row>
    <row r="7" spans="1:16" x14ac:dyDescent="0.25">
      <c r="A7" t="s">
        <v>68</v>
      </c>
      <c r="B7" s="4">
        <v>0</v>
      </c>
      <c r="C7" t="s">
        <v>74</v>
      </c>
      <c r="N7" s="4" t="s">
        <v>177</v>
      </c>
      <c r="O7" s="12">
        <v>33</v>
      </c>
    </row>
    <row r="8" spans="1:16" x14ac:dyDescent="0.25">
      <c r="A8" t="s">
        <v>69</v>
      </c>
      <c r="B8" s="4">
        <v>0</v>
      </c>
      <c r="C8" t="s">
        <v>74</v>
      </c>
      <c r="N8" s="4" t="s">
        <v>178</v>
      </c>
      <c r="O8" s="12">
        <v>20</v>
      </c>
    </row>
    <row r="9" spans="1:16" x14ac:dyDescent="0.25">
      <c r="A9" t="s">
        <v>70</v>
      </c>
      <c r="B9" s="4">
        <v>500000</v>
      </c>
      <c r="C9" t="s">
        <v>74</v>
      </c>
      <c r="N9" s="4" t="s">
        <v>174</v>
      </c>
      <c r="O9" s="12">
        <v>99.99</v>
      </c>
    </row>
    <row r="10" spans="1:16" x14ac:dyDescent="0.25">
      <c r="A10" t="s">
        <v>45</v>
      </c>
      <c r="B10" s="4">
        <v>1.7328602959710413</v>
      </c>
      <c r="N10" s="5" t="s">
        <v>42</v>
      </c>
      <c r="O10" s="11"/>
      <c r="P10" t="s">
        <v>229</v>
      </c>
    </row>
    <row r="11" spans="1:16" x14ac:dyDescent="0.25">
      <c r="A11" t="s">
        <v>62</v>
      </c>
      <c r="B11" s="4">
        <v>1.4556416035179585</v>
      </c>
      <c r="N11" s="3" t="s">
        <v>179</v>
      </c>
      <c r="O11" s="14">
        <v>1</v>
      </c>
      <c r="P11" t="s">
        <v>230</v>
      </c>
    </row>
    <row r="12" spans="1:16" x14ac:dyDescent="0.25">
      <c r="A12" t="s">
        <v>73</v>
      </c>
      <c r="B12" s="4">
        <v>35</v>
      </c>
      <c r="C12" t="s">
        <v>75</v>
      </c>
      <c r="N12" s="3" t="s">
        <v>175</v>
      </c>
      <c r="O12" s="14">
        <f>1.38*O6^-0.067</f>
        <v>0.89997822463261989</v>
      </c>
    </row>
    <row r="13" spans="1:16" x14ac:dyDescent="0.25">
      <c r="N13" s="3" t="s">
        <v>180</v>
      </c>
      <c r="O13" s="14">
        <f>3.04*O6^-0.217</f>
        <v>0.76137514826741792</v>
      </c>
    </row>
    <row r="14" spans="1:16" x14ac:dyDescent="0.25">
      <c r="A14" s="1" t="s">
        <v>72</v>
      </c>
      <c r="N14" s="3" t="s">
        <v>189</v>
      </c>
      <c r="O14" s="14">
        <f>38.6*O6^-0.65</f>
        <v>0.61028612615752542</v>
      </c>
    </row>
    <row r="15" spans="1:16" x14ac:dyDescent="0.25">
      <c r="A15" t="s">
        <v>197</v>
      </c>
      <c r="B15" s="8">
        <f>((32*B10*(B6+B7)/(PI()*B12^3))^2+3*(16*B11*(B8+B9)/(PI()*B12^3))^2)^0.5</f>
        <v>155.30047334453641</v>
      </c>
      <c r="C15" t="s">
        <v>76</v>
      </c>
      <c r="N15" s="25" t="s">
        <v>181</v>
      </c>
      <c r="O15" s="26">
        <f>54.9*O6^-0.758</f>
        <v>0.43577922243036399</v>
      </c>
      <c r="P15" t="s">
        <v>231</v>
      </c>
    </row>
    <row r="16" spans="1:16" x14ac:dyDescent="0.25">
      <c r="A16" t="s">
        <v>198</v>
      </c>
      <c r="B16" s="8">
        <f>B4/B15</f>
        <v>3.1551738990062681</v>
      </c>
      <c r="N16" s="3" t="s">
        <v>182</v>
      </c>
      <c r="O16" s="14">
        <f>IF(AND(O7&gt;2.8,O7&lt;51),(O7/7.62)^-0.107,1.51*O7^-0.157)</f>
        <v>0.85484660327211381</v>
      </c>
    </row>
    <row r="17" spans="1:22" x14ac:dyDescent="0.25">
      <c r="A17" s="1"/>
      <c r="N17" s="25" t="s">
        <v>176</v>
      </c>
      <c r="O17" s="26">
        <v>1</v>
      </c>
    </row>
    <row r="18" spans="1:22" x14ac:dyDescent="0.25">
      <c r="A18" t="s">
        <v>103</v>
      </c>
      <c r="B18" s="3">
        <f>MIN(0.5*B3,700)</f>
        <v>295</v>
      </c>
      <c r="C18" t="s">
        <v>104</v>
      </c>
      <c r="N18" s="3" t="s">
        <v>183</v>
      </c>
      <c r="O18" s="14">
        <v>1</v>
      </c>
    </row>
    <row r="19" spans="1:22" x14ac:dyDescent="0.25">
      <c r="A19" t="s">
        <v>64</v>
      </c>
      <c r="B19" s="3">
        <f>B18*B5</f>
        <v>134.87829029153281</v>
      </c>
      <c r="C19" t="s">
        <v>76</v>
      </c>
      <c r="N19" s="3" t="s">
        <v>184</v>
      </c>
      <c r="O19" s="14">
        <v>0.85</v>
      </c>
    </row>
    <row r="20" spans="1:22" x14ac:dyDescent="0.25">
      <c r="A20" s="1" t="s">
        <v>77</v>
      </c>
      <c r="N20" s="25" t="s">
        <v>185</v>
      </c>
      <c r="O20" s="26">
        <v>0.59</v>
      </c>
    </row>
    <row r="21" spans="1:22" x14ac:dyDescent="0.25">
      <c r="A21" t="s">
        <v>233</v>
      </c>
      <c r="B21" s="3">
        <f>1/(16/(PI()*B12^3)*(1/B19*(4*(B10*B6)^2+3*(B11*B8)^2)^0.5 + 1/B3*(4*(B10*B7)^2+3*(B11*B9)^2)^0.5))</f>
        <v>1.7888207703914869</v>
      </c>
      <c r="N21" s="25" t="s">
        <v>186</v>
      </c>
      <c r="O21" s="26">
        <f>0.98+0.00035*(O8*9/5+32)-0.00000063*(9/5*O8+32)^2</f>
        <v>1.0008868799999999</v>
      </c>
    </row>
    <row r="22" spans="1:22" x14ac:dyDescent="0.25">
      <c r="N22" s="27" t="s">
        <v>187</v>
      </c>
      <c r="O22" s="28">
        <f>1-0.08*NORMINV(O9/100,0,1)</f>
        <v>0.70247868116356571</v>
      </c>
    </row>
    <row r="23" spans="1:22" x14ac:dyDescent="0.25">
      <c r="A23" s="1" t="s">
        <v>78</v>
      </c>
      <c r="N23" s="3" t="s">
        <v>188</v>
      </c>
      <c r="O23" s="14">
        <f>O13*O16*O18*O21*O22</f>
        <v>0.45762003779534421</v>
      </c>
    </row>
    <row r="24" spans="1:22" x14ac:dyDescent="0.25">
      <c r="A24" t="s">
        <v>79</v>
      </c>
      <c r="B24">
        <f>SQRT(4*(B10*B6)^2+3*(B11*B8)^2)</f>
        <v>346572.05919420824</v>
      </c>
      <c r="N24" s="3" t="s">
        <v>190</v>
      </c>
      <c r="O24" s="14">
        <f>O14*O16*O18*O21*O22</f>
        <v>0.36680887306829946</v>
      </c>
    </row>
    <row r="25" spans="1:22" x14ac:dyDescent="0.25">
      <c r="A25" t="s">
        <v>80</v>
      </c>
      <c r="B25">
        <f>SQRT(4*(B10*B7)^2+3*(B11*B9)^2)</f>
        <v>1260622.6074520678</v>
      </c>
    </row>
    <row r="26" spans="1:22" x14ac:dyDescent="0.25">
      <c r="A26" t="s">
        <v>233</v>
      </c>
      <c r="B26" s="3">
        <f>1/(8*B24/(PI()*B12^3*B19)*(1+(1+(2*B25*B19/(B24*B3))^2)^0.5))</f>
        <v>2.2283370270511682</v>
      </c>
    </row>
    <row r="28" spans="1:22" x14ac:dyDescent="0.25">
      <c r="A28" s="1" t="s">
        <v>81</v>
      </c>
    </row>
    <row r="29" spans="1:22" x14ac:dyDescent="0.25">
      <c r="A29" t="s">
        <v>233</v>
      </c>
      <c r="B29" s="3">
        <f>1/(16/(PI()*B12^3)*(4*(B10*B6/B19)^2 + 3*(B11*B8/B19)^2 + 4*(B10*B7/B4)^2 + 3*(B11*B9/B4)^2)^0.5)</f>
        <v>2.3152538019023292</v>
      </c>
      <c r="N29" s="1" t="s">
        <v>38</v>
      </c>
      <c r="O29" s="15"/>
      <c r="P29" s="1"/>
      <c r="Q29" s="1"/>
      <c r="R29" s="1"/>
      <c r="S29" s="1"/>
      <c r="T29" s="1"/>
      <c r="U29" s="1"/>
      <c r="V29" s="1"/>
    </row>
    <row r="30" spans="1:22" x14ac:dyDescent="0.25">
      <c r="N30" t="s">
        <v>43</v>
      </c>
      <c r="O30" s="11"/>
      <c r="P30" s="24" t="s">
        <v>170</v>
      </c>
      <c r="Q30" t="s">
        <v>168</v>
      </c>
      <c r="R30" t="s">
        <v>169</v>
      </c>
      <c r="S30" t="s">
        <v>172</v>
      </c>
    </row>
    <row r="31" spans="1:22" x14ac:dyDescent="0.25">
      <c r="N31" s="4" t="s">
        <v>47</v>
      </c>
      <c r="O31" s="12">
        <v>590</v>
      </c>
      <c r="P31">
        <v>1000</v>
      </c>
      <c r="Q31">
        <v>3</v>
      </c>
      <c r="R31" s="7">
        <f>LOG10(O40)</f>
        <v>2.7083494925522031</v>
      </c>
      <c r="S31" s="6">
        <f>10^R31</f>
        <v>510.91598724707154</v>
      </c>
    </row>
    <row r="32" spans="1:22" x14ac:dyDescent="0.25">
      <c r="N32" s="4" t="s">
        <v>166</v>
      </c>
      <c r="O32" s="12">
        <v>2</v>
      </c>
      <c r="P32">
        <v>10000</v>
      </c>
      <c r="Q32">
        <v>4</v>
      </c>
      <c r="R32" s="7">
        <f>R31-1/3*(R31-R34)</f>
        <v>2.5155470124437516</v>
      </c>
      <c r="S32" s="6">
        <f>10^R32</f>
        <v>327.75325422456251</v>
      </c>
    </row>
    <row r="33" spans="14:19" x14ac:dyDescent="0.25">
      <c r="N33" s="4" t="s">
        <v>94</v>
      </c>
      <c r="O33" s="12">
        <f>O13*O16*O22</f>
        <v>0.45721454336112816</v>
      </c>
      <c r="P33">
        <v>100000</v>
      </c>
      <c r="Q33">
        <v>5</v>
      </c>
      <c r="R33" s="7">
        <f>R31-2/3*(R31-R34)</f>
        <v>2.3227445323353004</v>
      </c>
      <c r="S33" s="6">
        <f>10^R33</f>
        <v>210.25412853805082</v>
      </c>
    </row>
    <row r="34" spans="14:19" x14ac:dyDescent="0.25">
      <c r="N34" t="s">
        <v>42</v>
      </c>
      <c r="O34" s="11"/>
      <c r="P34">
        <v>1000000</v>
      </c>
      <c r="Q34">
        <v>6</v>
      </c>
      <c r="R34" s="7">
        <f>LOG10(O41)</f>
        <v>2.1299420522268488</v>
      </c>
      <c r="S34" s="6">
        <f>10^R34</f>
        <v>134.87829029153286</v>
      </c>
    </row>
    <row r="35" spans="14:19" x14ac:dyDescent="0.25">
      <c r="N35" t="s">
        <v>39</v>
      </c>
      <c r="O35" s="16">
        <f>MIN(0.5*O31,700)</f>
        <v>295</v>
      </c>
    </row>
    <row r="36" spans="14:19" x14ac:dyDescent="0.25">
      <c r="N36" t="s">
        <v>64</v>
      </c>
      <c r="O36" s="16">
        <f>O35*O33</f>
        <v>134.87829029153281</v>
      </c>
    </row>
    <row r="37" spans="14:19" x14ac:dyDescent="0.25">
      <c r="N37" t="s">
        <v>40</v>
      </c>
      <c r="O37" s="16">
        <f>O31+345</f>
        <v>935</v>
      </c>
    </row>
    <row r="38" spans="14:19" x14ac:dyDescent="0.25">
      <c r="N38" t="s">
        <v>0</v>
      </c>
      <c r="O38" s="16">
        <f>-LOG10(O37/O35)/LOG10(2000000)</f>
        <v>-7.9509158858013379E-2</v>
      </c>
    </row>
    <row r="39" spans="14:19" x14ac:dyDescent="0.25">
      <c r="N39" t="s">
        <v>41</v>
      </c>
      <c r="O39" s="16">
        <f>(O37/O31)*(2000)^O38</f>
        <v>0.8659593004187649</v>
      </c>
    </row>
    <row r="40" spans="14:19" x14ac:dyDescent="0.25">
      <c r="N40" s="3" t="s">
        <v>49</v>
      </c>
      <c r="O40" s="17">
        <f>O39*O31</f>
        <v>510.91598724707131</v>
      </c>
    </row>
    <row r="41" spans="14:19" x14ac:dyDescent="0.25">
      <c r="N41" s="3" t="s">
        <v>50</v>
      </c>
      <c r="O41" s="17">
        <f>O36</f>
        <v>134.87829029153281</v>
      </c>
    </row>
    <row r="42" spans="14:19" x14ac:dyDescent="0.25">
      <c r="N42" s="3" t="s">
        <v>18</v>
      </c>
      <c r="O42" s="17">
        <f>(O40)^2/O41</f>
        <v>1935.3384852405443</v>
      </c>
    </row>
    <row r="43" spans="14:19" x14ac:dyDescent="0.25">
      <c r="N43" s="3" t="s">
        <v>0</v>
      </c>
      <c r="O43" s="17">
        <f>-1/3*LOG10(O40/O41)</f>
        <v>-0.19280248010845139</v>
      </c>
    </row>
    <row r="44" spans="14:19" x14ac:dyDescent="0.25">
      <c r="N44" s="3" t="s">
        <v>165</v>
      </c>
      <c r="O44" s="17">
        <f>O42*O32^O43</f>
        <v>1693.2364275576469</v>
      </c>
    </row>
    <row r="45" spans="14:19" x14ac:dyDescent="0.25">
      <c r="O45" s="11"/>
    </row>
    <row r="46" spans="14:19" x14ac:dyDescent="0.25">
      <c r="O46" s="1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2"/>
  <sheetViews>
    <sheetView zoomScale="90" zoomScaleNormal="90" workbookViewId="0">
      <selection activeCell="C31" sqref="C31"/>
    </sheetView>
  </sheetViews>
  <sheetFormatPr defaultColWidth="11" defaultRowHeight="15.75" x14ac:dyDescent="0.25"/>
  <cols>
    <col min="1" max="1" width="13.875" customWidth="1"/>
    <col min="2" max="3" width="10.875" style="5"/>
    <col min="8" max="9" width="10.875" style="5"/>
  </cols>
  <sheetData>
    <row r="1" spans="1:12" x14ac:dyDescent="0.25">
      <c r="A1" s="1" t="s">
        <v>220</v>
      </c>
      <c r="D1" s="44" t="s">
        <v>253</v>
      </c>
    </row>
    <row r="2" spans="1:12" x14ac:dyDescent="0.25">
      <c r="A2" s="1" t="s">
        <v>71</v>
      </c>
    </row>
    <row r="3" spans="1:12" x14ac:dyDescent="0.25">
      <c r="A3" t="s">
        <v>234</v>
      </c>
      <c r="B3" s="4">
        <v>1.6</v>
      </c>
      <c r="C3" s="4">
        <v>1.7</v>
      </c>
      <c r="D3" s="4">
        <v>1.8</v>
      </c>
      <c r="E3" s="4">
        <v>1.9</v>
      </c>
      <c r="F3" s="4">
        <v>2.0299999999999998</v>
      </c>
      <c r="G3" s="4">
        <v>2.1</v>
      </c>
      <c r="H3" s="4">
        <v>2.2999999999999998</v>
      </c>
      <c r="I3" s="4">
        <v>2.4</v>
      </c>
    </row>
    <row r="4" spans="1:12" x14ac:dyDescent="0.25">
      <c r="A4" t="s">
        <v>235</v>
      </c>
      <c r="B4" s="4">
        <v>81000</v>
      </c>
      <c r="C4" s="4">
        <v>81000</v>
      </c>
      <c r="D4" s="4">
        <v>81000</v>
      </c>
      <c r="E4" s="4">
        <v>81000</v>
      </c>
      <c r="F4" s="4">
        <v>81000</v>
      </c>
      <c r="G4" s="4">
        <v>81000</v>
      </c>
      <c r="H4" s="4">
        <v>81000</v>
      </c>
      <c r="I4" s="4">
        <v>81000</v>
      </c>
      <c r="J4" t="s">
        <v>97</v>
      </c>
    </row>
    <row r="5" spans="1:12" x14ac:dyDescent="0.25">
      <c r="A5" t="s">
        <v>236</v>
      </c>
      <c r="B5" s="4">
        <v>196500</v>
      </c>
      <c r="C5" s="4">
        <v>196500</v>
      </c>
      <c r="D5" s="4">
        <v>196500</v>
      </c>
      <c r="E5" s="4">
        <v>196500</v>
      </c>
      <c r="F5" s="4">
        <v>196500</v>
      </c>
      <c r="G5" s="4">
        <v>196500</v>
      </c>
      <c r="H5" s="4">
        <v>196500</v>
      </c>
      <c r="I5" s="4">
        <v>196500</v>
      </c>
      <c r="J5" t="s">
        <v>97</v>
      </c>
    </row>
    <row r="6" spans="1:12" x14ac:dyDescent="0.25">
      <c r="A6" t="s">
        <v>93</v>
      </c>
      <c r="B6" s="4">
        <v>1.2</v>
      </c>
      <c r="C6" s="4">
        <v>1.2</v>
      </c>
      <c r="D6" s="4">
        <v>1.2</v>
      </c>
      <c r="E6" s="4">
        <v>1.2</v>
      </c>
      <c r="F6" s="4">
        <v>1.2</v>
      </c>
      <c r="G6" s="4">
        <v>1.2</v>
      </c>
      <c r="H6" s="4">
        <v>1.2</v>
      </c>
      <c r="I6" s="4">
        <v>1.2</v>
      </c>
      <c r="L6" s="5"/>
    </row>
    <row r="7" spans="1:12" x14ac:dyDescent="0.25">
      <c r="A7" t="s">
        <v>86</v>
      </c>
      <c r="B7" s="4">
        <v>0.15</v>
      </c>
      <c r="C7" s="4">
        <v>0.15</v>
      </c>
      <c r="D7" s="4">
        <v>0.15</v>
      </c>
      <c r="E7" s="4">
        <v>0.15</v>
      </c>
      <c r="F7" s="4">
        <v>0.15</v>
      </c>
      <c r="G7" s="4">
        <v>0.15</v>
      </c>
      <c r="H7" s="4">
        <v>0.15</v>
      </c>
      <c r="I7" s="4">
        <v>0.15</v>
      </c>
    </row>
    <row r="8" spans="1:12" x14ac:dyDescent="0.25">
      <c r="A8" t="s">
        <v>112</v>
      </c>
      <c r="B8" s="4">
        <v>90</v>
      </c>
      <c r="C8" s="4">
        <v>90</v>
      </c>
      <c r="D8" s="4">
        <v>90</v>
      </c>
      <c r="E8" s="4">
        <v>90</v>
      </c>
      <c r="F8" s="4">
        <v>90</v>
      </c>
      <c r="G8" s="4">
        <v>90</v>
      </c>
      <c r="H8" s="4">
        <v>90</v>
      </c>
      <c r="I8" s="4">
        <v>90</v>
      </c>
    </row>
    <row r="9" spans="1:12" x14ac:dyDescent="0.25">
      <c r="A9" t="s">
        <v>114</v>
      </c>
      <c r="B9" s="4">
        <v>50.8</v>
      </c>
      <c r="C9" s="4">
        <v>50.8</v>
      </c>
      <c r="D9" s="4">
        <v>50.8</v>
      </c>
      <c r="E9" s="4">
        <v>50.8</v>
      </c>
      <c r="F9" s="4">
        <v>50.8</v>
      </c>
      <c r="G9" s="4">
        <v>50.8</v>
      </c>
      <c r="H9" s="4">
        <v>50.8</v>
      </c>
      <c r="I9" s="4">
        <v>50.8</v>
      </c>
    </row>
    <row r="10" spans="1:12" x14ac:dyDescent="0.25">
      <c r="A10" t="s">
        <v>89</v>
      </c>
      <c r="B10" s="4">
        <v>2</v>
      </c>
      <c r="C10" s="4">
        <v>2</v>
      </c>
      <c r="D10" s="4">
        <v>2</v>
      </c>
      <c r="E10" s="4">
        <v>2</v>
      </c>
      <c r="F10" s="4">
        <v>2</v>
      </c>
      <c r="G10" s="4">
        <v>2</v>
      </c>
      <c r="H10" s="4">
        <v>2</v>
      </c>
      <c r="I10" s="4">
        <v>2</v>
      </c>
      <c r="J10" t="s">
        <v>107</v>
      </c>
    </row>
    <row r="11" spans="1:12" x14ac:dyDescent="0.25">
      <c r="A11" t="s">
        <v>79</v>
      </c>
      <c r="B11" s="4">
        <v>2211</v>
      </c>
      <c r="C11" s="4">
        <v>2211</v>
      </c>
      <c r="D11" s="4">
        <v>2211</v>
      </c>
      <c r="E11" s="4">
        <v>2211</v>
      </c>
      <c r="F11" s="4">
        <v>2211</v>
      </c>
      <c r="G11" s="4">
        <v>2211</v>
      </c>
      <c r="H11" s="4">
        <v>2211</v>
      </c>
      <c r="I11" s="4">
        <v>2211</v>
      </c>
      <c r="J11" t="s">
        <v>97</v>
      </c>
    </row>
    <row r="12" spans="1:12" x14ac:dyDescent="0.25">
      <c r="A12" t="s">
        <v>83</v>
      </c>
      <c r="B12" s="4">
        <v>0.14499999999999999</v>
      </c>
      <c r="C12" s="4">
        <v>0.14499999999999999</v>
      </c>
      <c r="D12" s="4">
        <v>0.14499999999999999</v>
      </c>
      <c r="E12" s="4">
        <v>0.14499999999999999</v>
      </c>
      <c r="F12" s="4">
        <v>0.14499999999999999</v>
      </c>
      <c r="G12" s="4">
        <v>0.14499999999999999</v>
      </c>
      <c r="H12" s="4">
        <v>0.14499999999999999</v>
      </c>
      <c r="I12" s="4">
        <v>0.14499999999999999</v>
      </c>
      <c r="J12" t="s">
        <v>97</v>
      </c>
    </row>
    <row r="13" spans="1:12" x14ac:dyDescent="0.25">
      <c r="A13" t="s">
        <v>199</v>
      </c>
      <c r="B13" s="4">
        <v>0.45</v>
      </c>
      <c r="C13" s="4">
        <v>0.45</v>
      </c>
      <c r="D13" s="4">
        <v>0.45</v>
      </c>
      <c r="E13" s="4">
        <v>0.45</v>
      </c>
      <c r="F13" s="4">
        <v>0.45</v>
      </c>
      <c r="G13" s="4">
        <v>0.45</v>
      </c>
      <c r="H13" s="4">
        <v>0.45</v>
      </c>
      <c r="I13" s="4">
        <v>0.45</v>
      </c>
      <c r="J13" t="s">
        <v>200</v>
      </c>
    </row>
    <row r="14" spans="1:12" x14ac:dyDescent="0.25">
      <c r="A14" t="s">
        <v>84</v>
      </c>
      <c r="B14" s="4">
        <v>0.5</v>
      </c>
      <c r="C14" s="4">
        <v>0.5</v>
      </c>
      <c r="D14" s="4">
        <v>0.5</v>
      </c>
      <c r="E14" s="4">
        <v>0.5</v>
      </c>
      <c r="F14" s="4">
        <v>0.5</v>
      </c>
      <c r="G14" s="4">
        <v>0.5</v>
      </c>
      <c r="H14" s="4">
        <v>0.5</v>
      </c>
      <c r="I14" s="4">
        <v>0.5</v>
      </c>
      <c r="J14" t="s">
        <v>201</v>
      </c>
    </row>
    <row r="15" spans="1:12" x14ac:dyDescent="0.25">
      <c r="A15" s="1" t="s">
        <v>72</v>
      </c>
    </row>
    <row r="16" spans="1:12" x14ac:dyDescent="0.25">
      <c r="A16" t="s">
        <v>118</v>
      </c>
      <c r="B16" s="18">
        <f t="shared" ref="B16:I16" si="0">B11/B3^B12</f>
        <v>2065.338995964973</v>
      </c>
      <c r="C16" s="18">
        <f t="shared" si="0"/>
        <v>2047.2630539282088</v>
      </c>
      <c r="D16" s="18">
        <f t="shared" si="0"/>
        <v>2030.3655189974095</v>
      </c>
      <c r="E16" s="18">
        <f t="shared" si="0"/>
        <v>2014.5101988975114</v>
      </c>
      <c r="F16" s="18">
        <f t="shared" si="0"/>
        <v>1995.2706631325634</v>
      </c>
      <c r="G16" s="18">
        <f t="shared" si="0"/>
        <v>1985.4865290246037</v>
      </c>
      <c r="H16" s="18">
        <f t="shared" si="0"/>
        <v>1959.4681395574773</v>
      </c>
      <c r="I16" s="18">
        <f t="shared" si="0"/>
        <v>1947.4132139259261</v>
      </c>
    </row>
    <row r="17" spans="1:10" x14ac:dyDescent="0.25">
      <c r="A17" t="s">
        <v>119</v>
      </c>
      <c r="B17" s="18">
        <f>B13*B16</f>
        <v>929.40254818423784</v>
      </c>
      <c r="C17" s="18">
        <f t="shared" ref="C17:I17" si="1">C13*C16</f>
        <v>921.26837426769396</v>
      </c>
      <c r="D17" s="18">
        <f t="shared" si="1"/>
        <v>913.66448354883426</v>
      </c>
      <c r="E17" s="18">
        <f t="shared" si="1"/>
        <v>906.52958950388017</v>
      </c>
      <c r="F17" s="18">
        <f t="shared" si="1"/>
        <v>897.87179840965359</v>
      </c>
      <c r="G17" s="18">
        <f t="shared" si="1"/>
        <v>893.46893806107164</v>
      </c>
      <c r="H17" s="18">
        <f t="shared" si="1"/>
        <v>881.76066280086479</v>
      </c>
      <c r="I17" s="18">
        <f t="shared" si="1"/>
        <v>876.33594626666672</v>
      </c>
    </row>
    <row r="18" spans="1:10" x14ac:dyDescent="0.25">
      <c r="A18" t="s">
        <v>84</v>
      </c>
      <c r="B18" s="18">
        <f t="shared" ref="B18:I18" si="2">B17/B6</f>
        <v>774.50212348686489</v>
      </c>
      <c r="C18" s="18">
        <f t="shared" si="2"/>
        <v>767.72364522307828</v>
      </c>
      <c r="D18" s="18">
        <f t="shared" si="2"/>
        <v>761.38706962402853</v>
      </c>
      <c r="E18" s="18">
        <f t="shared" si="2"/>
        <v>755.44132458656679</v>
      </c>
      <c r="F18" s="18">
        <f t="shared" si="2"/>
        <v>748.22649867471137</v>
      </c>
      <c r="G18" s="18">
        <f t="shared" si="2"/>
        <v>744.5574483842264</v>
      </c>
      <c r="H18" s="18">
        <f t="shared" si="2"/>
        <v>734.80055233405403</v>
      </c>
      <c r="I18" s="18">
        <f t="shared" si="2"/>
        <v>730.27995522222227</v>
      </c>
    </row>
    <row r="19" spans="1:10" x14ac:dyDescent="0.25">
      <c r="A19" t="s">
        <v>85</v>
      </c>
      <c r="B19" s="18">
        <f t="shared" ref="B19:I19" si="3">8*(1+B7)*B8/(PI()*B3^2)</f>
        <v>102.95335381256977</v>
      </c>
      <c r="C19" s="18">
        <f t="shared" si="3"/>
        <v>91.19743451909298</v>
      </c>
      <c r="D19" s="18">
        <f t="shared" si="3"/>
        <v>81.345859802524259</v>
      </c>
      <c r="E19" s="18">
        <f t="shared" si="3"/>
        <v>73.008472509744777</v>
      </c>
      <c r="F19" s="18">
        <f t="shared" si="3"/>
        <v>63.957044762109902</v>
      </c>
      <c r="G19" s="18">
        <f t="shared" si="3"/>
        <v>59.764305161038244</v>
      </c>
      <c r="H19" s="18">
        <f t="shared" si="3"/>
        <v>49.822416967897674</v>
      </c>
      <c r="I19" s="18">
        <f t="shared" si="3"/>
        <v>45.757046138919904</v>
      </c>
    </row>
    <row r="20" spans="1:10" x14ac:dyDescent="0.25">
      <c r="A20" t="s">
        <v>87</v>
      </c>
      <c r="B20" s="18">
        <f>(2*B18-B19)/(4*B19)+SQRT(((2*B18-B19)/(4*B19))^2-3*B18/(4*B19))</f>
        <v>6.0975304348631427</v>
      </c>
      <c r="C20" s="18">
        <f t="shared" ref="C20:I20" si="4">(2*C18-C19)/(4*C19)+SQRT(((2*C18-C19)/(4*C19))^2-3*C18/(4*C19))</f>
        <v>7.0187068584408685</v>
      </c>
      <c r="D20" s="18">
        <f t="shared" si="4"/>
        <v>7.9802106056081463</v>
      </c>
      <c r="E20" s="18">
        <f t="shared" si="4"/>
        <v>8.983445523270829</v>
      </c>
      <c r="F20" s="18">
        <f t="shared" si="4"/>
        <v>10.351247490400016</v>
      </c>
      <c r="G20" s="18">
        <f t="shared" si="4"/>
        <v>11.117805665650089</v>
      </c>
      <c r="H20" s="18">
        <f t="shared" si="4"/>
        <v>13.424424475612117</v>
      </c>
      <c r="I20" s="18">
        <f t="shared" si="4"/>
        <v>14.642462702632049</v>
      </c>
      <c r="J20" t="s">
        <v>217</v>
      </c>
    </row>
    <row r="21" spans="1:10" x14ac:dyDescent="0.25">
      <c r="A21" t="s">
        <v>109</v>
      </c>
      <c r="B21" s="18">
        <f t="shared" ref="B21:I21" si="5">B20*B3</f>
        <v>9.7560486957810291</v>
      </c>
      <c r="C21" s="18">
        <f t="shared" si="5"/>
        <v>11.931801659349476</v>
      </c>
      <c r="D21" s="18">
        <f t="shared" si="5"/>
        <v>14.364379090094664</v>
      </c>
      <c r="E21" s="18">
        <f t="shared" si="5"/>
        <v>17.068546494214573</v>
      </c>
      <c r="F21" s="18">
        <f t="shared" si="5"/>
        <v>21.013032405512032</v>
      </c>
      <c r="G21" s="18">
        <f t="shared" si="5"/>
        <v>23.347391897865187</v>
      </c>
      <c r="H21" s="18">
        <f t="shared" si="5"/>
        <v>30.876176293907868</v>
      </c>
      <c r="I21" s="18">
        <f t="shared" si="5"/>
        <v>35.141910486316917</v>
      </c>
    </row>
    <row r="22" spans="1:10" x14ac:dyDescent="0.25">
      <c r="A22" t="s">
        <v>120</v>
      </c>
      <c r="B22" s="18">
        <f t="shared" ref="B22:I22" si="6">B21+B3</f>
        <v>11.356048695781029</v>
      </c>
      <c r="C22" s="18">
        <f t="shared" si="6"/>
        <v>13.631801659349476</v>
      </c>
      <c r="D22" s="18">
        <f t="shared" si="6"/>
        <v>16.164379090094663</v>
      </c>
      <c r="E22" s="18">
        <f t="shared" si="6"/>
        <v>18.968546494214571</v>
      </c>
      <c r="F22" s="18">
        <f t="shared" si="6"/>
        <v>23.043032405512033</v>
      </c>
      <c r="G22" s="18">
        <f t="shared" si="6"/>
        <v>25.447391897865188</v>
      </c>
      <c r="H22" s="18">
        <f t="shared" si="6"/>
        <v>33.176176293907865</v>
      </c>
      <c r="I22" s="18">
        <f t="shared" si="6"/>
        <v>37.541910486316915</v>
      </c>
    </row>
    <row r="23" spans="1:10" x14ac:dyDescent="0.25">
      <c r="A23" t="s">
        <v>121</v>
      </c>
      <c r="B23" s="18">
        <f t="shared" ref="B23:I23" si="7">B21-B3</f>
        <v>8.1560486957810294</v>
      </c>
      <c r="C23" s="18">
        <f t="shared" si="7"/>
        <v>10.231801659349477</v>
      </c>
      <c r="D23" s="18">
        <f t="shared" si="7"/>
        <v>12.564379090094663</v>
      </c>
      <c r="E23" s="18">
        <f t="shared" si="7"/>
        <v>15.168546494214572</v>
      </c>
      <c r="F23" s="18">
        <f t="shared" si="7"/>
        <v>18.983032405512031</v>
      </c>
      <c r="G23" s="18">
        <f t="shared" si="7"/>
        <v>21.247391897865185</v>
      </c>
      <c r="H23" s="18">
        <f t="shared" si="7"/>
        <v>28.576176293907867</v>
      </c>
      <c r="I23" s="18">
        <f t="shared" si="7"/>
        <v>32.741910486316918</v>
      </c>
    </row>
    <row r="24" spans="1:10" x14ac:dyDescent="0.25">
      <c r="A24" t="s">
        <v>88</v>
      </c>
      <c r="B24" s="18">
        <f t="shared" ref="B24:I24" si="8">B3^4*B4*B9/(8*B21^3*B8)</f>
        <v>40.334277997734794</v>
      </c>
      <c r="C24" s="18">
        <f t="shared" si="8"/>
        <v>28.099192764387933</v>
      </c>
      <c r="D24" s="18">
        <f t="shared" si="8"/>
        <v>20.241639270193748</v>
      </c>
      <c r="E24" s="18">
        <f t="shared" si="8"/>
        <v>14.97755834603217</v>
      </c>
      <c r="F24" s="18">
        <f t="shared" si="8"/>
        <v>10.460060478650545</v>
      </c>
      <c r="G24" s="18">
        <f t="shared" si="8"/>
        <v>8.7332982907889551</v>
      </c>
      <c r="H24" s="18">
        <f t="shared" si="8"/>
        <v>5.4332169003837683</v>
      </c>
      <c r="I24" s="18">
        <f t="shared" si="8"/>
        <v>4.3690307066466003</v>
      </c>
      <c r="J24" t="s">
        <v>218</v>
      </c>
    </row>
    <row r="25" spans="1:10" x14ac:dyDescent="0.25">
      <c r="A25" t="s">
        <v>90</v>
      </c>
      <c r="B25" s="18">
        <f t="shared" ref="B25:I25" si="9">B24+B10</f>
        <v>42.334277997734794</v>
      </c>
      <c r="C25" s="18">
        <f t="shared" si="9"/>
        <v>30.099192764387933</v>
      </c>
      <c r="D25" s="18">
        <f t="shared" si="9"/>
        <v>22.241639270193748</v>
      </c>
      <c r="E25" s="18">
        <f t="shared" si="9"/>
        <v>16.977558346032168</v>
      </c>
      <c r="F25" s="18">
        <f t="shared" si="9"/>
        <v>12.460060478650545</v>
      </c>
      <c r="G25" s="18">
        <f t="shared" si="9"/>
        <v>10.733298290788955</v>
      </c>
      <c r="H25" s="18">
        <f t="shared" si="9"/>
        <v>7.4332169003837683</v>
      </c>
      <c r="I25" s="18">
        <f t="shared" si="9"/>
        <v>6.3690307066466003</v>
      </c>
    </row>
    <row r="26" spans="1:10" x14ac:dyDescent="0.25">
      <c r="A26" t="s">
        <v>122</v>
      </c>
      <c r="B26" s="18">
        <f t="shared" ref="B26:I26" si="10">B3*B25</f>
        <v>67.734844796375668</v>
      </c>
      <c r="C26" s="18">
        <f t="shared" si="10"/>
        <v>51.168627699459485</v>
      </c>
      <c r="D26" s="18">
        <f t="shared" si="10"/>
        <v>40.034950686348743</v>
      </c>
      <c r="E26" s="18">
        <f t="shared" si="10"/>
        <v>32.257360857461116</v>
      </c>
      <c r="F26" s="18">
        <f t="shared" si="10"/>
        <v>25.293922771660604</v>
      </c>
      <c r="G26" s="18">
        <f t="shared" si="10"/>
        <v>22.539926410656808</v>
      </c>
      <c r="H26" s="18">
        <f t="shared" si="10"/>
        <v>17.096398870882666</v>
      </c>
      <c r="I26" s="18">
        <f t="shared" si="10"/>
        <v>15.285673695951839</v>
      </c>
      <c r="J26" t="s">
        <v>91</v>
      </c>
    </row>
    <row r="27" spans="1:10" x14ac:dyDescent="0.25">
      <c r="B27" s="18">
        <f t="shared" ref="B27:I27" si="11">B3*(B25+1)</f>
        <v>69.334844796375677</v>
      </c>
      <c r="C27" s="18">
        <f t="shared" si="11"/>
        <v>52.868627699459488</v>
      </c>
      <c r="D27" s="18">
        <f t="shared" si="11"/>
        <v>41.834950686348748</v>
      </c>
      <c r="E27" s="18">
        <f t="shared" si="11"/>
        <v>34.157360857461121</v>
      </c>
      <c r="F27" s="18">
        <f t="shared" si="11"/>
        <v>27.323922771660605</v>
      </c>
      <c r="G27" s="18">
        <f t="shared" si="11"/>
        <v>24.639926410656805</v>
      </c>
      <c r="H27" s="18">
        <f t="shared" si="11"/>
        <v>19.396398870882667</v>
      </c>
      <c r="I27" s="18">
        <f t="shared" si="11"/>
        <v>17.685673695951841</v>
      </c>
      <c r="J27" t="s">
        <v>92</v>
      </c>
    </row>
    <row r="28" spans="1:10" x14ac:dyDescent="0.25">
      <c r="A28" t="s">
        <v>133</v>
      </c>
      <c r="B28" s="18">
        <f t="shared" ref="B28:I28" si="12">B26+(1+B7)*B9</f>
        <v>126.15484479637567</v>
      </c>
      <c r="C28" s="18">
        <f t="shared" si="12"/>
        <v>109.58862769945948</v>
      </c>
      <c r="D28" s="18">
        <f t="shared" si="12"/>
        <v>98.454950686348738</v>
      </c>
      <c r="E28" s="18">
        <f t="shared" si="12"/>
        <v>90.67736085746111</v>
      </c>
      <c r="F28" s="18">
        <f t="shared" si="12"/>
        <v>83.713922771660606</v>
      </c>
      <c r="G28" s="18">
        <f t="shared" si="12"/>
        <v>80.959926410656806</v>
      </c>
      <c r="H28" s="18">
        <f t="shared" si="12"/>
        <v>75.516398870882654</v>
      </c>
      <c r="I28" s="18">
        <f t="shared" si="12"/>
        <v>73.70567369595183</v>
      </c>
      <c r="J28" t="s">
        <v>91</v>
      </c>
    </row>
    <row r="29" spans="1:10" x14ac:dyDescent="0.25">
      <c r="B29" s="18">
        <f t="shared" ref="B29:I29" si="13">B27+(1+B7)*B9</f>
        <v>127.75484479637566</v>
      </c>
      <c r="C29" s="18">
        <f t="shared" si="13"/>
        <v>111.28862769945948</v>
      </c>
      <c r="D29" s="18">
        <f t="shared" si="13"/>
        <v>100.25495068634874</v>
      </c>
      <c r="E29" s="18">
        <f t="shared" si="13"/>
        <v>92.577360857461116</v>
      </c>
      <c r="F29" s="18">
        <f t="shared" si="13"/>
        <v>85.743922771660607</v>
      </c>
      <c r="G29" s="18">
        <f t="shared" si="13"/>
        <v>83.0599264106568</v>
      </c>
      <c r="H29" s="18">
        <f t="shared" si="13"/>
        <v>77.816398870882665</v>
      </c>
      <c r="I29" s="18">
        <f t="shared" si="13"/>
        <v>76.105673695951836</v>
      </c>
      <c r="J29" t="s">
        <v>92</v>
      </c>
    </row>
    <row r="30" spans="1:10" x14ac:dyDescent="0.25">
      <c r="A30" t="s">
        <v>124</v>
      </c>
      <c r="B30" s="18">
        <f t="shared" ref="B30:I30" si="14">PI()*B21/B14*SQRT(2*(B5-B4)/(2*B4+B5))</f>
        <v>49.20567996899387</v>
      </c>
      <c r="C30" s="18">
        <f>PI()*C21/C14*SQRT(2*(C5-C4)/(2*C4+C5))</f>
        <v>60.17932384422754</v>
      </c>
      <c r="D30" s="18">
        <f t="shared" si="14"/>
        <v>72.448289517677637</v>
      </c>
      <c r="E30" s="18">
        <f t="shared" si="14"/>
        <v>86.087048406535033</v>
      </c>
      <c r="F30" s="18">
        <f>PI()*F21/F14*SQRT(2*(F5-F4)/(2*F4+F5))</f>
        <v>105.98148696929478</v>
      </c>
      <c r="G30" s="18">
        <f t="shared" si="14"/>
        <v>117.75507991609759</v>
      </c>
      <c r="H30" s="18">
        <f t="shared" si="14"/>
        <v>155.72731305054623</v>
      </c>
      <c r="I30" s="18">
        <f t="shared" si="14"/>
        <v>177.24200183999886</v>
      </c>
      <c r="J30" t="s">
        <v>216</v>
      </c>
    </row>
    <row r="31" spans="1:10" x14ac:dyDescent="0.25">
      <c r="A31" t="s">
        <v>219</v>
      </c>
      <c r="B31" s="18">
        <f t="shared" ref="B31:I31" si="15">PI()^2*B3^2*B25*B21/4</f>
        <v>2608.8303372661403</v>
      </c>
      <c r="C31" s="18">
        <f t="shared" si="15"/>
        <v>2560.9344990939321</v>
      </c>
      <c r="D31" s="18">
        <f t="shared" si="15"/>
        <v>2554.1030466431157</v>
      </c>
      <c r="E31" s="18">
        <f t="shared" si="15"/>
        <v>2581.1825898313809</v>
      </c>
      <c r="F31" s="18">
        <f t="shared" si="15"/>
        <v>2662.2001922653758</v>
      </c>
      <c r="G31" s="18">
        <f t="shared" si="15"/>
        <v>2726.7788440574782</v>
      </c>
      <c r="H31" s="18">
        <f t="shared" si="15"/>
        <v>2995.6822331471985</v>
      </c>
      <c r="I31" s="18">
        <f t="shared" si="15"/>
        <v>3180.9800720985418</v>
      </c>
      <c r="J31" t="s">
        <v>202</v>
      </c>
    </row>
    <row r="32" spans="1:10" x14ac:dyDescent="0.25">
      <c r="D32" s="5"/>
      <c r="E32" s="5"/>
      <c r="F32" s="5"/>
      <c r="G32" s="5"/>
    </row>
  </sheetData>
  <conditionalFormatting sqref="B20:I20">
    <cfRule type="cellIs" dxfId="7" priority="19" operator="lessThan">
      <formula>4</formula>
    </cfRule>
    <cfRule type="cellIs" dxfId="6" priority="20" operator="greaterThan">
      <formula>12</formula>
    </cfRule>
  </conditionalFormatting>
  <conditionalFormatting sqref="B24:I24">
    <cfRule type="cellIs" dxfId="5" priority="17" operator="lessThan">
      <formula>3</formula>
    </cfRule>
    <cfRule type="cellIs" dxfId="4" priority="18" operator="greaterThan">
      <formula>15</formula>
    </cfRule>
  </conditionalFormatting>
  <conditionalFormatting sqref="B31:I31">
    <cfRule type="colorScale" priority="14">
      <colorScale>
        <cfvo type="min"/>
        <cfvo type="max"/>
        <color rgb="FFFFFF00"/>
        <color rgb="FFFF0000"/>
      </colorScale>
    </cfRule>
  </conditionalFormatting>
  <conditionalFormatting sqref="B29:I29">
    <cfRule type="expression" dxfId="3" priority="2">
      <formula>B$30&lt;B$29</formula>
    </cfRule>
  </conditionalFormatting>
  <conditionalFormatting sqref="B28:I28">
    <cfRule type="expression" dxfId="2" priority="1">
      <formula>B$30&lt;B$28</formula>
    </cfRule>
  </conditionalFormatting>
  <hyperlinks>
    <hyperlink ref="D1" r:id="rId1" xr:uid="{071B591E-0E11-47A8-B471-86FB812BF9B2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7"/>
  <sheetViews>
    <sheetView topLeftCell="A11" zoomScale="70" zoomScaleNormal="70" workbookViewId="0">
      <selection activeCell="J6" sqref="J5:J6"/>
    </sheetView>
  </sheetViews>
  <sheetFormatPr defaultColWidth="11" defaultRowHeight="15.75" x14ac:dyDescent="0.25"/>
  <cols>
    <col min="1" max="1" width="19.125" customWidth="1"/>
    <col min="2" max="2" width="14.875" customWidth="1"/>
    <col min="3" max="5" width="13.625" customWidth="1"/>
    <col min="7" max="7" width="25" bestFit="1" customWidth="1"/>
  </cols>
  <sheetData>
    <row r="1" spans="1:10" x14ac:dyDescent="0.25">
      <c r="A1" s="1" t="s">
        <v>211</v>
      </c>
      <c r="B1" s="1"/>
      <c r="C1" s="1"/>
      <c r="D1" s="1"/>
      <c r="E1" s="1"/>
    </row>
    <row r="2" spans="1:10" x14ac:dyDescent="0.25">
      <c r="D2" s="1" t="s">
        <v>245</v>
      </c>
    </row>
    <row r="3" spans="1:10" ht="15" customHeight="1" x14ac:dyDescent="0.25">
      <c r="A3" s="40"/>
      <c r="B3" s="41" t="s">
        <v>244</v>
      </c>
      <c r="C3" s="42" t="s">
        <v>248</v>
      </c>
      <c r="D3" s="43">
        <v>2</v>
      </c>
    </row>
    <row r="4" spans="1:10" x14ac:dyDescent="0.25">
      <c r="A4" s="1" t="s">
        <v>71</v>
      </c>
      <c r="B4" s="1"/>
      <c r="C4" s="1"/>
      <c r="D4" s="1"/>
      <c r="E4" s="1"/>
      <c r="J4" s="5"/>
    </row>
    <row r="5" spans="1:10" x14ac:dyDescent="0.25">
      <c r="A5" t="s">
        <v>108</v>
      </c>
      <c r="B5" s="10">
        <v>3</v>
      </c>
      <c r="C5" s="10">
        <v>3.5</v>
      </c>
      <c r="D5" s="10">
        <v>4</v>
      </c>
      <c r="E5" s="10">
        <v>4.5</v>
      </c>
      <c r="G5" s="30" t="s">
        <v>240</v>
      </c>
      <c r="H5" s="32">
        <v>3</v>
      </c>
      <c r="I5" t="s">
        <v>241</v>
      </c>
      <c r="J5" s="5">
        <f>H5*15</f>
        <v>45</v>
      </c>
    </row>
    <row r="6" spans="1:10" x14ac:dyDescent="0.25">
      <c r="A6" t="s">
        <v>109</v>
      </c>
      <c r="B6" s="10">
        <v>9.2364507128488906</v>
      </c>
      <c r="C6" s="10">
        <v>17.393083374794141</v>
      </c>
      <c r="D6" s="10">
        <v>28.051172140004144</v>
      </c>
      <c r="E6" s="10">
        <v>41.792940468735871</v>
      </c>
      <c r="F6">
        <v>0</v>
      </c>
      <c r="G6">
        <v>0</v>
      </c>
      <c r="H6">
        <v>0</v>
      </c>
      <c r="I6" t="s">
        <v>242</v>
      </c>
      <c r="J6" s="31">
        <f>H5*20</f>
        <v>60</v>
      </c>
    </row>
    <row r="7" spans="1:10" x14ac:dyDescent="0.25">
      <c r="A7" t="s">
        <v>110</v>
      </c>
      <c r="B7" s="10">
        <v>77200</v>
      </c>
      <c r="C7" s="10">
        <v>77200</v>
      </c>
      <c r="D7" s="10">
        <v>77200</v>
      </c>
      <c r="E7" s="10">
        <v>77200</v>
      </c>
      <c r="F7" t="s">
        <v>97</v>
      </c>
    </row>
    <row r="8" spans="1:10" x14ac:dyDescent="0.25">
      <c r="A8" t="s">
        <v>117</v>
      </c>
      <c r="B8" s="10">
        <v>203400</v>
      </c>
      <c r="C8" s="10">
        <v>203400</v>
      </c>
      <c r="D8" s="10">
        <v>203400</v>
      </c>
      <c r="E8" s="10">
        <v>203400</v>
      </c>
      <c r="F8" t="s">
        <v>97</v>
      </c>
    </row>
    <row r="9" spans="1:10" x14ac:dyDescent="0.25">
      <c r="A9" t="s">
        <v>79</v>
      </c>
      <c r="B9" s="10">
        <v>2005</v>
      </c>
      <c r="C9" s="10">
        <v>2005</v>
      </c>
      <c r="D9" s="10">
        <v>2005</v>
      </c>
      <c r="E9" s="10">
        <v>2005</v>
      </c>
      <c r="F9" t="s">
        <v>97</v>
      </c>
    </row>
    <row r="10" spans="1:10" x14ac:dyDescent="0.25">
      <c r="A10" t="s">
        <v>83</v>
      </c>
      <c r="B10" s="29">
        <v>0.16800000000000001</v>
      </c>
      <c r="C10" s="29">
        <v>0.16800000000000001</v>
      </c>
      <c r="D10" s="29">
        <v>0.16800000000000001</v>
      </c>
      <c r="E10" s="29">
        <v>0.16800000000000001</v>
      </c>
      <c r="F10" t="s">
        <v>97</v>
      </c>
    </row>
    <row r="11" spans="1:10" x14ac:dyDescent="0.25">
      <c r="A11" t="s">
        <v>243</v>
      </c>
      <c r="B11" s="10">
        <v>0.15</v>
      </c>
      <c r="C11" s="10">
        <v>0.15</v>
      </c>
      <c r="D11" s="10">
        <v>0.15</v>
      </c>
      <c r="E11" s="10">
        <v>0.15</v>
      </c>
    </row>
    <row r="12" spans="1:10" x14ac:dyDescent="0.25">
      <c r="A12" t="s">
        <v>111</v>
      </c>
      <c r="B12" s="10">
        <v>80</v>
      </c>
      <c r="C12" s="10">
        <v>80</v>
      </c>
      <c r="D12" s="10">
        <v>80</v>
      </c>
      <c r="E12" s="10">
        <v>80</v>
      </c>
    </row>
    <row r="13" spans="1:10" x14ac:dyDescent="0.25">
      <c r="A13" t="s">
        <v>112</v>
      </c>
      <c r="B13" s="10">
        <v>320</v>
      </c>
      <c r="C13" s="10">
        <v>320</v>
      </c>
      <c r="D13" s="10">
        <v>320</v>
      </c>
      <c r="E13" s="10">
        <v>320</v>
      </c>
    </row>
    <row r="14" spans="1:10" x14ac:dyDescent="0.25">
      <c r="A14" t="s">
        <v>113</v>
      </c>
      <c r="B14" s="10">
        <v>4</v>
      </c>
      <c r="C14" s="10">
        <v>4</v>
      </c>
      <c r="D14" s="10">
        <v>4</v>
      </c>
      <c r="E14" s="10">
        <v>4</v>
      </c>
    </row>
    <row r="15" spans="1:10" x14ac:dyDescent="0.25">
      <c r="A15" t="s">
        <v>114</v>
      </c>
      <c r="B15" s="10">
        <v>16</v>
      </c>
      <c r="C15" s="10">
        <v>16</v>
      </c>
      <c r="D15" s="10">
        <v>16</v>
      </c>
      <c r="E15" s="10">
        <v>16</v>
      </c>
    </row>
    <row r="16" spans="1:10" x14ac:dyDescent="0.25">
      <c r="A16" t="s">
        <v>89</v>
      </c>
      <c r="B16" s="10">
        <v>2</v>
      </c>
      <c r="C16" s="10">
        <v>2</v>
      </c>
      <c r="D16" s="10">
        <v>2</v>
      </c>
      <c r="E16" s="10">
        <v>2</v>
      </c>
    </row>
    <row r="17" spans="1:9" x14ac:dyDescent="0.25">
      <c r="A17" t="s">
        <v>199</v>
      </c>
      <c r="B17" s="4">
        <v>0.5</v>
      </c>
      <c r="C17" s="4">
        <v>0.5</v>
      </c>
      <c r="D17" s="4">
        <v>0.5</v>
      </c>
      <c r="E17" s="4">
        <v>0.5</v>
      </c>
      <c r="F17" t="s">
        <v>200</v>
      </c>
    </row>
    <row r="18" spans="1:9" x14ac:dyDescent="0.25">
      <c r="A18" t="s">
        <v>84</v>
      </c>
      <c r="B18" s="10">
        <v>0.5</v>
      </c>
      <c r="C18" s="10">
        <v>0.5</v>
      </c>
      <c r="D18" s="10">
        <v>0.5</v>
      </c>
      <c r="E18" s="10">
        <v>0.5</v>
      </c>
      <c r="F18" t="s">
        <v>106</v>
      </c>
    </row>
    <row r="19" spans="1:9" x14ac:dyDescent="0.25">
      <c r="A19" t="s">
        <v>115</v>
      </c>
      <c r="B19" s="10">
        <v>241</v>
      </c>
      <c r="C19" s="10">
        <v>241</v>
      </c>
      <c r="D19" s="10">
        <v>241</v>
      </c>
      <c r="E19" s="10">
        <v>241</v>
      </c>
      <c r="F19" t="s">
        <v>237</v>
      </c>
    </row>
    <row r="20" spans="1:9" x14ac:dyDescent="0.25">
      <c r="A20" t="s">
        <v>116</v>
      </c>
      <c r="B20" s="10">
        <v>379</v>
      </c>
      <c r="C20" s="10">
        <v>379</v>
      </c>
      <c r="D20" s="10">
        <v>379</v>
      </c>
      <c r="E20" s="10">
        <v>379</v>
      </c>
      <c r="F20" t="s">
        <v>237</v>
      </c>
    </row>
    <row r="21" spans="1:9" x14ac:dyDescent="0.25">
      <c r="A21" t="s">
        <v>134</v>
      </c>
      <c r="B21" s="19">
        <v>7860</v>
      </c>
      <c r="C21" s="19">
        <v>7860</v>
      </c>
      <c r="D21" s="19">
        <v>7860</v>
      </c>
      <c r="E21" s="19">
        <v>7860</v>
      </c>
      <c r="F21" t="s">
        <v>239</v>
      </c>
    </row>
    <row r="22" spans="1:9" x14ac:dyDescent="0.25">
      <c r="A22" s="1" t="s">
        <v>72</v>
      </c>
      <c r="B22" s="9"/>
      <c r="C22" s="9"/>
      <c r="D22" s="9"/>
      <c r="E22" s="9"/>
    </row>
    <row r="23" spans="1:9" x14ac:dyDescent="0.25">
      <c r="A23" t="s">
        <v>118</v>
      </c>
      <c r="B23" s="18">
        <f t="shared" ref="B23:E23" si="0">B9/B5^B10</f>
        <v>1667.0860069055227</v>
      </c>
      <c r="C23" s="18">
        <f t="shared" si="0"/>
        <v>1624.4671950552472</v>
      </c>
      <c r="D23" s="18">
        <f t="shared" si="0"/>
        <v>1588.4307959045632</v>
      </c>
      <c r="E23" s="18">
        <f t="shared" si="0"/>
        <v>1557.3085738648349</v>
      </c>
    </row>
    <row r="24" spans="1:9" x14ac:dyDescent="0.25">
      <c r="A24" t="s">
        <v>119</v>
      </c>
      <c r="B24" s="18">
        <f>B17*B23</f>
        <v>833.54300345276135</v>
      </c>
      <c r="C24" s="18">
        <f t="shared" ref="C24:E24" si="1">C17*C23</f>
        <v>812.2335975276236</v>
      </c>
      <c r="D24" s="18">
        <f t="shared" si="1"/>
        <v>794.21539795228159</v>
      </c>
      <c r="E24" s="18">
        <f t="shared" si="1"/>
        <v>778.65428693241745</v>
      </c>
    </row>
    <row r="25" spans="1:9" x14ac:dyDescent="0.25">
      <c r="A25" t="s">
        <v>125</v>
      </c>
      <c r="B25" s="18">
        <f>0.67*B23</f>
        <v>1116.9476246267002</v>
      </c>
      <c r="C25" s="18">
        <f t="shared" ref="C25:E25" si="2">0.67*C23</f>
        <v>1088.3930206870157</v>
      </c>
      <c r="D25" s="18">
        <f t="shared" si="2"/>
        <v>1064.2486332560575</v>
      </c>
      <c r="E25" s="18">
        <f t="shared" si="2"/>
        <v>1043.3967444894395</v>
      </c>
    </row>
    <row r="26" spans="1:9" x14ac:dyDescent="0.25">
      <c r="A26" t="s">
        <v>87</v>
      </c>
      <c r="B26" s="53">
        <f t="shared" ref="B26:E26" si="3">B6/B5</f>
        <v>3.0788169042829634</v>
      </c>
      <c r="C26" s="18">
        <f t="shared" si="3"/>
        <v>4.9694523927983258</v>
      </c>
      <c r="D26" s="18">
        <f t="shared" si="3"/>
        <v>7.0127930350010361</v>
      </c>
      <c r="E26" s="18">
        <f t="shared" si="3"/>
        <v>9.2873201041635269</v>
      </c>
      <c r="F26" t="s">
        <v>217</v>
      </c>
    </row>
    <row r="27" spans="1:9" x14ac:dyDescent="0.25">
      <c r="A27" t="s">
        <v>120</v>
      </c>
      <c r="B27" s="18">
        <f t="shared" ref="B27:E27" si="4">B6+B5</f>
        <v>12.236450712848891</v>
      </c>
      <c r="C27" s="18">
        <f t="shared" si="4"/>
        <v>20.893083374794141</v>
      </c>
      <c r="D27" s="18">
        <f t="shared" si="4"/>
        <v>32.051172140004141</v>
      </c>
      <c r="E27" s="18">
        <f t="shared" si="4"/>
        <v>46.292940468735871</v>
      </c>
    </row>
    <row r="28" spans="1:9" x14ac:dyDescent="0.25">
      <c r="A28" t="s">
        <v>126</v>
      </c>
      <c r="B28" s="18">
        <f t="shared" ref="B28:E28" si="5">B6-B5</f>
        <v>6.2364507128488906</v>
      </c>
      <c r="C28" s="18">
        <f t="shared" si="5"/>
        <v>13.893083374794141</v>
      </c>
      <c r="D28" s="18">
        <f t="shared" si="5"/>
        <v>24.051172140004144</v>
      </c>
      <c r="E28" s="18">
        <f t="shared" si="5"/>
        <v>37.292940468735871</v>
      </c>
      <c r="I28" t="s">
        <v>262</v>
      </c>
    </row>
    <row r="29" spans="1:9" x14ac:dyDescent="0.25">
      <c r="A29" t="s">
        <v>88</v>
      </c>
      <c r="B29" s="53">
        <f t="shared" ref="B29:D29" si="6">B5^4*B7*(B15-B14)/(8*B6^3*(B13-B12))</f>
        <v>49.598322164500054</v>
      </c>
      <c r="C29" s="18">
        <f t="shared" si="6"/>
        <v>13.760675663711469</v>
      </c>
      <c r="D29" s="18">
        <f t="shared" si="6"/>
        <v>5.5960842349902169</v>
      </c>
      <c r="E29" s="53">
        <f>E5^4*E7*(E15-E14)/(8*E6^3*(E13-E12))</f>
        <v>2.7104324478274515</v>
      </c>
      <c r="F29" t="s">
        <v>218</v>
      </c>
      <c r="I29" t="s">
        <v>263</v>
      </c>
    </row>
    <row r="30" spans="1:9" x14ac:dyDescent="0.25">
      <c r="A30" t="s">
        <v>90</v>
      </c>
      <c r="B30" s="18">
        <f t="shared" ref="B30:E30" si="7">B29+B16</f>
        <v>51.598322164500054</v>
      </c>
      <c r="C30" s="18">
        <f t="shared" si="7"/>
        <v>15.760675663711469</v>
      </c>
      <c r="D30" s="18">
        <f t="shared" si="7"/>
        <v>7.5960842349902169</v>
      </c>
      <c r="E30" s="18">
        <f t="shared" si="7"/>
        <v>4.7104324478274515</v>
      </c>
      <c r="I30" t="s">
        <v>264</v>
      </c>
    </row>
    <row r="31" spans="1:9" x14ac:dyDescent="0.25">
      <c r="A31" t="s">
        <v>96</v>
      </c>
      <c r="B31" s="18">
        <f t="shared" ref="B31:E31" si="8">(4*B26+2)/(4*B26-3)</f>
        <v>1.5367532319527162</v>
      </c>
      <c r="C31" s="18">
        <f t="shared" si="8"/>
        <v>1.2962469732170634</v>
      </c>
      <c r="D31" s="18">
        <f t="shared" si="8"/>
        <v>1.1995914591164185</v>
      </c>
      <c r="E31" s="18">
        <f t="shared" si="8"/>
        <v>1.1464159695019978</v>
      </c>
      <c r="I31" t="s">
        <v>265</v>
      </c>
    </row>
    <row r="32" spans="1:9" x14ac:dyDescent="0.25">
      <c r="A32" t="s">
        <v>127</v>
      </c>
      <c r="B32" s="18">
        <f t="shared" ref="B32:E32" si="9">(B13-B12)/2</f>
        <v>120</v>
      </c>
      <c r="C32" s="18">
        <f t="shared" si="9"/>
        <v>120</v>
      </c>
      <c r="D32" s="18">
        <f t="shared" si="9"/>
        <v>120</v>
      </c>
      <c r="E32" s="18">
        <f t="shared" si="9"/>
        <v>120</v>
      </c>
    </row>
    <row r="33" spans="1:8" x14ac:dyDescent="0.25">
      <c r="A33" t="s">
        <v>128</v>
      </c>
      <c r="B33" s="18">
        <f t="shared" ref="B33:E33" si="10">(B13+B12)/2</f>
        <v>200</v>
      </c>
      <c r="C33" s="18">
        <f t="shared" si="10"/>
        <v>200</v>
      </c>
      <c r="D33" s="18">
        <f t="shared" si="10"/>
        <v>200</v>
      </c>
      <c r="E33" s="18">
        <f t="shared" si="10"/>
        <v>200</v>
      </c>
    </row>
    <row r="34" spans="1:8" x14ac:dyDescent="0.25">
      <c r="A34" t="s">
        <v>129</v>
      </c>
      <c r="B34" s="18">
        <f t="shared" ref="B34:E34" si="11">(1+B11)*B13</f>
        <v>368</v>
      </c>
      <c r="C34" s="18">
        <f t="shared" si="11"/>
        <v>368</v>
      </c>
      <c r="D34" s="18">
        <f t="shared" si="11"/>
        <v>368</v>
      </c>
      <c r="E34" s="18">
        <f t="shared" si="11"/>
        <v>368</v>
      </c>
    </row>
    <row r="35" spans="1:8" x14ac:dyDescent="0.25">
      <c r="A35" t="s">
        <v>95</v>
      </c>
      <c r="B35" s="18">
        <f t="shared" ref="B35:E35" si="12">B32/B33</f>
        <v>0.6</v>
      </c>
      <c r="C35" s="18">
        <f t="shared" si="12"/>
        <v>0.6</v>
      </c>
      <c r="D35" s="18">
        <f t="shared" si="12"/>
        <v>0.6</v>
      </c>
      <c r="E35" s="18">
        <f t="shared" si="12"/>
        <v>0.6</v>
      </c>
    </row>
    <row r="36" spans="1:8" x14ac:dyDescent="0.25">
      <c r="A36" t="s">
        <v>130</v>
      </c>
      <c r="B36" s="18">
        <f t="shared" ref="B36:E36" si="13">B31*8*B32*B6/(PI()*B5^3)</f>
        <v>160.64486519909519</v>
      </c>
      <c r="C36" s="18">
        <f t="shared" si="13"/>
        <v>160.68730293726577</v>
      </c>
      <c r="D36" s="18">
        <f t="shared" si="13"/>
        <v>160.66665969044104</v>
      </c>
      <c r="E36" s="18">
        <f t="shared" si="13"/>
        <v>160.66784715753312</v>
      </c>
    </row>
    <row r="37" spans="1:8" x14ac:dyDescent="0.25">
      <c r="A37" t="s">
        <v>131</v>
      </c>
      <c r="B37" s="18">
        <f t="shared" ref="B37:E37" si="14">B31*8*B33*B6/(PI()*B5^3)</f>
        <v>267.74144199849201</v>
      </c>
      <c r="C37" s="18">
        <f t="shared" si="14"/>
        <v>267.81217156210965</v>
      </c>
      <c r="D37" s="18">
        <f t="shared" si="14"/>
        <v>267.77776615073509</v>
      </c>
      <c r="E37" s="18">
        <f t="shared" si="14"/>
        <v>267.7797452625552</v>
      </c>
    </row>
    <row r="38" spans="1:8" x14ac:dyDescent="0.25">
      <c r="A38" t="s">
        <v>132</v>
      </c>
      <c r="B38" s="18">
        <f t="shared" ref="B38:E38" si="15">B31*8*B34*B6/(PI()*B5^3)</f>
        <v>492.64425327722523</v>
      </c>
      <c r="C38" s="18">
        <f t="shared" si="15"/>
        <v>492.77439567428161</v>
      </c>
      <c r="D38" s="18">
        <f t="shared" si="15"/>
        <v>492.71108971735259</v>
      </c>
      <c r="E38" s="18">
        <f t="shared" si="15"/>
        <v>492.71473128310157</v>
      </c>
    </row>
    <row r="39" spans="1:8" x14ac:dyDescent="0.25">
      <c r="A39" s="33" t="s">
        <v>209</v>
      </c>
      <c r="B39" s="34">
        <f>B19/B36</f>
        <v>1.5002035682952997</v>
      </c>
      <c r="C39" s="34">
        <f>C19/C36</f>
        <v>1.4998073624652799</v>
      </c>
      <c r="D39" s="34">
        <f t="shared" ref="D39:E39" si="16">D19/D36</f>
        <v>1.5000000651307401</v>
      </c>
      <c r="E39" s="34">
        <f t="shared" si="16"/>
        <v>1.4999889789006886</v>
      </c>
      <c r="F39" t="s">
        <v>215</v>
      </c>
    </row>
    <row r="40" spans="1:8" x14ac:dyDescent="0.25">
      <c r="A40" t="s">
        <v>206</v>
      </c>
      <c r="B40" s="18">
        <f t="shared" ref="B40:E40" si="17">B19/(1-(B20/B25)^2)</f>
        <v>272.35837395674218</v>
      </c>
      <c r="C40" s="18">
        <f t="shared" si="17"/>
        <v>274.25539433800481</v>
      </c>
      <c r="D40" s="18">
        <f t="shared" si="17"/>
        <v>276.00306944396539</v>
      </c>
      <c r="E40" s="18">
        <f t="shared" si="17"/>
        <v>277.63086861935642</v>
      </c>
    </row>
    <row r="41" spans="1:8" x14ac:dyDescent="0.25">
      <c r="A41" t="s">
        <v>204</v>
      </c>
      <c r="B41" s="18">
        <f t="shared" ref="B41:E41" si="18">B35^2*B25^2/(2*B40)*(-1+SQRT(1+(2*B40/(B35*B25))^2))</f>
        <v>238.00651127270478</v>
      </c>
      <c r="C41" s="18">
        <f t="shared" si="18"/>
        <v>237.86785461980497</v>
      </c>
      <c r="D41" s="18">
        <f t="shared" si="18"/>
        <v>237.74333774919154</v>
      </c>
      <c r="E41" s="18">
        <f t="shared" si="18"/>
        <v>237.63004063526748</v>
      </c>
    </row>
    <row r="42" spans="1:8" x14ac:dyDescent="0.25">
      <c r="A42" s="33" t="s">
        <v>203</v>
      </c>
      <c r="B42" s="34">
        <f>B41/B36</f>
        <v>1.4815693671735566</v>
      </c>
      <c r="C42" s="34">
        <f t="shared" ref="C42:E42" si="19">C41/C36</f>
        <v>1.4803151852805159</v>
      </c>
      <c r="D42" s="34">
        <f t="shared" si="19"/>
        <v>1.4797303821916465</v>
      </c>
      <c r="E42" s="34">
        <f t="shared" si="19"/>
        <v>1.4790142821934606</v>
      </c>
      <c r="F42" t="s">
        <v>214</v>
      </c>
    </row>
    <row r="43" spans="1:8" x14ac:dyDescent="0.25">
      <c r="A43" t="s">
        <v>207</v>
      </c>
      <c r="B43" s="18">
        <f t="shared" ref="B43:E43" si="20">B19/(1-B20/B25)</f>
        <v>364.77436684101389</v>
      </c>
      <c r="C43" s="18">
        <f t="shared" si="20"/>
        <v>369.75655290707857</v>
      </c>
      <c r="D43" s="18">
        <f t="shared" si="20"/>
        <v>374.29322462999977</v>
      </c>
      <c r="E43" s="18">
        <f t="shared" si="20"/>
        <v>378.47659174668314</v>
      </c>
    </row>
    <row r="44" spans="1:8" x14ac:dyDescent="0.25">
      <c r="A44" t="s">
        <v>205</v>
      </c>
      <c r="B44" s="18">
        <f>B35*B43*B25/(B35*B25+B43)</f>
        <v>236.20656531915986</v>
      </c>
      <c r="C44" s="18">
        <f t="shared" ref="C44:E44" si="21">C35*C43*C25/(C35*C25+C43)</f>
        <v>236.08337245168389</v>
      </c>
      <c r="D44" s="18">
        <f t="shared" si="21"/>
        <v>235.97415606620399</v>
      </c>
      <c r="E44" s="18">
        <f t="shared" si="21"/>
        <v>235.8758520276551</v>
      </c>
    </row>
    <row r="45" spans="1:8" x14ac:dyDescent="0.25">
      <c r="A45" s="33" t="s">
        <v>208</v>
      </c>
      <c r="B45" s="34">
        <f>B44/B36</f>
        <v>1.4703648636787567</v>
      </c>
      <c r="C45" s="34">
        <f t="shared" ref="C45:E45" si="22">C44/C36</f>
        <v>1.4692098761770471</v>
      </c>
      <c r="D45" s="34">
        <f t="shared" si="22"/>
        <v>1.4687188774625619</v>
      </c>
      <c r="E45" s="34">
        <f t="shared" si="22"/>
        <v>1.4680961760593041</v>
      </c>
      <c r="F45" t="s">
        <v>213</v>
      </c>
    </row>
    <row r="46" spans="1:8" x14ac:dyDescent="0.25">
      <c r="A46" t="s">
        <v>93</v>
      </c>
      <c r="B46" s="18">
        <f>B24/B38</f>
        <v>1.6919775231473217</v>
      </c>
      <c r="C46" s="18">
        <f>C24/C38</f>
        <v>1.6482869334479402</v>
      </c>
      <c r="D46" s="18">
        <f t="shared" ref="D46:E46" si="23">D24/D38</f>
        <v>1.6119292107021361</v>
      </c>
      <c r="E46" s="18">
        <f t="shared" si="23"/>
        <v>1.5803349027228946</v>
      </c>
      <c r="F46" t="s">
        <v>212</v>
      </c>
      <c r="H46" s="54"/>
    </row>
    <row r="47" spans="1:8" x14ac:dyDescent="0.25">
      <c r="A47" t="s">
        <v>122</v>
      </c>
      <c r="B47" s="18">
        <f t="shared" ref="B47:E47" si="24">B5*B30</f>
        <v>154.79496649350017</v>
      </c>
      <c r="C47" s="18">
        <f t="shared" si="24"/>
        <v>55.162364822990142</v>
      </c>
      <c r="D47" s="18">
        <f t="shared" si="24"/>
        <v>30.384336939960868</v>
      </c>
      <c r="E47" s="18">
        <f t="shared" si="24"/>
        <v>21.196946015223531</v>
      </c>
      <c r="F47" t="s">
        <v>91</v>
      </c>
    </row>
    <row r="48" spans="1:8" x14ac:dyDescent="0.25">
      <c r="B48" s="18">
        <f t="shared" ref="B48:E48" si="25">B5*(B30+1)</f>
        <v>157.79496649350017</v>
      </c>
      <c r="C48" s="18">
        <f t="shared" si="25"/>
        <v>58.662364822990135</v>
      </c>
      <c r="D48" s="18">
        <f t="shared" si="25"/>
        <v>34.384336939960868</v>
      </c>
      <c r="E48" s="18">
        <f t="shared" si="25"/>
        <v>25.696946015223531</v>
      </c>
      <c r="F48" t="s">
        <v>92</v>
      </c>
    </row>
    <row r="49" spans="1:6" x14ac:dyDescent="0.25">
      <c r="A49" t="s">
        <v>123</v>
      </c>
      <c r="B49" s="53">
        <f>B47+(1+B11)*B15</f>
        <v>173.19496649350017</v>
      </c>
      <c r="C49" s="18">
        <f t="shared" ref="C49:E49" si="26">C47+(1+C11)*C15</f>
        <v>73.562364822990133</v>
      </c>
      <c r="D49" s="18">
        <f t="shared" si="26"/>
        <v>48.784336939960866</v>
      </c>
      <c r="E49" s="18">
        <f t="shared" si="26"/>
        <v>39.59694601522353</v>
      </c>
      <c r="F49" t="s">
        <v>91</v>
      </c>
    </row>
    <row r="50" spans="1:6" x14ac:dyDescent="0.25">
      <c r="B50" s="53">
        <f t="shared" ref="B50:E50" si="27">B48+(1+B11)*B15</f>
        <v>176.19496649350017</v>
      </c>
      <c r="C50" s="18">
        <f t="shared" si="27"/>
        <v>77.062364822990133</v>
      </c>
      <c r="D50" s="18">
        <f t="shared" si="27"/>
        <v>52.784336939960866</v>
      </c>
      <c r="E50" s="18">
        <f t="shared" si="27"/>
        <v>44.09694601522353</v>
      </c>
      <c r="F50" t="s">
        <v>92</v>
      </c>
    </row>
    <row r="51" spans="1:6" x14ac:dyDescent="0.25">
      <c r="A51" t="s">
        <v>138</v>
      </c>
      <c r="B51" s="18">
        <f t="shared" ref="B51:E51" si="28">PI()*B6/B18*SQRT(2*(B8-B7)/(2*B7+B8))</f>
        <v>48.742689931608382</v>
      </c>
      <c r="C51" s="18">
        <f t="shared" si="28"/>
        <v>91.786953262560388</v>
      </c>
      <c r="D51" s="18">
        <f t="shared" si="28"/>
        <v>148.03192571972994</v>
      </c>
      <c r="E51" s="18">
        <f t="shared" si="28"/>
        <v>220.55012276132607</v>
      </c>
      <c r="F51" t="s">
        <v>216</v>
      </c>
    </row>
    <row r="52" spans="1:6" x14ac:dyDescent="0.25">
      <c r="A52" t="s">
        <v>210</v>
      </c>
      <c r="B52" s="18">
        <f>0.5*SQRT(1000*(B13-B12)/(B15-B14)/(0.000000001*PI()/4*B5^2*PI()*B6*B29*B21))</f>
        <v>250.06133547233534</v>
      </c>
      <c r="C52" s="18">
        <f t="shared" ref="C52:E52" si="29">0.5*SQRT(1000*(C13-C12)/(C15-C14)/(0.000000001*PI()/4*C5^2*PI()*C6*C29*C21))</f>
        <v>296.53614610596424</v>
      </c>
      <c r="D52" s="18">
        <f t="shared" si="29"/>
        <v>320.3879935088803</v>
      </c>
      <c r="E52" s="18">
        <f t="shared" si="29"/>
        <v>335.25138467246853</v>
      </c>
      <c r="F52" t="s">
        <v>238</v>
      </c>
    </row>
    <row r="53" spans="1:6" x14ac:dyDescent="0.25">
      <c r="A53" t="s">
        <v>219</v>
      </c>
      <c r="B53" s="18">
        <f t="shared" ref="B53:E53" si="30">PI()^2*B5^2*B30*B6/4</f>
        <v>10583.345164482042</v>
      </c>
      <c r="C53" s="18">
        <f t="shared" si="30"/>
        <v>8285.6627708368742</v>
      </c>
      <c r="D53" s="18">
        <f t="shared" si="30"/>
        <v>8412.0243686788381</v>
      </c>
      <c r="E53" s="18">
        <f t="shared" si="30"/>
        <v>9836.2258016837532</v>
      </c>
    </row>
    <row r="55" spans="1:6" x14ac:dyDescent="0.25">
      <c r="B55" t="s">
        <v>249</v>
      </c>
    </row>
    <row r="56" spans="1:6" x14ac:dyDescent="0.25">
      <c r="A56" s="38" t="s">
        <v>250</v>
      </c>
      <c r="B56" s="7">
        <f>IF($C$3=list_Nf!$A$1,'Fatigue spring'!B39,IF('Fatigue spring'!$C$3=list_Nf!$A$2,'Fatigue spring'!B42,'Fatigue spring'!B45))</f>
        <v>1.4703648636787567</v>
      </c>
      <c r="C56" s="7">
        <f>IF($C$3=list_Nf!$A$1,'Fatigue spring'!C39,IF('Fatigue spring'!$C$3=list_Nf!$A$2,'Fatigue spring'!C42,'Fatigue spring'!C45))</f>
        <v>1.4692098761770471</v>
      </c>
      <c r="D56" s="7">
        <f>IF($C$3=list_Nf!$A$1,'Fatigue spring'!D39,IF('Fatigue spring'!$C$3=list_Nf!$A$2,'Fatigue spring'!D42,'Fatigue spring'!D45))</f>
        <v>1.4687188774625619</v>
      </c>
      <c r="E56" s="7">
        <f>IF($C$3=list_Nf!$A$1,'Fatigue spring'!E39,IF('Fatigue spring'!$C$3=list_Nf!$A$2,'Fatigue spring'!E42,'Fatigue spring'!E45))</f>
        <v>1.4680961760593041</v>
      </c>
    </row>
    <row r="57" spans="1:6" x14ac:dyDescent="0.25">
      <c r="A57" s="35">
        <f>D3</f>
        <v>2</v>
      </c>
    </row>
    <row r="58" spans="1:6" x14ac:dyDescent="0.25">
      <c r="A58" s="38" t="s">
        <v>251</v>
      </c>
      <c r="B58" s="7">
        <f>B56^2</f>
        <v>2.161972832341049</v>
      </c>
      <c r="C58" s="7">
        <f t="shared" ref="C58:E58" si="31">C56^2</f>
        <v>2.1585776602561739</v>
      </c>
      <c r="D58" s="7">
        <f t="shared" si="31"/>
        <v>2.157135141014888</v>
      </c>
      <c r="E58" s="7">
        <f t="shared" si="31"/>
        <v>2.1553063821599512</v>
      </c>
    </row>
    <row r="59" spans="1:6" x14ac:dyDescent="0.25">
      <c r="A59" s="36">
        <f>A57^2</f>
        <v>4</v>
      </c>
    </row>
    <row r="60" spans="1:6" x14ac:dyDescent="0.25">
      <c r="A60" s="1" t="s">
        <v>252</v>
      </c>
    </row>
    <row r="61" spans="1:6" x14ac:dyDescent="0.25">
      <c r="A61" s="37">
        <f>COUNT(B45:E45)</f>
        <v>4</v>
      </c>
    </row>
    <row r="63" spans="1:6" x14ac:dyDescent="0.25">
      <c r="A63">
        <f>SUM(B58:E58)-A59*A61</f>
        <v>-7.3670079842279392</v>
      </c>
    </row>
    <row r="64" spans="1:6" x14ac:dyDescent="0.25">
      <c r="A64" s="39">
        <f>PRODUCT(B58:E58)-A59^A61</f>
        <v>-234.30277068149758</v>
      </c>
    </row>
    <row r="67" spans="1:2" x14ac:dyDescent="0.25">
      <c r="A67" s="40"/>
      <c r="B67" s="40"/>
    </row>
  </sheetData>
  <conditionalFormatting sqref="B39:E39 B42:E42 B45:E46">
    <cfRule type="cellIs" dxfId="1" priority="10" operator="lessThan">
      <formula>1</formula>
    </cfRule>
  </conditionalFormatting>
  <conditionalFormatting sqref="B53:E53">
    <cfRule type="colorScale" priority="36">
      <colorScale>
        <cfvo type="min"/>
        <cfvo type="max"/>
        <color rgb="FFFFFF00"/>
        <color rgb="FFFF0000"/>
      </colorScale>
    </cfRule>
  </conditionalFormatting>
  <conditionalFormatting sqref="B52:E52">
    <cfRule type="expression" dxfId="0" priority="38">
      <formula>B$52&lt;20*$H$5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list_Nf!$A$1:$A$3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3"/>
  <sheetViews>
    <sheetView workbookViewId="0">
      <selection activeCell="A4" sqref="A4"/>
    </sheetView>
  </sheetViews>
  <sheetFormatPr defaultRowHeight="15.75" x14ac:dyDescent="0.25"/>
  <sheetData>
    <row r="1" spans="1:1" x14ac:dyDescent="0.25">
      <c r="A1" t="s">
        <v>246</v>
      </c>
    </row>
    <row r="2" spans="1:1" x14ac:dyDescent="0.25">
      <c r="A2" t="s">
        <v>247</v>
      </c>
    </row>
    <row r="3" spans="1:1" x14ac:dyDescent="0.25">
      <c r="A3" t="s">
        <v>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2A62-EF06-4714-85B1-0B6ED0774887}">
  <dimension ref="A1:E21"/>
  <sheetViews>
    <sheetView workbookViewId="0">
      <selection activeCell="G25" sqref="G25"/>
    </sheetView>
  </sheetViews>
  <sheetFormatPr defaultRowHeight="15" x14ac:dyDescent="0.25"/>
  <cols>
    <col min="1" max="2" width="9" style="45"/>
    <col min="3" max="3" width="9.875" style="45" bestFit="1" customWidth="1"/>
    <col min="4" max="16384" width="9" style="45"/>
  </cols>
  <sheetData>
    <row r="1" spans="1:5" x14ac:dyDescent="0.25">
      <c r="A1" s="45" t="s">
        <v>44</v>
      </c>
      <c r="B1" s="45">
        <v>10000</v>
      </c>
    </row>
    <row r="2" spans="1:5" x14ac:dyDescent="0.25">
      <c r="A2" s="46" t="s">
        <v>254</v>
      </c>
      <c r="B2" s="45">
        <v>50</v>
      </c>
    </row>
    <row r="3" spans="1:5" x14ac:dyDescent="0.25">
      <c r="A3" s="46"/>
    </row>
    <row r="4" spans="1:5" x14ac:dyDescent="0.25">
      <c r="A4" s="45" t="s">
        <v>255</v>
      </c>
      <c r="B4" s="45">
        <f>B1*2/2</f>
        <v>10000</v>
      </c>
    </row>
    <row r="5" spans="1:5" x14ac:dyDescent="0.25">
      <c r="A5" s="45" t="s">
        <v>256</v>
      </c>
    </row>
    <row r="6" spans="1:5" x14ac:dyDescent="0.25">
      <c r="A6" s="45" t="s">
        <v>257</v>
      </c>
    </row>
    <row r="9" spans="1:5" s="47" customFormat="1" x14ac:dyDescent="0.25">
      <c r="A9" s="47" t="s">
        <v>258</v>
      </c>
      <c r="B9" s="47" t="s">
        <v>259</v>
      </c>
      <c r="C9" s="47" t="s">
        <v>260</v>
      </c>
      <c r="D9" s="47" t="s">
        <v>261</v>
      </c>
    </row>
    <row r="10" spans="1:5" x14ac:dyDescent="0.25">
      <c r="A10" s="48">
        <v>0</v>
      </c>
      <c r="B10" s="49">
        <v>0</v>
      </c>
      <c r="D10" s="45">
        <v>0</v>
      </c>
      <c r="E10" s="45">
        <f>ABS(D10)</f>
        <v>0</v>
      </c>
    </row>
    <row r="11" spans="1:5" x14ac:dyDescent="0.25">
      <c r="A11" s="50">
        <f>IF(C12=-1,A10+(((0-B10)/(B12-B10))*(A12-A10)),A10)</f>
        <v>0</v>
      </c>
      <c r="B11" s="51">
        <f>IF(A12-A10=0,B10,B10+((A11-A10)/(A12-A10))*(B12-B10))</f>
        <v>0</v>
      </c>
      <c r="D11" s="45">
        <f>D10+(((B10+B11)/2)*(A11-A10))</f>
        <v>0</v>
      </c>
      <c r="E11" s="45">
        <f t="shared" ref="E11:E20" si="0">ABS(D11)</f>
        <v>0</v>
      </c>
    </row>
    <row r="12" spans="1:5" x14ac:dyDescent="0.25">
      <c r="A12" s="48">
        <v>0</v>
      </c>
      <c r="B12" s="49">
        <f>B2</f>
        <v>50</v>
      </c>
      <c r="C12" s="45">
        <f>IF(B12=0,0,IF(B10=0,1,(B12/ABS(B12))/(B10/ABS(B10))))</f>
        <v>1</v>
      </c>
      <c r="D12" s="45">
        <f>D11+(((B11+B12)/2)*(A12-A11))</f>
        <v>0</v>
      </c>
      <c r="E12" s="45">
        <f t="shared" si="0"/>
        <v>0</v>
      </c>
    </row>
    <row r="13" spans="1:5" x14ac:dyDescent="0.25">
      <c r="A13" s="50">
        <f>IF(C14=-1,A12+(((0-B12)/(B14-B12))*(A14-A12)),A12)</f>
        <v>0</v>
      </c>
      <c r="B13" s="51">
        <f>IF(A14-A12=0,B12,B12+((A13-A12)/(A14-A12))*(B14-B12))</f>
        <v>50</v>
      </c>
      <c r="D13" s="45">
        <f>D12+(((B12+B13)/2)*(A13-A12))</f>
        <v>0</v>
      </c>
      <c r="E13" s="45">
        <f t="shared" si="0"/>
        <v>0</v>
      </c>
    </row>
    <row r="14" spans="1:5" x14ac:dyDescent="0.25">
      <c r="A14" s="48">
        <v>1</v>
      </c>
      <c r="B14" s="49">
        <f>B12</f>
        <v>50</v>
      </c>
      <c r="C14" s="45">
        <f>IF(B14=0,0,IF(B12=0,1,(B14/ABS(B14))/(B12/ABS(B12))))</f>
        <v>1</v>
      </c>
      <c r="D14" s="45">
        <f t="shared" ref="D14:D16" si="1">D13+(((B13+B14)/2)*(A14-A13))</f>
        <v>50</v>
      </c>
      <c r="E14" s="45">
        <f t="shared" si="0"/>
        <v>50</v>
      </c>
    </row>
    <row r="15" spans="1:5" x14ac:dyDescent="0.25">
      <c r="A15" s="50">
        <f>IF(C16=-1,A14+(((0-B14)/(B16-B14))*(A16-A14)),A14)</f>
        <v>1</v>
      </c>
      <c r="B15" s="51">
        <f>IF(A16-A14=0,B14,B14+((A15-A14)/(A16-A14))*(B16-B14))</f>
        <v>50</v>
      </c>
      <c r="D15" s="45">
        <f>D14+(((B14+B15)/2)*(A15-A14))</f>
        <v>50</v>
      </c>
      <c r="E15" s="45">
        <f t="shared" si="0"/>
        <v>50</v>
      </c>
    </row>
    <row r="16" spans="1:5" x14ac:dyDescent="0.25">
      <c r="A16" s="48">
        <v>1</v>
      </c>
      <c r="B16" s="49">
        <v>-50</v>
      </c>
      <c r="C16" s="45">
        <f>IF(B16=0,0,IF(B14=0,1,(B16/ABS(B16))/(B14/ABS(B14))))</f>
        <v>-1</v>
      </c>
      <c r="D16" s="45">
        <f t="shared" si="1"/>
        <v>50</v>
      </c>
      <c r="E16" s="45">
        <f t="shared" si="0"/>
        <v>50</v>
      </c>
    </row>
    <row r="17" spans="1:5" x14ac:dyDescent="0.25">
      <c r="A17" s="50">
        <f>IF(C18=-1,A16+(((0-B16)/(B18-B16))*(A18-A16)),A16)</f>
        <v>1</v>
      </c>
      <c r="B17" s="51">
        <f>IF(A18-A16=0,B16,B16+((A17-A16)/(A18-A16))*(B18-B16))</f>
        <v>-50</v>
      </c>
      <c r="D17" s="45">
        <f>D16+(((B16+B17)/2)*(A17-A16))</f>
        <v>50</v>
      </c>
      <c r="E17" s="45">
        <f t="shared" si="0"/>
        <v>50</v>
      </c>
    </row>
    <row r="18" spans="1:5" x14ac:dyDescent="0.25">
      <c r="A18" s="48">
        <v>2</v>
      </c>
      <c r="B18" s="49">
        <f>B16</f>
        <v>-50</v>
      </c>
      <c r="C18" s="45">
        <f>IF(B18=0,0,IF(B16=0,1,(B18/ABS(B18))/(B16/ABS(B16))))</f>
        <v>1</v>
      </c>
      <c r="D18" s="45">
        <f t="shared" ref="D18" si="2">D17+(((B17+B18)/2)*(A18-A17))</f>
        <v>0</v>
      </c>
      <c r="E18" s="45">
        <f t="shared" si="0"/>
        <v>0</v>
      </c>
    </row>
    <row r="19" spans="1:5" x14ac:dyDescent="0.25">
      <c r="A19" s="50">
        <f>IF(C20=-1,A18+(((0-B18)/(B20-B18))*(A20-A18)),A18)</f>
        <v>2</v>
      </c>
      <c r="B19" s="51">
        <f>IF(A20-A18=0,B18,B18+((A19-A18)/(A20-A18))*(B20-B18))</f>
        <v>-50</v>
      </c>
      <c r="D19" s="45">
        <f>D18+(((B18+B19)/2)*(A19-A18))</f>
        <v>0</v>
      </c>
      <c r="E19" s="45">
        <f t="shared" si="0"/>
        <v>0</v>
      </c>
    </row>
    <row r="20" spans="1:5" ht="15.75" thickBot="1" x14ac:dyDescent="0.3">
      <c r="A20" s="48">
        <v>2</v>
      </c>
      <c r="B20" s="49">
        <f>B18+B2</f>
        <v>0</v>
      </c>
      <c r="C20" s="45">
        <f>IF(B20=0,0,IF(B18=0,1,(B20/ABS(B20))/(B18/ABS(B18))))</f>
        <v>0</v>
      </c>
      <c r="D20" s="45">
        <f t="shared" ref="D20" si="3">D19+(((B19+B20)/2)*(A20-A19))</f>
        <v>0</v>
      </c>
      <c r="E20" s="45">
        <f t="shared" si="0"/>
        <v>0</v>
      </c>
    </row>
    <row r="21" spans="1:5" ht="15.75" thickBot="1" x14ac:dyDescent="0.3">
      <c r="E21" s="52">
        <f>MAX(E10:E16)</f>
        <v>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C8A5-D40A-455E-AA17-402A0640DED6}">
  <dimension ref="A2:B12"/>
  <sheetViews>
    <sheetView tabSelected="1" workbookViewId="0">
      <selection activeCell="D16" sqref="D16"/>
    </sheetView>
  </sheetViews>
  <sheetFormatPr defaultRowHeight="15.75" x14ac:dyDescent="0.25"/>
  <cols>
    <col min="1" max="1" width="24.375" bestFit="1" customWidth="1"/>
    <col min="2" max="2" width="7.375" bestFit="1" customWidth="1"/>
  </cols>
  <sheetData>
    <row r="2" spans="1:2" x14ac:dyDescent="0.25">
      <c r="A2" s="20" t="s">
        <v>191</v>
      </c>
      <c r="B2" s="13"/>
    </row>
    <row r="3" spans="1:2" x14ac:dyDescent="0.25">
      <c r="A3" s="21" t="s">
        <v>43</v>
      </c>
      <c r="B3" s="13"/>
    </row>
    <row r="4" spans="1:2" x14ac:dyDescent="0.25">
      <c r="A4" s="4" t="s">
        <v>65</v>
      </c>
      <c r="B4" s="12">
        <v>690</v>
      </c>
    </row>
    <row r="5" spans="1:2" x14ac:dyDescent="0.25">
      <c r="A5" s="4" t="s">
        <v>64</v>
      </c>
      <c r="B5" s="12">
        <v>200</v>
      </c>
    </row>
    <row r="6" spans="1:2" x14ac:dyDescent="0.25">
      <c r="A6" s="4" t="s">
        <v>66</v>
      </c>
      <c r="B6" s="12">
        <v>350</v>
      </c>
    </row>
    <row r="7" spans="1:2" x14ac:dyDescent="0.25">
      <c r="A7" s="4" t="s">
        <v>193</v>
      </c>
      <c r="B7" s="12">
        <v>80</v>
      </c>
    </row>
    <row r="8" spans="1:2" x14ac:dyDescent="0.25">
      <c r="A8" s="4" t="s">
        <v>192</v>
      </c>
      <c r="B8" s="12">
        <v>160</v>
      </c>
    </row>
    <row r="9" spans="1:2" x14ac:dyDescent="0.25">
      <c r="A9" s="5" t="s">
        <v>42</v>
      </c>
      <c r="B9" s="13"/>
    </row>
    <row r="10" spans="1:2" x14ac:dyDescent="0.25">
      <c r="A10" s="3" t="s">
        <v>194</v>
      </c>
      <c r="B10" s="14">
        <f>1/(B8/B5+B7/B4)</f>
        <v>1.0917721518987342</v>
      </c>
    </row>
    <row r="11" spans="1:2" x14ac:dyDescent="0.25">
      <c r="A11" s="3" t="s">
        <v>195</v>
      </c>
      <c r="B11" s="14">
        <f>0.5*(B4/B7)^2*B8/B5*(-1+SQRT(1+(2*B7*B5/(B4*B8))^2))</f>
        <v>1.2247932210166224</v>
      </c>
    </row>
    <row r="12" spans="1:2" x14ac:dyDescent="0.25">
      <c r="A12" s="3" t="s">
        <v>196</v>
      </c>
      <c r="B12" s="14">
        <f>1/SQRT((B8/B5)^2+(B7/B6)^2)</f>
        <v>1.2019049345510289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Strength</vt:lpstr>
      <vt:lpstr>SCF</vt:lpstr>
      <vt:lpstr>Shafts</vt:lpstr>
      <vt:lpstr>Static spring</vt:lpstr>
      <vt:lpstr>Fatigue spring</vt:lpstr>
      <vt:lpstr>list_Nf</vt:lpstr>
      <vt:lpstr>V_M graph</vt:lpstr>
      <vt:lpstr>Q1d</vt:lpstr>
    </vt:vector>
  </TitlesOfParts>
  <Company>University of Pretoria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Schalk Kok</dc:creator>
  <cp:lastModifiedBy>Lanz</cp:lastModifiedBy>
  <dcterms:created xsi:type="dcterms:W3CDTF">2018-08-08T09:23:36Z</dcterms:created>
  <dcterms:modified xsi:type="dcterms:W3CDTF">2021-12-13T11:16:58Z</dcterms:modified>
</cp:coreProperties>
</file>